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emf" ContentType="image/x-emf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drawings/drawing2.xml" ContentType="application/vnd.openxmlformats-officedocument.drawing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drawings/drawing3.xml" ContentType="application/vnd.openxmlformats-officedocument.drawing+xml"/>
  <Override PartName="/xl/worksheets/sheet24.xml" ContentType="application/vnd.openxmlformats-officedocument.spreadsheetml.workshee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drawings/drawing5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drawings/drawing6.xml" ContentType="application/vnd.openxmlformats-officedocument.drawing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6130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-120" yWindow="-120" windowWidth="29040" windowHeight="15840" tabRatio="889" firstSheet="2" activeTab="2"/>
  </bookViews>
  <sheets>
    <sheet name="FU" sheetId="61" state="hidden" r:id="rId2"/>
    <sheet name="XML export" sheetId="62" state="hidden" r:id="rId3"/>
    <sheet name="UVOD" sheetId="76" r:id="rId4"/>
    <sheet name="XML_export" sheetId="77" r:id="rId5"/>
    <sheet name="Moje daně" sheetId="79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4" r:id="rId17"/>
    <sheet name="3Př_a" sheetId="54" r:id="rId18"/>
    <sheet name="6Př" sheetId="53" r:id="rId19"/>
    <sheet name="Př_b" sheetId="55" r:id="rId20"/>
    <sheet name="Příl_děti" sheetId="75" r:id="rId21"/>
    <sheet name="Potvr_ZAM" sheetId="66" r:id="rId22"/>
    <sheet name="Prohl_manž" sheetId="67" r:id="rId23"/>
    <sheet name="SP1" sheetId="50" r:id="rId24"/>
    <sheet name="SP2" sheetId="51" r:id="rId25"/>
    <sheet name="SP_zam" sheetId="68" r:id="rId26"/>
    <sheet name="SP_stud" sheetId="69" r:id="rId27"/>
    <sheet name="SP_prijem" sheetId="70" r:id="rId28"/>
    <sheet name="VZP" sheetId="58" r:id="rId29"/>
    <sheet name="Ostatní ZP" sheetId="73" r:id="rId30"/>
    <sheet name="Zálohy" sheetId="22" r:id="rId31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29" hidden="1">Zálohy!$G$8:$G$51</definedName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[3]FU!$B$3:$B$17</definedName>
    <definedName name="fin_ur" localSheetId="26">[4]FU!$B$3:$B$17</definedName>
    <definedName name="fin_ur" localSheetId="2">[5]FU!$B$3:$B$17</definedName>
    <definedName name="fin_ur" localSheetId="3">[1]FU!$B$3:$B$17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'4Př'!$A$1:$G$24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daně'!$A$1:$B$28</definedName>
    <definedName name="_xlnm.Print_Area" localSheetId="28">'Ostatní ZP'!$A$1:$AR$61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6">SP_prijem!$A$1:$I$53</definedName>
    <definedName name="_xlnm.Print_Area" localSheetId="25">SP_stud!$A$1:$AE$29</definedName>
    <definedName name="_xlnm.Print_Area" localSheetId="24">SP_zam!$A$1:$AE$30</definedName>
    <definedName name="_xlnm.Print_Area" localSheetId="22">'SP1'!$A$1:$AF$69</definedName>
    <definedName name="_xlnm.Print_Area" localSheetId="23">'SP2'!$A$1:$AO$61</definedName>
    <definedName name="_xlnm.Print_Area" localSheetId="2">UVOD!$A$1:$J$26</definedName>
    <definedName name="_xlnm.Print_Area" localSheetId="27">VZP!$A$1:$AR$61</definedName>
    <definedName name="_xlnm.Print_Area" localSheetId="3">XML_export!$A$1:$B$25</definedName>
    <definedName name="_xlnm.Print_Area" localSheetId="5">ZAKL_DATA!$A$1:$E$42</definedName>
    <definedName name="_xlnm.Print_Area" localSheetId="29">Zálohy!$A$1:$E$51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[3]FU!$J$3:$J$253</definedName>
    <definedName name="staty" localSheetId="26">[4]FU!$J$3:$J$253</definedName>
    <definedName name="staty" localSheetId="2">[5]FU!$J$3:$J$253</definedName>
    <definedName name="staty" localSheetId="3">[1]FU!$J$3:$J$253</definedName>
    <definedName name="staty">FU!$J$3:$J$253</definedName>
    <definedName name="validation_list">OFFSET('[6]Obory činnosti'!$E$2,,,COUNTIF('[6]Obory činnosti'!$E$2:$E$1750,"?*"))</definedName>
    <definedName name="validation_list2" localSheetId="4">OFFSET('[7]Finanční úřady'!$H$3,,,COUNTIF('[7]Finanční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OFFSET([3]FU!$H$3,,,COUNTIF([3]FU!$H$3:$H$204,"?*"))</definedName>
    <definedName name="validation_list2" localSheetId="26">OFFSET([4]FU!$H$3,,,COUNTIF([4]FU!$H$3:$H$204,"?*"))</definedName>
    <definedName name="validation_list2" localSheetId="2">OFFSET([5]FU!$H$3,,,COUNTIF([5]FU!$H$3:$H$204,"?*"))</definedName>
    <definedName name="validation_list2" localSheetId="3">OFFSET('[7]Finanční úřady'!$H$3,,,COUNTIF('[7]Finanční úřady'!$H$3:$H$204,"?*"))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OFFSET([3]FU!$Q$3,,,COUNTIF([3]FU!$Q$3:$Q$1699,"?*"))</definedName>
    <definedName name="vl_cinnosti" localSheetId="26">OFFSET([4]FU!$Q$3,,,COUNTIF([4]FU!$Q$3:$Q$1699,"?*"))</definedName>
    <definedName name="vl_cinnosti" localSheetId="2">OFFSET([5]FU!$Q$3,,,COUNTIF([5]FU!$Q$3:$Q$1699,"?*"))</definedName>
    <definedName name="vl_cinnosti" localSheetId="3">OFFSET([1]FU!$Q$3,,,COUNTIF([1]FU!$Q$3:$Q$1699,"?*"))</definedName>
    <definedName name="vl_cinnosti">OFFSET(FU!$Q$3,,,COUNTIF(FU!$Q$3:$Q$1699,"?*"))</definedName>
    <definedName name="vl_cinnosti2" localSheetId="4">OFFSET([8]FU!$Q$3,,,COUNTIF([8]FU!$T$3:$T$992,"?*"))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OFFSET([3]FU!$Q$3,,,COUNTIF([3]FU!$T$3:$T$992,"?*"))</definedName>
    <definedName name="vl_cinnosti2" localSheetId="26">OFFSET([4]FU!$Q$3,,,COUNTIF([4]FU!$T$3:$T$992,"?*"))</definedName>
    <definedName name="vl_cinnosti2" localSheetId="2">OFFSET([5]FU!$Q$3,,,COUNTIF([5]FU!$T$3:$T$992,"?*"))</definedName>
    <definedName name="vl_cinnosti2" localSheetId="3">OFFSET([8]FU!$Q$3,,,COUNTIF([8]FU!$T$3:$T$992,"?*"))</definedName>
    <definedName name="vl_cinnosti2">OFFSET(FU!$Q$3,,,COUNTIF(FU!$T$3:$T$992,"?*"))</definedName>
    <definedName name="vl_cinnosti3" localSheetId="4">OFFSET([8]FU!$Q$3,,,COUNTIF([8]FU!$W$3:$W$992,"?*"))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OFFSET([3]FU!$Q$3,,,COUNTIF([3]FU!$W$3:$W$992,"?*"))</definedName>
    <definedName name="vl_cinnosti3" localSheetId="26">OFFSET([4]FU!$Q$3,,,COUNTIF([4]FU!$W$3:$W$992,"?*"))</definedName>
    <definedName name="vl_cinnosti3" localSheetId="2">OFFSET([5]FU!$Q$3,,,COUNTIF([5]FU!$W$3:$W$992,"?*"))</definedName>
    <definedName name="vl_cinnosti3" localSheetId="3">OFFSET([8]FU!$Q$3,,,COUNTIF([8]FU!$W$3:$W$992,"?*"))</definedName>
    <definedName name="vl_cinnosti3">OFFSET(FU!$Q$3,,,COUNTIF(FU!$W$3:$W$992,"?*"))</definedName>
    <definedName name="vl_cinnosti4" localSheetId="4">OFFSET([8]FU!$Q$3,,,COUNTIF([8]FU!$Z$3:$Z$992,"?*"))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OFFSET([3]FU!$Q$3,,,COUNTIF([3]FU!$Z$3:$Z$992,"?*"))</definedName>
    <definedName name="vl_cinnosti4" localSheetId="26">OFFSET([4]FU!$Q$3,,,COUNTIF([4]FU!$Z$3:$Z$992,"?*"))</definedName>
    <definedName name="vl_cinnosti4" localSheetId="2">OFFSET([5]FU!$Q$3,,,COUNTIF([5]FU!$Z$3:$Z$992,"?*"))</definedName>
    <definedName name="vl_cinnosti4" localSheetId="3">OFFSET([8]FU!$Q$3,,,COUNTIF([8]FU!$Z$3:$Z$992,"?*"))</definedName>
    <definedName name="vl_cinnosti4">OFFSET(FU!$Q$3,,,COUNTIF(FU!$Z$3:$Z$992,"?*"))</definedName>
    <definedName name="VL_Obec" localSheetId="2">OFFSET([9]FU!$T$3,,,COUNTIF([9]FU!$T$3:$T$6255,"?*"))</definedName>
    <definedName name="VL_Obec">OFFSET([9]FU!$T$3,,,COUNTIF([9]FU!$T$3:$T$6255,"?*"))</definedName>
  </definedNames>
  <calcPr calcId="181029"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4FCFA426-FAE7-4A47-B77D-9A90E77A5ED8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4670C994-40AF-4A08-9FFA-727A15738DEE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2022 lze uplatnit max. 16.200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2022 v hodnotě 16.200,-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90936CBF-D2EC-4616-B27F-FC4C7CB8CAF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G28" authorId="0" shapeId="0" xr:uid="{0E51E23A-4786-4F50-BCF0-10409609C40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46" authorId="0" shapeId="0" xr:uid="{F5F5C6F4-BB51-4B3C-818A-E11D80F1C113}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CD2FF722-C572-406E-A157-4C43CB7090F3}">
      <text>
        <r>
          <rPr>
            <b/>
            <sz val="8"/>
            <rFont val="Tahoma"/>
            <family val="2"/>
            <charset val="-18"/>
          </rPr>
          <t xml:space="preserve">Mgr. Martin Štěpán:
</t>
        </r>
        <r>
          <rPr>
            <sz val="8"/>
            <rFont val="Tahoma"/>
            <family val="2"/>
            <charset val="-18"/>
          </rPr>
          <t>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9" authorId="0" shapeId="0" xr:uid="{810D12C9-44E8-43DE-AEFE-AD2A4C169BEC}">
      <text>
        <r>
          <rPr>
            <b/>
            <sz val="9"/>
            <rFont val="Tahoma"/>
            <family val="2"/>
            <charset val="-18"/>
          </rPr>
          <t xml:space="preserve">Mgr. Martin Štěpán:
</t>
        </r>
        <r>
          <rPr>
            <sz val="9"/>
            <rFont val="Tahoma"/>
            <family val="2"/>
            <charset val="-18"/>
          </rPr>
          <t xml:space="preserve">Pokud vykonáváte činnost OSVČ jako vedlejší a Váš příjem nedosáhl rozhodné částky ( pro rok 2022 = 93.387,- Kč ), nemusíte být sociálně pojištěni. Pokud nechcete být sociálně pojištěni, uveďte do tohoto řádku 0.
</t>
        </r>
      </text>
    </comment>
    <comment ref="AH9" authorId="0" shapeId="0" xr:uid="{39FB61DF-DB5D-495F-AFAB-8E45945495D6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Nechcete-li si platit v roce 2023 nemocenské pojištění OSVČ, vepište částku 0,- Kč.</t>
        </r>
      </text>
    </comment>
    <comment ref="AN13" authorId="0" shapeId="0" xr:uid="{AAC5F959-9494-49C3-9F22-8EDA0F9B135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K28" authorId="0" shapeId="0" xr:uid="{4011558B-F4F5-417D-8A1F-D3982EB7125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D5C4176A-40C0-48A1-8987-7175394051D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7F9AC6F1-84DA-4115-BA09-354C5F6661D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A3DEE8F9-6D51-43E1-A308-11C1A80D9FD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979EF14A-1DE0-470F-9588-EC1E57B7CED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AB0A7ABB-9039-448D-A720-0C269ED666A9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436A2D3F-AB6E-4FF2-9A0E-97331E51822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D95348C7-36A8-4335-BDA3-E574F2F93242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<sst xmlns="http://schemas.openxmlformats.org/spreadsheetml/2006/main" count="7699" uniqueCount="4004">
  <si>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</si>
  <si>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</si>
  <si>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</si>
  <si>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</si>
  <si>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</si>
  <si>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</si>
  <si>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</si>
  <si>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</si>
  <si>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</si>
  <si>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</si>
  <si>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</si>
  <si>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</si>
  <si>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</si>
  <si>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</si>
  <si>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</si>
  <si>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</si>
  <si>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</si>
  <si>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</si>
  <si>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</si>
  <si>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</si>
  <si>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</si>
  <si>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</si>
  <si>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</si>
  <si>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</si>
  <si>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</si>
  <si>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</si>
  <si>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</si>
  <si>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</si>
  <si>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</si>
  <si>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</si>
  <si>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</si>
  <si>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</si>
  <si>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</si>
  <si>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</si>
  <si>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</si>
  <si>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</si>
  <si>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</si>
  <si>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</si>
  <si>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</si>
  <si>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</si>
  <si>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</si>
  <si>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</si>
  <si>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</si>
  <si>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</si>
  <si>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</si>
  <si>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</si>
  <si>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</si>
  <si>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</si>
  <si>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</si>
  <si>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</si>
  <si>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</si>
  <si>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</si>
  <si>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</si>
  <si>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</si>
  <si>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</si>
  <si>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</si>
  <si>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</si>
  <si>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</si>
  <si>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</si>
  <si>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</si>
  <si>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</si>
  <si>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</si>
  <si>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</si>
  <si>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</si>
  <si>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</si>
  <si>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</si>
  <si>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</si>
  <si>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</si>
  <si>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</si>
  <si>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</si>
  <si>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</si>
  <si>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</si>
  <si>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</si>
  <si>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</si>
  <si>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</si>
  <si>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</si>
  <si>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</si>
  <si>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</si>
  <si>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</si>
  <si>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</si>
  <si>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</si>
  <si>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</si>
  <si>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</si>
  <si>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</si>
  <si>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</si>
  <si>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</si>
  <si>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</si>
  <si>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</si>
  <si>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</si>
  <si>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</si>
  <si>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</si>
  <si>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</si>
  <si>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</si>
  <si>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</si>
  <si>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</si>
  <si>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</si>
  <si>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</si>
  <si>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</si>
  <si>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</si>
  <si>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</si>
  <si>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</si>
  <si>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</si>
  <si>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</si>
  <si>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</si>
  <si>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</si>
  <si>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</si>
  <si>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</si>
  <si>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</si>
  <si>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</si>
  <si>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</si>
  <si>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</si>
  <si>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</si>
  <si>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</si>
  <si>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</si>
  <si>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</si>
  <si>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</si>
  <si>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</si>
  <si>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</si>
  <si>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</si>
  <si>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</si>
  <si>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</si>
  <si>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</si>
  <si>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</si>
  <si>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</si>
  <si>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</si>
  <si>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</si>
  <si>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</si>
  <si>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</si>
  <si>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</si>
  <si>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</si>
  <si>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</si>
  <si>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</si>
  <si>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</si>
  <si>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</si>
  <si>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</si>
  <si>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</si>
  <si>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</si>
  <si>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</si>
  <si>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</si>
  <si>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</si>
  <si>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</si>
  <si>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</si>
  <si>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</si>
  <si>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</si>
  <si>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</si>
  <si>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</si>
  <si>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</si>
  <si>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</si>
  <si>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</si>
  <si>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</si>
  <si>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</si>
  <si>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</si>
  <si>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</si>
  <si>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</si>
  <si>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</si>
  <si>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</si>
  <si>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</si>
  <si>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</si>
  <si>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</si>
  <si>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</si>
  <si>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</si>
  <si>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</si>
  <si>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</si>
  <si>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</si>
  <si>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</si>
  <si>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</si>
  <si>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</si>
  <si>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</si>
  <si>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</si>
  <si>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</si>
  <si>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</si>
  <si>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</si>
  <si>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</si>
  <si>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</si>
  <si>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</si>
  <si>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</si>
  <si>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</si>
  <si>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</si>
  <si>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</si>
  <si>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</si>
  <si>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</si>
  <si>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</si>
  <si>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</si>
  <si>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</si>
  <si>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</si>
  <si>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</si>
  <si>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</si>
  <si>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</si>
  <si>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</si>
  <si>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</si>
  <si>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</si>
  <si>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</si>
  <si>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</si>
  <si>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</si>
  <si>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</si>
  <si>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</si>
  <si>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</si>
  <si>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</si>
  <si>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</si>
  <si>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</si>
  <si>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</si>
  <si>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</si>
  <si>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</si>
  <si>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</si>
  <si>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</si>
  <si>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</si>
  <si>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</si>
  <si>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</si>
  <si>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</si>
  <si>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</si>
  <si>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</si>
  <si>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</si>
  <si>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</si>
  <si>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</si>
  <si>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</si>
  <si>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</si>
  <si>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</si>
  <si>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</si>
  <si>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</si>
  <si>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</si>
  <si>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</si>
  <si>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Rodné číslo 1. dítěte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</si>
  <si>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</si>
  <si>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</si>
  <si>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</si>
  <si>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</si>
  <si>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</si>
  <si>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</si>
  <si>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</si>
  <si>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</si>
  <si>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</si>
  <si>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</si>
  <si>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</si>
  <si>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</si>
  <si>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</si>
  <si>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</si>
  <si>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</si>
  <si>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</si>
  <si>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</si>
  <si>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</si>
  <si>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</si>
  <si>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</si>
  <si>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</si>
  <si>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</si>
  <si>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</si>
  <si>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</si>
  <si>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</si>
  <si>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</si>
  <si>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</si>
  <si>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</si>
  <si>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</si>
  <si>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</si>
  <si>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</si>
  <si>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</si>
  <si>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</si>
  <si>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</si>
  <si>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</si>
  <si>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</si>
  <si>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</si>
  <si>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</si>
  <si>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</si>
  <si>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</si>
  <si>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</si>
  <si>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</si>
  <si>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</si>
  <si>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</si>
  <si>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</si>
  <si>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</si>
  <si>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</si>
  <si>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</si>
  <si>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</si>
  <si>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</si>
  <si>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</si>
  <si>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</si>
  <si>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</si>
  <si>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</si>
  <si>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</si>
  <si>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</si>
  <si>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</si>
  <si>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</si>
  <si>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</si>
  <si>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</si>
  <si>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</si>
  <si>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</si>
  <si>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</si>
  <si>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</si>
  <si>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</si>
  <si>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</si>
  <si>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</si>
  <si>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</si>
  <si>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</si>
  <si>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</si>
  <si>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</si>
  <si>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</si>
  <si>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</si>
  <si>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</si>
  <si>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</si>
  <si>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</si>
  <si>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</si>
  <si>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</si>
  <si>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</si>
  <si>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</si>
  <si>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</si>
  <si>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</si>
  <si>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</si>
  <si>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</si>
  <si>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</si>
  <si>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</si>
  <si>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</si>
  <si>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</si>
  <si>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</si>
  <si>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</si>
  <si>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</si>
  <si>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</si>
  <si>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</si>
  <si>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</si>
  <si>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</si>
  <si>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</si>
  <si>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</si>
  <si>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</si>
  <si>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</si>
  <si>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</si>
  <si>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</si>
  <si>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</si>
  <si>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</si>
  <si>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</si>
  <si>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</si>
  <si>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</si>
  <si>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</si>
  <si>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</si>
  <si>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</si>
  <si>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</si>
  <si>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</si>
  <si>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</si>
  <si>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</si>
  <si>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</si>
  <si>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</si>
  <si>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</si>
  <si>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</si>
  <si>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</si>
  <si>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</si>
  <si>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</si>
  <si>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</si>
  <si>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</si>
  <si>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</si>
  <si>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</si>
  <si>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</si>
  <si>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</si>
  <si>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</si>
  <si>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</si>
  <si>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</si>
  <si>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</si>
  <si>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</si>
  <si>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</si>
  <si>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</si>
  <si>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</si>
  <si>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</si>
  <si>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</si>
  <si>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</si>
  <si>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</si>
  <si>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</si>
  <si>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</si>
  <si>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</si>
  <si>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</si>
  <si>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</si>
  <si>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</si>
  <si>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</si>
  <si>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</si>
  <si>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</si>
  <si>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</si>
  <si>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</si>
  <si>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</si>
  <si>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</si>
  <si>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</si>
  <si>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</si>
  <si>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</si>
  <si>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</si>
  <si>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</si>
  <si>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</si>
  <si>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</si>
  <si>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</si>
  <si>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</si>
  <si>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</si>
  <si>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</si>
  <si>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</si>
  <si>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</si>
  <si>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</si>
  <si>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</si>
  <si>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</si>
  <si>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</si>
  <si>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</si>
  <si>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</si>
  <si>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</si>
  <si>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</si>
  <si>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</si>
  <si>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</si>
  <si>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</si>
  <si>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</si>
  <si>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</si>
  <si>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</si>
  <si>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</si>
  <si>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</si>
  <si>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</si>
  <si>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</si>
  <si>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</si>
  <si>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</si>
  <si>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</si>
  <si>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</si>
  <si>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</si>
  <si>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</si>
  <si>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</si>
  <si>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</si>
  <si>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</si>
  <si>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</si>
  <si>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</si>
  <si>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</si>
  <si>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</si>
  <si>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</si>
  <si>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</si>
  <si>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</si>
  <si>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</si>
  <si>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</si>
  <si>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</si>
  <si>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</si>
  <si>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</si>
  <si>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</si>
  <si>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</si>
  <si>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</si>
  <si>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</si>
  <si>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</si>
  <si>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</si>
  <si>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</si>
  <si>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</si>
  <si>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</si>
  <si>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</si>
  <si>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</si>
  <si>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</si>
  <si>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</si>
  <si>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</si>
  <si>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</si>
  <si>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</si>
  <si>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</si>
  <si>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</si>
  <si>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</si>
  <si>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</si>
  <si>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</si>
  <si>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</si>
  <si>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</si>
  <si>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</si>
  <si>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</si>
  <si>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</si>
  <si>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</si>
  <si>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</si>
  <si>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</si>
  <si>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</si>
  <si>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</si>
  <si>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</si>
  <si>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</si>
  <si>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</si>
  <si>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</si>
  <si>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</si>
  <si>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</si>
  <si>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</si>
  <si>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</si>
  <si>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</si>
  <si>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</si>
  <si>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</si>
  <si>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</si>
  <si>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</si>
  <si>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</si>
  <si>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</si>
  <si>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</si>
  <si>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</si>
  <si>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</si>
  <si>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</si>
  <si>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</si>
  <si>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</si>
  <si>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</si>
  <si>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</si>
  <si>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</si>
  <si>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</si>
  <si>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</si>
  <si>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</si>
  <si>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</si>
  <si>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</si>
  <si>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</si>
  <si>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</si>
  <si>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</si>
  <si>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</si>
  <si>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</si>
  <si>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</si>
  <si>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</si>
  <si>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</si>
  <si>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</si>
  <si>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</si>
  <si>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</si>
  <si>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</si>
  <si>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</si>
  <si>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</si>
  <si>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</si>
  <si>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</si>
  <si>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</si>
  <si>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</si>
  <si>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</si>
  <si>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</si>
  <si>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</si>
  <si>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</si>
  <si>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</si>
  <si>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</si>
  <si>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</si>
  <si>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</si>
  <si>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</si>
  <si>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</si>
  <si>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</si>
  <si>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</si>
  <si>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</si>
  <si>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</si>
  <si>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</si>
  <si>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</si>
  <si>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</si>
  <si>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</si>
  <si>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</si>
  <si>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</si>
  <si>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</si>
  <si>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</si>
  <si>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</si>
  <si>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</si>
  <si>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</si>
  <si>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</si>
  <si>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</si>
  <si>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</si>
  <si>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</si>
  <si>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</si>
  <si>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</si>
  <si>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</si>
  <si>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</si>
  <si>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</si>
  <si>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</si>
  <si>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</si>
  <si>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</si>
  <si>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</si>
  <si>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</si>
  <si>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</si>
  <si>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</si>
  <si>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</si>
  <si>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</si>
  <si>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</si>
  <si>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</si>
  <si>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</si>
  <si>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</si>
  <si>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</si>
  <si>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</si>
  <si>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</si>
  <si>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</si>
  <si>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</si>
  <si>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</si>
  <si>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</si>
  <si>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</si>
  <si>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</si>
  <si>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</si>
  <si>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</si>
  <si>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</si>
  <si>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</si>
  <si>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</si>
  <si>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</si>
  <si>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</si>
  <si>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</si>
  <si>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</si>
  <si>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</si>
  <si>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</si>
  <si>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</si>
  <si>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</si>
  <si>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</si>
  <si>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</si>
  <si>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</si>
  <si>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</si>
  <si>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</si>
  <si>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</si>
  <si>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</si>
  <si>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</si>
  <si>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</si>
  <si>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</si>
  <si>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</si>
  <si>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</si>
  <si>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</si>
  <si>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</si>
  <si>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</si>
  <si>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</si>
  <si>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</si>
  <si>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</si>
  <si>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</si>
  <si>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</si>
  <si>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</si>
  <si>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</si>
  <si>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</si>
  <si>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</si>
  <si>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</si>
  <si>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</si>
  <si>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</si>
  <si>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</si>
  <si>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</si>
  <si>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</si>
  <si>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</si>
  <si>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</si>
  <si>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</si>
  <si>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</si>
  <si>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</si>
  <si>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</si>
  <si>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</si>
  <si>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</si>
  <si>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</si>
  <si>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</si>
  <si>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</si>
  <si>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</si>
  <si>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</si>
  <si>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</si>
  <si>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</si>
  <si>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</si>
  <si>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</si>
  <si>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</si>
  <si>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</si>
  <si>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</si>
  <si>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</si>
  <si>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</si>
  <si>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</si>
  <si>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</si>
  <si>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</si>
  <si>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</si>
  <si>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</si>
  <si>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</si>
  <si>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</si>
  <si>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</si>
  <si>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</si>
  <si>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</si>
  <si>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</si>
  <si>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</si>
  <si>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</si>
  <si>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</si>
  <si>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</si>
  <si>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</si>
  <si>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</si>
  <si>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</si>
  <si>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</si>
  <si>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</si>
  <si>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</si>
  <si>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</si>
  <si>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</si>
  <si>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</si>
  <si>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</si>
  <si>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</si>
  <si>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</si>
  <si>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</si>
  <si>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</si>
  <si>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</si>
  <si>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</si>
  <si>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</si>
  <si>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</si>
  <si>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</si>
  <si>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</si>
  <si>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</si>
  <si>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</si>
  <si>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</si>
  <si>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</si>
  <si>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</si>
  <si>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</si>
  <si>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</si>
  <si>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</si>
  <si>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</si>
  <si>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</si>
  <si>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</si>
  <si>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</si>
  <si>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</si>
  <si>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</si>
  <si>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</si>
  <si>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</si>
  <si>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</si>
  <si>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</si>
  <si>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</si>
  <si>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</si>
  <si>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</si>
  <si>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</si>
  <si>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</si>
  <si>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</si>
  <si>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</si>
  <si>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</si>
  <si>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</si>
  <si>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</si>
  <si>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</si>
  <si>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</si>
  <si>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</si>
  <si>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</si>
  <si>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</si>
  <si>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</si>
  <si>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</si>
  <si>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</si>
  <si>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</si>
  <si>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</si>
  <si>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</si>
  <si>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</si>
  <si>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</si>
  <si>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</si>
  <si>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</si>
  <si>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</si>
  <si>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</si>
  <si>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</si>
  <si>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</si>
  <si>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</si>
  <si>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</si>
  <si>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</si>
  <si>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</si>
  <si>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</si>
  <si>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</si>
  <si>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</si>
  <si>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</si>
  <si>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</si>
  <si>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</si>
  <si>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</si>
  <si>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</si>
  <si>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</si>
  <si>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</si>
  <si>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</si>
  <si>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</si>
  <si>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</si>
  <si>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</si>
  <si>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</si>
  <si>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</si>
  <si>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</si>
  <si>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</si>
  <si>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</si>
  <si>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</si>
  <si>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</si>
  <si>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</si>
  <si>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</si>
  <si>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</si>
  <si>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</si>
  <si>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</si>
  <si>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</si>
  <si>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</si>
  <si>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</si>
  <si>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</si>
  <si>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</si>
  <si>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</si>
  <si>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</si>
  <si>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</si>
  <si>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</si>
  <si>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</si>
  <si>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</si>
  <si>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</si>
  <si>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</si>
  <si>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</si>
  <si>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</si>
  <si>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</si>
  <si>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</si>
  <si>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</si>
  <si>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</si>
  <si>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</si>
  <si>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</si>
  <si>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</si>
  <si>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</si>
  <si>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</si>
  <si>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</si>
  <si>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</si>
  <si>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</si>
  <si>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</si>
  <si>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</si>
  <si>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</si>
  <si>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</si>
  <si>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</si>
  <si>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</si>
  <si>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</si>
  <si>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</si>
  <si>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</si>
  <si>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</si>
  <si>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</si>
  <si>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</si>
  <si>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</si>
  <si>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</si>
  <si>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</si>
  <si>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</si>
  <si>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</si>
  <si>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</si>
  <si>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</si>
  <si>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</si>
  <si>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</si>
  <si>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</si>
  <si>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</si>
  <si>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</si>
  <si>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</si>
  <si>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</si>
  <si>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</si>
  <si>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</si>
  <si>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</si>
  <si>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</si>
  <si>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</si>
  <si>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</si>
  <si>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</si>
  <si>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</si>
  <si>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</si>
  <si>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</si>
  <si>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</si>
  <si>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</si>
  <si>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</si>
  <si>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</si>
  <si>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</si>
  <si>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</si>
  <si>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</si>
  <si>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</si>
  <si>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</si>
  <si>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</si>
  <si>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</si>
  <si>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</si>
  <si>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</si>
  <si>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</si>
  <si>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</si>
  <si>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</si>
  <si>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</si>
  <si>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</si>
  <si>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</si>
  <si>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</si>
  <si>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</si>
  <si>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</si>
  <si>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</si>
  <si>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</si>
  <si>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</si>
  <si>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</si>
  <si>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</si>
  <si>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</si>
  <si>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</si>
  <si>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</si>
  <si>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</si>
  <si>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</si>
  <si>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</si>
  <si>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</si>
  <si>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</si>
  <si>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</si>
  <si>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</si>
  <si>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</si>
  <si>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</si>
  <si>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</si>
  <si>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</si>
  <si>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</si>
  <si>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</si>
  <si>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</si>
  <si>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</si>
  <si>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</si>
  <si>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</si>
  <si>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</si>
  <si>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</si>
  <si>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</si>
  <si>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</si>
  <si>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</si>
  <si>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</si>
  <si>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</si>
  <si>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</si>
  <si>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</si>
  <si>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</si>
  <si>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</si>
  <si>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</si>
  <si>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</si>
  <si>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</si>
  <si>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</si>
  <si>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</si>
  <si>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</si>
  <si>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</si>
  <si>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</si>
  <si>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</si>
  <si>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</si>
  <si>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</si>
  <si>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</si>
  <si>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</si>
  <si>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</si>
  <si>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</si>
  <si>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</si>
  <si>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</si>
  <si>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</si>
  <si>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</si>
  <si>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</si>
  <si>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</si>
  <si>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</si>
  <si>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</si>
  <si>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</si>
  <si>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</si>
  <si>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</si>
  <si>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</si>
  <si>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</si>
  <si>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</si>
  <si>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</si>
  <si>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</si>
  <si>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</si>
  <si>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</si>
  <si>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</si>
  <si>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</si>
  <si>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</si>
  <si>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</si>
  <si>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</si>
  <si>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</si>
  <si>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</si>
  <si>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</si>
  <si>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</si>
  <si>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</si>
  <si>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</si>
  <si>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</si>
  <si>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</si>
  <si>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</si>
  <si>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</si>
  <si>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</si>
  <si>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</si>
  <si>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</si>
  <si>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</si>
  <si>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</si>
  <si>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</si>
  <si>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</si>
  <si>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</si>
  <si>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</si>
  <si>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</si>
  <si>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</si>
  <si>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</si>
  <si>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</si>
  <si>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</si>
  <si>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</si>
  <si>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</si>
  <si>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</si>
  <si>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</si>
  <si>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</si>
  <si>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</si>
  <si>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</si>
  <si>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</si>
  <si>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</si>
  <si>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</si>
  <si>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</si>
  <si>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</si>
  <si>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</si>
  <si>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</si>
  <si>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</si>
  <si>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</si>
  <si>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</si>
  <si>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</si>
  <si>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</si>
  <si>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</si>
  <si>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</si>
  <si>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</si>
  <si>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</si>
  <si>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</si>
  <si>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</si>
  <si>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</si>
  <si>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</si>
  <si>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</si>
  <si>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</si>
  <si>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</si>
  <si>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</si>
  <si>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</si>
  <si>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</si>
  <si>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</si>
  <si>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</si>
  <si>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</si>
  <si>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</si>
  <si>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</si>
  <si>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</si>
  <si>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</si>
  <si>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</si>
  <si>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</si>
  <si>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</si>
  <si>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</si>
  <si>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</si>
  <si>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</si>
  <si>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</si>
  <si>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</si>
  <si>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</si>
  <si>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</si>
  <si>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</si>
  <si>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</si>
  <si>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</si>
  <si>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</si>
  <si>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</si>
  <si>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</si>
  <si>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</si>
  <si>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</si>
  <si>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</si>
  <si>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</si>
  <si>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</si>
  <si>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</si>
  <si>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</si>
  <si>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</si>
  <si>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</si>
  <si>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</si>
  <si>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</si>
  <si>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</si>
  <si>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</si>
  <si>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</si>
  <si>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</si>
  <si>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</si>
  <si>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</si>
  <si>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</si>
  <si>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</si>
  <si>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</si>
  <si>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</si>
  <si>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</si>
  <si>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</si>
  <si>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</si>
  <si>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</si>
  <si>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</si>
  <si>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</si>
  <si>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</si>
  <si>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</si>
  <si>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</si>
  <si>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</si>
  <si>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</si>
  <si>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</si>
  <si>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</si>
  <si>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</si>
  <si>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</si>
  <si>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</si>
  <si>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</si>
  <si>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</si>
  <si>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</si>
  <si>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</si>
  <si>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</si>
  <si>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</si>
  <si>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</si>
  <si>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</si>
  <si>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</si>
  <si>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</si>
  <si>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</si>
  <si>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</si>
  <si>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</si>
  <si>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</si>
  <si>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</si>
  <si>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</si>
  <si>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</si>
  <si>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</si>
  <si>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</si>
  <si>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</si>
  <si>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</si>
  <si>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</si>
  <si>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</si>
  <si>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</si>
  <si>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</si>
  <si>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</si>
  <si>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</si>
  <si>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</si>
  <si>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</si>
  <si>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</si>
  <si>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</si>
  <si>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</si>
  <si>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</si>
  <si>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</si>
  <si>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</si>
  <si>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</si>
  <si>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</si>
  <si>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</si>
  <si>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</si>
  <si>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</si>
  <si>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</si>
  <si>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</si>
  <si>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</si>
  <si>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</si>
  <si>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</si>
  <si>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</si>
  <si>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</si>
  <si>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</si>
  <si>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</si>
  <si>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</si>
  <si>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</si>
  <si>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</si>
  <si>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</si>
  <si>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</si>
  <si>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</si>
  <si>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</si>
  <si>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</si>
  <si>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</si>
  <si>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</si>
  <si>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</si>
  <si>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</si>
  <si>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</si>
  <si>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</si>
  <si>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</si>
  <si>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</si>
  <si>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</si>
  <si>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</si>
  <si>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</si>
  <si>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</si>
  <si>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</si>
  <si>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</si>
  <si>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</si>
  <si>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</si>
  <si>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</si>
  <si>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</si>
  <si>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</si>
  <si>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</si>
  <si>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</si>
  <si>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</si>
  <si>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</si>
  <si>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</si>
  <si>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</si>
  <si>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</si>
  <si>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</si>
  <si>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</si>
  <si>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</si>
  <si>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</si>
  <si>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</si>
  <si>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</si>
  <si>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</si>
  <si>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</si>
  <si>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</si>
  <si>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</si>
  <si>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</si>
  <si>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</si>
  <si>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</si>
  <si>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</si>
  <si>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</si>
  <si>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</si>
  <si>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</si>
  <si>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</si>
  <si>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</si>
  <si>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</si>
  <si>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</si>
  <si>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</si>
  <si>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</si>
  <si>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</si>
  <si>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</si>
  <si>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</si>
  <si>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</si>
  <si>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</si>
  <si>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</si>
  <si>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</si>
  <si>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</si>
  <si>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</si>
  <si>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</si>
  <si>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</si>
  <si>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</si>
  <si>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</si>
  <si>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</si>
  <si>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</si>
  <si>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</si>
  <si>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</si>
  <si>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</si>
  <si>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</si>
  <si>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</si>
  <si>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</si>
  <si>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</si>
  <si>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</si>
  <si>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</si>
  <si>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</si>
  <si>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</si>
  <si>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</si>
  <si>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</si>
  <si>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</si>
  <si>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</si>
  <si>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</si>
  <si>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</si>
  <si>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</si>
  <si>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</si>
  <si>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</si>
  <si>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</si>
  <si>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</si>
  <si>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</si>
  <si>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</si>
  <si>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</si>
  <si>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</si>
  <si>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</si>
  <si>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</si>
  <si>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</si>
  <si>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</si>
  <si>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</si>
  <si>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</si>
  <si>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</si>
  <si>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</si>
  <si>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</si>
  <si>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</si>
  <si>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</si>
  <si>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</si>
  <si>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</si>
  <si>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</si>
  <si>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</si>
  <si>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</si>
  <si>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</si>
  <si>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</si>
  <si>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</si>
  <si>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</si>
  <si>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</si>
  <si>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</si>
  <si>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</si>
  <si>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</si>
  <si>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</si>
  <si>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</si>
  <si>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</si>
  <si>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</si>
  <si>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</si>
  <si>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</si>
  <si>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</si>
  <si>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</si>
  <si>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</si>
  <si>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</si>
  <si>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</si>
  <si>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</si>
  <si>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</si>
  <si>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</si>
  <si>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</si>
  <si>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</si>
  <si>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</si>
  <si>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</si>
  <si>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</si>
  <si>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</si>
  <si>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</si>
  <si>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</si>
  <si>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</si>
  <si>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</si>
  <si>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</si>
  <si>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</si>
  <si>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</si>
  <si>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</si>
  <si>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</si>
  <si>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</si>
  <si>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</si>
  <si>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</si>
  <si>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</si>
  <si>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</si>
  <si>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</si>
  <si>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</si>
  <si>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</si>
  <si>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</si>
  <si>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</si>
  <si>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</si>
  <si>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</si>
  <si>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</si>
  <si>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</si>
  <si>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</si>
  <si>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</si>
  <si>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</si>
  <si>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</si>
  <si>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</si>
  <si>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</si>
  <si>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</si>
  <si>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</si>
  <si>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</si>
  <si>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</si>
  <si>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</si>
  <si>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</si>
  <si>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</si>
  <si>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</si>
  <si>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</si>
  <si>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</si>
  <si>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</si>
  <si>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</si>
  <si>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</si>
  <si>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</si>
  <si>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</si>
  <si>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</si>
  <si>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</si>
  <si>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</si>
  <si>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</si>
  <si>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</si>
  <si>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</si>
  <si>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</si>
  <si>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</si>
  <si>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</si>
  <si>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</si>
  <si>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</si>
  <si>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</si>
  <si>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</si>
  <si>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</si>
  <si>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</si>
  <si>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</si>
  <si>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</si>
  <si>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</si>
  <si>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</si>
  <si>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</si>
  <si>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</si>
  <si>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</si>
  <si>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</si>
  <si>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</si>
  <si>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</si>
  <si>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</si>
  <si>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</si>
  <si>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</si>
  <si>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</si>
  <si>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</si>
  <si>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</si>
  <si>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</si>
  <si>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</si>
  <si>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</si>
  <si>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</si>
  <si>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</si>
  <si>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</si>
  <si>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</si>
  <si>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</si>
  <si>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</si>
  <si>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</si>
  <si>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</si>
  <si>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</si>
  <si>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</si>
  <si>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</si>
  <si>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</si>
  <si>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</si>
  <si>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</si>
  <si>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</si>
  <si>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</si>
  <si>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</si>
  <si>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</si>
  <si>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</si>
  <si>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</si>
  <si>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</si>
  <si>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</si>
  <si>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</si>
  <si>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</si>
  <si>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</si>
  <si>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</si>
  <si>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</si>
  <si>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</si>
  <si>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</si>
  <si>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</si>
  <si>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</si>
  <si>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</si>
  <si>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</si>
  <si>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</si>
  <si>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</si>
  <si>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</si>
  <si>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</si>
  <si>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</si>
  <si>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</si>
  <si>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</si>
  <si>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</si>
  <si>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</si>
  <si>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</si>
  <si>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</si>
  <si>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</si>
  <si>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</si>
  <si>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</si>
  <si>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</si>
  <si>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</si>
  <si>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</si>
  <si>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</si>
  <si>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</si>
  <si>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</si>
  <si>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</si>
  <si>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</si>
  <si>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</si>
  <si>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</si>
  <si>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</si>
  <si>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</si>
  <si>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</si>
  <si>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</si>
  <si>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</si>
  <si>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</si>
  <si>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</si>
  <si>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</si>
  <si>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</si>
  <si>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</si>
  <si>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</si>
  <si>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</si>
  <si>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</si>
  <si>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</si>
  <si>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</si>
  <si>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</si>
  <si>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</si>
  <si>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</si>
  <si>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</si>
  <si>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</si>
  <si>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</si>
  <si>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</si>
  <si>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</si>
  <si>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</si>
  <si>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</si>
  <si>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</si>
  <si>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</si>
  <si>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</si>
  <si>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</si>
  <si>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</si>
  <si>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</si>
  <si>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</si>
  <si>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</si>
  <si>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</si>
  <si>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</si>
  <si>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</si>
  <si>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</si>
  <si>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</si>
  <si>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</si>
  <si>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</si>
  <si>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</si>
  <si>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</si>
  <si>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</si>
  <si>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</si>
  <si>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</si>
  <si>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</si>
  <si>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</si>
  <si>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</si>
  <si>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</si>
  <si>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</si>
  <si>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</si>
  <si>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</si>
  <si>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</si>
  <si>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</si>
  <si>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</si>
  <si>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</si>
  <si>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</si>
  <si>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</si>
  <si>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</si>
  <si>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</si>
  <si>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</si>
  <si>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</si>
  <si>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</si>
  <si>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</si>
  <si>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</si>
  <si>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</si>
  <si>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</si>
  <si>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</si>
  <si>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</si>
  <si>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</si>
  <si>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</si>
  <si>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</si>
  <si>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</si>
  <si>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</si>
  <si>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</si>
  <si>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</si>
  <si>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</si>
  <si>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</si>
  <si>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</si>
  <si>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</si>
  <si>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</si>
  <si>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</si>
  <si>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</si>
  <si>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</si>
  <si>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</si>
  <si>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</si>
  <si>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</si>
  <si>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</si>
  <si>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</si>
  <si>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</si>
  <si>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</si>
  <si>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</si>
  <si>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</si>
  <si>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</si>
  <si>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</si>
  <si>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</si>
  <si>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</si>
  <si>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</si>
  <si>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</si>
  <si>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</si>
  <si>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</si>
  <si>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</si>
  <si>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</si>
  <si>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</si>
  <si>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</si>
  <si>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</si>
  <si>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</si>
  <si>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</si>
  <si>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</si>
  <si>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</si>
  <si>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</si>
  <si>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</si>
  <si>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</si>
  <si>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</si>
  <si>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</si>
  <si>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</si>
  <si>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</si>
  <si>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</si>
  <si>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</si>
  <si>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</si>
  <si>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</si>
  <si>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</si>
  <si>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</si>
  <si>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</si>
  <si>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</si>
  <si>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</si>
  <si>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</si>
  <si>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</si>
  <si>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</si>
  <si>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</si>
  <si>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</si>
  <si>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</si>
  <si>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</si>
  <si>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</si>
  <si>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</si>
  <si>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</si>
  <si>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</si>
  <si>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</si>
  <si>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</si>
  <si>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</si>
  <si>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</si>
  <si>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</si>
  <si>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</si>
  <si>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</si>
  <si>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</si>
  <si>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</si>
  <si>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</si>
  <si>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</si>
  <si>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</si>
  <si>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</si>
  <si>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</si>
  <si>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</si>
  <si>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</si>
  <si>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</si>
  <si>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</si>
  <si>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</si>
  <si>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</si>
  <si>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</si>
  <si>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</si>
  <si>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</si>
  <si>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</si>
  <si>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</si>
  <si>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</si>
  <si>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</si>
  <si>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</si>
  <si>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</si>
  <si>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</si>
  <si>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</si>
  <si>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</si>
  <si>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</si>
  <si>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</si>
  <si>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</si>
  <si>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</si>
  <si>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</si>
  <si>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</si>
  <si>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</si>
  <si>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</si>
  <si>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</si>
  <si>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</si>
  <si>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</si>
  <si>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</si>
  <si>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</si>
  <si>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</si>
  <si>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</si>
  <si>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</si>
  <si>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</si>
  <si>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</si>
  <si>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</si>
  <si>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</si>
  <si>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</si>
  <si>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</si>
  <si>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</si>
  <si>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</si>
  <si>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</si>
  <si>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</si>
  <si>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</si>
  <si>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</si>
  <si>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</si>
  <si>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</si>
  <si>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</si>
  <si>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</si>
  <si>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</si>
  <si>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</si>
  <si>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</si>
  <si>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</si>
  <si>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</si>
  <si>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</si>
  <si>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</si>
  <si>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</si>
  <si>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</si>
  <si>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</si>
  <si>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</si>
  <si>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</si>
  <si>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</si>
  <si>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</si>
  <si>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</si>
  <si>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</si>
  <si>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</si>
  <si>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</si>
  <si>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</si>
  <si>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</si>
  <si>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</si>
  <si>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</si>
  <si>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</si>
  <si>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</si>
  <si>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</si>
  <si>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</si>
  <si>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</si>
  <si>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</si>
  <si>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</si>
  <si>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</si>
  <si>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</si>
  <si>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</si>
  <si>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</si>
  <si>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</si>
  <si>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</si>
  <si>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</si>
  <si>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</si>
  <si>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</si>
  <si>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</si>
  <si>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</si>
  <si>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</si>
  <si>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</si>
  <si>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</si>
  <si>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</si>
  <si>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</si>
  <si>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</si>
  <si>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</si>
  <si>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</si>
  <si>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</si>
  <si>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</si>
  <si>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</si>
  <si>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</si>
  <si>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</si>
  <si>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</si>
  <si>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</si>
  <si>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</si>
  <si>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</si>
  <si>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</si>
  <si>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</si>
  <si>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</si>
  <si>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</si>
  <si>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</si>
  <si>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</si>
  <si>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</si>
  <si>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</si>
  <si>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</si>
  <si>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</si>
  <si>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</si>
  <si>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</si>
  <si>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</si>
  <si>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</si>
  <si>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</si>
  <si>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</si>
  <si>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</si>
  <si>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</si>
  <si>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</si>
  <si>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</si>
  <si>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</si>
  <si>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</si>
  <si>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</si>
  <si>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</si>
  <si>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</si>
  <si>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</si>
  <si>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</si>
  <si>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</si>
  <si>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</si>
  <si>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</si>
  <si>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</si>
  <si>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</si>
  <si>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</si>
  <si>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</si>
  <si>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</si>
  <si>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</si>
  <si>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</si>
  <si>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</si>
  <si>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</si>
  <si>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</si>
  <si>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</si>
  <si>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</si>
  <si>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</si>
  <si>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</si>
  <si>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</si>
  <si>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</si>
  <si>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</si>
  <si>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</si>
  <si>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</si>
  <si>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</si>
  <si>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</si>
  <si>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</si>
  <si>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</si>
  <si>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</si>
  <si>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</si>
  <si>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</si>
  <si>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</si>
  <si>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</si>
  <si>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</si>
  <si>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</si>
  <si>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</si>
  <si>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</si>
  <si>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</si>
  <si>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</si>
  <si>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</si>
  <si>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</si>
  <si>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</si>
  <si>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</si>
  <si>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</si>
  <si>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</si>
  <si>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</si>
  <si>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</si>
  <si>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</si>
  <si>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</si>
  <si>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</si>
  <si>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</si>
  <si>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</si>
  <si>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</si>
  <si>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</si>
  <si>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</si>
  <si>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</si>
  <si>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</si>
  <si>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</si>
  <si>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</si>
  <si>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</si>
  <si>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</si>
  <si>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</si>
  <si>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</si>
  <si>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</si>
  <si>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</si>
  <si>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</si>
  <si>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</si>
  <si>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</si>
  <si>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</si>
  <si>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</si>
  <si>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</si>
  <si>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</si>
  <si>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</si>
  <si>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</si>
  <si>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</si>
  <si>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</si>
  <si>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</si>
  <si>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</si>
  <si>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</si>
  <si>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</si>
  <si>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</si>
  <si>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</si>
  <si>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</si>
  <si>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</si>
  <si>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</si>
  <si>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</si>
  <si>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</si>
  <si>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</si>
  <si>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</si>
  <si>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</si>
  <si>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</si>
  <si>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</si>
  <si>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</si>
  <si>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</si>
  <si>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</si>
  <si>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</si>
  <si>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</si>
  <si>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</si>
  <si>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</si>
  <si>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</si>
  <si>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</si>
  <si>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</si>
  <si>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</si>
  <si>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</si>
  <si>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</si>
  <si>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</si>
  <si>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</si>
  <si>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</si>
  <si>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</si>
  <si>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</si>
  <si>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</si>
  <si>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</si>
  <si>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</si>
  <si>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</si>
  <si>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</si>
  <si>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</si>
  <si>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</si>
  <si>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</si>
  <si>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</si>
  <si>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</si>
  <si>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</si>
  <si>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</si>
  <si>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</si>
  <si>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</si>
  <si>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</si>
  <si>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</si>
  <si>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</si>
  <si>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</si>
  <si>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</si>
  <si>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</si>
  <si>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</si>
  <si>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</si>
  <si>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</si>
  <si>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</si>
  <si>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</si>
  <si>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</si>
  <si>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</si>
  <si>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</si>
  <si>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</si>
  <si>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</si>
  <si>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</si>
  <si>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</si>
  <si>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</si>
  <si>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</si>
  <si>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</si>
  <si>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</si>
  <si>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</si>
  <si>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</si>
  <si>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</si>
  <si>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</si>
  <si>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</si>
  <si>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</si>
  <si>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</si>
  <si>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</si>
  <si>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</si>
  <si>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</si>
  <si>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</si>
  <si>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</si>
  <si>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</si>
  <si>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</si>
  <si>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</si>
  <si>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</si>
  <si>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</si>
  <si>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</si>
  <si>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</si>
  <si>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</si>
  <si>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</si>
  <si>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</si>
  <si>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</si>
  <si>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</si>
  <si>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</si>
  <si>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</si>
  <si>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</si>
  <si>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</si>
  <si>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</si>
  <si>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</si>
  <si>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</si>
  <si>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</si>
  <si>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</si>
  <si>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</si>
  <si>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</si>
  <si>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</si>
  <si>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</si>
  <si>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</si>
  <si>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</si>
  <si>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</si>
  <si>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</si>
  <si>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</si>
  <si>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</si>
  <si>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</si>
  <si>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</si>
  <si>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</si>
  <si>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</si>
  <si>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</si>
  <si>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</si>
  <si>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</si>
  <si>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</si>
  <si>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</si>
  <si>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</si>
  <si>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</si>
  <si>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</si>
  <si>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</si>
  <si>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</si>
  <si>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</si>
  <si>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</si>
  <si>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</si>
  <si>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</si>
  <si>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</si>
  <si>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</si>
  <si>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</si>
  <si>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</si>
  <si>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</si>
  <si>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</si>
  <si>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</si>
  <si>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</si>
  <si>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</si>
  <si>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</si>
  <si>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</si>
  <si>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</si>
  <si>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</si>
  <si>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</si>
  <si>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</si>
  <si>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</si>
  <si>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</si>
  <si>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</si>
  <si>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</si>
  <si>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</si>
  <si>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</si>
  <si>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</si>
  <si>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</si>
  <si>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</si>
  <si>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</si>
  <si>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</si>
  <si>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</si>
  <si>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</si>
  <si>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</si>
  <si>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</si>
  <si>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</si>
  <si>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</si>
  <si>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</si>
  <si>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</si>
  <si>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</si>
  <si>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</si>
  <si>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</si>
  <si>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</si>
  <si>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</si>
  <si>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</si>
  <si>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</si>
  <si>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</si>
  <si>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</si>
  <si>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</si>
  <si>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</si>
  <si>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</si>
  <si>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</si>
  <si>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</si>
  <si>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</si>
  <si>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</si>
  <si>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</si>
  <si>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</si>
  <si>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</si>
  <si>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</si>
  <si>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</si>
  <si>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</si>
  <si>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</si>
  <si>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</si>
  <si>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</si>
  <si>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</si>
  <si>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</si>
  <si>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</si>
  <si>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</si>
  <si>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</si>
  <si>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</si>
  <si>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</si>
  <si>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</si>
  <si>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</si>
  <si>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</si>
  <si>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</si>
  <si>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</si>
  <si>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</si>
  <si>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</si>
  <si>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</si>
  <si>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</si>
  <si>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</si>
  <si>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</si>
  <si>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</si>
  <si>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</si>
  <si>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</si>
  <si>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</si>
  <si>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</si>
  <si>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</si>
  <si>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</si>
  <si>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</si>
  <si>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</si>
  <si>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</si>
  <si>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</si>
  <si>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</si>
  <si>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</si>
  <si>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</si>
  <si>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</si>
  <si>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</si>
  <si>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</si>
  <si>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</si>
  <si>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</si>
  <si>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</si>
  <si>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</si>
  <si>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</si>
  <si>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</si>
  <si>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</si>
  <si>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</si>
  <si>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</si>
  <si>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</si>
  <si>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</si>
  <si>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</si>
  <si>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</si>
  <si>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</si>
  <si>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</si>
  <si>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</si>
  <si>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</si>
  <si>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</si>
  <si>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</si>
  <si>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</si>
  <si>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</si>
  <si>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</si>
  <si>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</si>
  <si>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</si>
  <si>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</si>
  <si>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</si>
  <si>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</si>
  <si>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</si>
  <si>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</si>
  <si>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</si>
  <si>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</si>
  <si>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</si>
  <si>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</si>
  <si>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</si>
  <si>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</si>
  <si>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</si>
  <si>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</si>
  <si>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</si>
  <si>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</si>
  <si>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</si>
  <si>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</si>
  <si>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</si>
  <si>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</si>
  <si>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</si>
  <si>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</si>
  <si>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</si>
  <si>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</si>
  <si>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</si>
  <si>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</si>
  <si>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</si>
  <si>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</si>
  <si>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</si>
  <si>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</si>
  <si>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</si>
  <si>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</si>
  <si>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</si>
  <si>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</si>
  <si>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</si>
  <si>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</si>
  <si>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</si>
  <si>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</si>
  <si>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</si>
  <si>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</si>
  <si>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</si>
  <si>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</si>
  <si>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</si>
  <si>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</si>
  <si>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</si>
  <si>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</si>
  <si>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</si>
  <si>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</si>
  <si>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</si>
  <si>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</si>
  <si>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</si>
  <si>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</si>
  <si>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</si>
  <si>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</si>
  <si>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</si>
  <si>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</si>
  <si>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</si>
  <si>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</si>
  <si>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</si>
  <si>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</si>
  <si>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</si>
  <si>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</si>
  <si>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</si>
  <si>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</si>
  <si>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</si>
  <si>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</si>
  <si>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</si>
  <si>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</si>
  <si>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</si>
  <si>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</si>
  <si>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</si>
  <si>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</si>
  <si>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</si>
  <si>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</si>
  <si>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</si>
  <si>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</si>
  <si>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</si>
  <si>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</si>
  <si>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</si>
  <si>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</si>
  <si>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</si>
  <si>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</si>
  <si>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</si>
  <si>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</si>
  <si>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</si>
  <si>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</si>
  <si>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</si>
  <si>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</si>
  <si>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</si>
  <si>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</si>
  <si>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</si>
  <si>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</si>
  <si>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</si>
  <si>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</si>
  <si>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</si>
  <si>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</si>
  <si>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</si>
  <si>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</si>
  <si>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</si>
  <si>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</si>
  <si>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</si>
  <si>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</si>
  <si>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</si>
  <si>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</si>
  <si>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</si>
  <si>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</si>
  <si>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</si>
  <si>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</si>
  <si>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</si>
  <si>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</si>
  <si>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</si>
  <si>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</si>
  <si>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</si>
  <si>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</si>
  <si>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</si>
  <si>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</si>
  <si>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</si>
  <si>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</si>
  <si>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</si>
  <si>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</si>
  <si>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</si>
  <si>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</si>
  <si>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</si>
  <si>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</si>
  <si>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</si>
  <si>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</si>
  <si>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</si>
  <si>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</si>
  <si>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</si>
  <si>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</si>
  <si>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</si>
  <si>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</si>
  <si>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</si>
  <si>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</si>
  <si>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</si>
  <si>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</si>
  <si>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</si>
  <si>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</si>
  <si>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</si>
  <si>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</si>
  <si>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</si>
  <si>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</si>
  <si>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</si>
  <si>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</si>
  <si>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</si>
  <si>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</si>
  <si>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</si>
  <si>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</si>
  <si>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</si>
  <si>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</si>
  <si>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</si>
  <si>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</si>
  <si>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</si>
  <si>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</si>
  <si>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</si>
  <si>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</si>
  <si>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</si>
  <si>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</si>
  <si>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</si>
  <si>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</si>
  <si>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</si>
  <si>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</si>
  <si>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</si>
  <si>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</si>
  <si>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</si>
  <si>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</si>
  <si>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</si>
  <si>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</si>
  <si>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</si>
  <si>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</si>
  <si>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</si>
  <si>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</si>
  <si>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</si>
  <si>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</si>
  <si>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</si>
  <si>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</si>
  <si>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</si>
  <si>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</si>
  <si>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</si>
  <si>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</si>
  <si>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</si>
  <si>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</si>
  <si>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</si>
  <si>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</si>
  <si>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</si>
  <si>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</si>
  <si>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</si>
  <si>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</si>
  <si>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</si>
  <si>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</si>
  <si>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</si>
  <si>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</si>
  <si>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</si>
  <si>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</si>
  <si>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</si>
  <si>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</si>
  <si>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</si>
  <si>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</si>
  <si>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</si>
  <si>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</si>
  <si>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</si>
  <si>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</si>
  <si>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</si>
  <si>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</si>
  <si>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</si>
  <si>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</si>
  <si>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</si>
  <si>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</si>
  <si>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</si>
  <si>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</si>
  <si>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</si>
  <si>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</si>
  <si>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</si>
  <si>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</si>
  <si>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</si>
  <si>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</si>
  <si>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</si>
  <si>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</si>
  <si>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</si>
  <si>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</si>
  <si>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</si>
  <si>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</si>
  <si>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</si>
  <si>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</si>
  <si>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</si>
  <si>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</si>
  <si>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</si>
  <si>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</si>
  <si>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</si>
  <si>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</si>
  <si>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</si>
  <si>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</si>
  <si>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</si>
  <si>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</si>
  <si>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</si>
  <si>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</si>
  <si>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</si>
  <si>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</si>
  <si>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</si>
  <si>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</si>
  <si>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</si>
  <si>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</si>
  <si>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</si>
  <si>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</si>
  <si>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</si>
  <si>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</si>
  <si>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</si>
  <si>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</si>
  <si>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</si>
  <si>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</si>
  <si>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</si>
  <si>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</si>
  <si>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</si>
  <si>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</si>
  <si>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</si>
  <si>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</si>
  <si>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</si>
  <si>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</si>
  <si>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</si>
  <si>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</si>
  <si>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</si>
  <si>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</si>
  <si>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</si>
  <si>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</si>
  <si>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</si>
  <si>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</si>
  <si>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</si>
  <si>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</si>
  <si>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</si>
  <si>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</si>
  <si>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</si>
  <si>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</si>
  <si>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</si>
  <si>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</si>
  <si>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</si>
  <si>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</si>
  <si>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</si>
  <si>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</si>
  <si>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</si>
  <si>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</si>
  <si>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</si>
  <si>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</si>
  <si>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</si>
  <si>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</si>
  <si>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</si>
  <si>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</si>
  <si>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</si>
  <si>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</si>
  <si>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</si>
  <si>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</si>
  <si>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</si>
  <si>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</si>
  <si>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</si>
  <si>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</si>
  <si>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</si>
  <si>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</si>
  <si>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</si>
  <si>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</si>
  <si>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</si>
  <si>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</si>
  <si>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</si>
  <si>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</si>
  <si>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</si>
  <si>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</si>
  <si>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</si>
  <si>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</si>
  <si>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</si>
  <si>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</si>
  <si>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</si>
  <si>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</si>
  <si>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</si>
  <si>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</si>
  <si>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</si>
  <si>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</si>
  <si>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</si>
  <si>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</si>
  <si>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</si>
  <si>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</si>
  <si>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</si>
  <si>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</si>
  <si>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</si>
  <si>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</si>
  <si>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</si>
  <si>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</si>
  <si>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</si>
  <si>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</si>
  <si>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</si>
  <si>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</si>
  <si>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</si>
  <si>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</si>
  <si>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</si>
  <si>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</si>
  <si>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</si>
  <si>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</si>
  <si>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</si>
  <si>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</si>
  <si>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</si>
  <si>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</si>
  <si>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</si>
  <si>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</si>
  <si>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</si>
  <si>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</si>
  <si>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</si>
  <si>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</si>
  <si>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</si>
  <si>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</si>
  <si>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</si>
  <si>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</si>
  <si>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</si>
  <si>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</si>
  <si>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</si>
  <si>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</si>
  <si>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</si>
  <si>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</si>
  <si>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</si>
  <si>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</si>
  <si>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</si>
  <si>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</si>
  <si>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</si>
  <si>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</si>
  <si>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</si>
  <si>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</si>
  <si>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</si>
  <si>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</si>
  <si>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</si>
  <si>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</si>
  <si>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</si>
  <si>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</si>
  <si>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</si>
  <si>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</si>
  <si>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</si>
  <si>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</si>
  <si>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</si>
  <si>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</si>
  <si>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</si>
  <si>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</si>
  <si>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</si>
  <si>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</si>
  <si>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</si>
  <si>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</si>
  <si>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</si>
  <si>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</si>
  <si>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</si>
  <si>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</si>
  <si>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</si>
  <si>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</si>
  <si>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</si>
  <si>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</si>
  <si>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</si>
  <si>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</si>
  <si>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</si>
  <si>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</si>
  <si>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</si>
  <si>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</si>
  <si>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</si>
  <si>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</si>
  <si>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</si>
  <si>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</si>
  <si>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</si>
  <si>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</si>
  <si>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</si>
  <si>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</si>
  <si>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</si>
  <si>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</si>
  <si>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</si>
  <si>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</si>
  <si>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</si>
  <si>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</si>
  <si>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</si>
  <si>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</si>
  <si>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</si>
  <si>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</si>
  <si>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</si>
  <si>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</si>
  <si>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</si>
  <si>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</si>
  <si>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</si>
  <si>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</si>
  <si>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</si>
  <si>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</si>
  <si>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</si>
  <si>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</si>
  <si>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</si>
  <si>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</si>
  <si>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</si>
  <si>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</si>
  <si>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</si>
  <si>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</si>
  <si>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</si>
  <si>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</si>
  <si>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</si>
  <si>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</si>
  <si>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</si>
  <si>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</si>
  <si>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</si>
  <si>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</si>
  <si>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</si>
  <si>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</si>
  <si>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</si>
  <si>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</si>
  <si>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</si>
  <si>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</si>
  <si>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</si>
  <si>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</si>
  <si>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</si>
  <si>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</si>
  <si>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</si>
  <si>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</si>
  <si>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</si>
  <si>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</si>
  <si>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</si>
  <si>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</si>
  <si>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</si>
  <si>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</si>
  <si>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</si>
  <si>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</si>
  <si>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</si>
  <si>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</si>
  <si>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</si>
  <si>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</si>
  <si>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</si>
  <si>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</si>
  <si>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</si>
  <si>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</si>
  <si>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</si>
  <si>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</si>
  <si>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</si>
  <si>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</si>
  <si>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</si>
  <si>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</si>
  <si>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</si>
  <si>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</si>
  <si>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</si>
  <si>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</si>
  <si>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</si>
  <si>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</si>
  <si>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</si>
  <si>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</si>
  <si>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</si>
  <si>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</si>
  <si>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</si>
  <si>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</si>
  <si>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</si>
  <si>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</si>
  <si>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</si>
  <si>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</si>
  <si>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</si>
  <si>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</si>
  <si>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</si>
  <si>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</si>
  <si>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</si>
  <si>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</si>
  <si>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</si>
  <si>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</si>
  <si>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</si>
  <si>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</si>
  <si>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</si>
  <si>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</si>
  <si>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</si>
  <si>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</si>
  <si>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</si>
  <si>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</si>
  <si>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</si>
  <si>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</si>
  <si>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</si>
  <si>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</si>
  <si>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</si>
  <si>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</si>
  <si>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</si>
  <si>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</si>
  <si>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</si>
  <si>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</si>
  <si>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</si>
  <si>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</si>
  <si>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</si>
  <si>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</si>
  <si>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</si>
  <si>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</si>
  <si>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</si>
  <si>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</si>
  <si>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</si>
  <si>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</si>
  <si>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</si>
  <si>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</si>
  <si>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</si>
  <si>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</si>
  <si>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</si>
  <si>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</si>
  <si>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</si>
  <si>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</si>
  <si>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</si>
  <si>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</si>
  <si>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</si>
  <si>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</si>
  <si>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</si>
  <si>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</si>
  <si>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</si>
  <si>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</si>
  <si>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</si>
  <si>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</si>
  <si>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</si>
  <si>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</si>
  <si>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</si>
  <si>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</si>
  <si>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</si>
  <si>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</si>
  <si>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</si>
  <si>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</si>
  <si>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</si>
  <si>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</si>
  <si>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</si>
  <si>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</si>
  <si>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</si>
  <si>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</si>
  <si>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</si>
  <si>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</si>
  <si>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</si>
  <si>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</si>
  <si>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</si>
  <si>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</si>
  <si>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</si>
  <si>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</si>
  <si>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</si>
  <si>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</si>
  <si>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</si>
  <si>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</si>
  <si>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</si>
  <si>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</si>
  <si>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</si>
  <si>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</si>
  <si>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</si>
  <si>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</si>
  <si>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</si>
  <si>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</si>
  <si>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</si>
  <si>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</si>
  <si>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</si>
  <si>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</si>
  <si>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</si>
  <si>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</si>
  <si>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</si>
  <si>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</si>
  <si>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</si>
  <si>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</si>
  <si>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</si>
  <si>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</si>
  <si>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</si>
  <si>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</si>
  <si>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</si>
  <si>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</si>
  <si>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</si>
  <si>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</si>
  <si>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</si>
  <si>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</si>
  <si>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</si>
  <si>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</si>
  <si>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</si>
  <si>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</si>
  <si>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</si>
  <si>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</si>
  <si>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</si>
  <si>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</si>
  <si>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</si>
  <si>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</si>
  <si>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</si>
  <si>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</si>
  <si>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</si>
  <si>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</si>
  <si>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</si>
  <si>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</si>
  <si>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</si>
  <si>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</si>
  <si>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</si>
  <si>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</si>
  <si>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</si>
  <si>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</si>
  <si>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</si>
  <si>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</si>
  <si>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</si>
  <si>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</si>
  <si>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</si>
  <si>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</si>
  <si>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</si>
  <si>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</si>
  <si>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</si>
  <si>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</si>
  <si>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</si>
  <si>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</si>
  <si>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</si>
  <si>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</si>
  <si>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</si>
  <si>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</si>
  <si>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</si>
  <si>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</si>
  <si>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</si>
  <si>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</si>
  <si>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</si>
  <si>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</si>
  <si>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</si>
  <si>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</si>
  <si>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</si>
  <si>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</si>
  <si>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</si>
  <si>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</si>
  <si>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</si>
  <si>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</si>
  <si>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</si>
  <si>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</si>
  <si>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</si>
  <si>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</si>
  <si>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</si>
  <si>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</si>
  <si>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</si>
  <si>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</si>
  <si>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</si>
  <si>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</si>
  <si>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</si>
  <si>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</si>
  <si>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</si>
  <si>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</si>
  <si>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</si>
  <si>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</si>
  <si>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</si>
  <si>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</si>
  <si>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</si>
  <si>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</si>
  <si>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</si>
  <si>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</si>
  <si>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</si>
  <si>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</si>
  <si>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</si>
  <si>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</si>
  <si>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</si>
  <si>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</si>
  <si>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</si>
  <si>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</si>
  <si>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</si>
  <si>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</si>
  <si>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</si>
  <si>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</si>
  <si>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</si>
  <si>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</si>
  <si>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</si>
  <si>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</si>
  <si>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</si>
  <si>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</si>
  <si>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</si>
  <si>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</si>
  <si>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</si>
  <si>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</si>
  <si>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</si>
  <si>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</si>
  <si>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</si>
  <si>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</si>
  <si>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</si>
  <si>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</si>
  <si>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</si>
  <si>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</si>
  <si>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</si>
  <si>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</si>
  <si>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</si>
  <si>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</si>
  <si>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</si>
  <si>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</si>
  <si>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</si>
  <si>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</si>
  <si>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</si>
  <si>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</si>
  <si>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</si>
  <si>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</si>
  <si>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</si>
  <si>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</si>
  <si>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</si>
  <si>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</si>
  <si>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</si>
  <si>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</si>
  <si>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</si>
  <si>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</si>
  <si>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</si>
  <si>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</si>
  <si>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</si>
  <si>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</si>
  <si>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</si>
  <si>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</si>
  <si>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</si>
  <si>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</si>
  <si>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</si>
  <si>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</si>
  <si>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</si>
  <si>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</si>
  <si>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</si>
  <si>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</si>
  <si>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</si>
  <si>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</si>
  <si>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</si>
  <si>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</si>
  <si>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</si>
  <si>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</si>
  <si>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</si>
  <si>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</si>
  <si>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</si>
  <si>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</si>
  <si>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</si>
  <si>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</si>
  <si>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</si>
  <si>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</si>
  <si>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</si>
  <si>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</si>
  <si>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</si>
  <si>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</si>
  <si>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</si>
  <si>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</si>
  <si>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</si>
  <si>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</si>
  <si>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</si>
  <si>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</si>
  <si>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</si>
  <si>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</si>
  <si>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</si>
  <si>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</si>
  <si>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</si>
  <si>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</si>
  <si>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</si>
  <si>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</si>
  <si>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</si>
  <si>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</si>
  <si>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</si>
  <si>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</si>
  <si>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</si>
  <si>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</si>
  <si>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</si>
  <si>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</si>
  <si>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</si>
  <si>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</si>
  <si>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</si>
  <si>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</si>
  <si>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</si>
  <si>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</si>
  <si>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</si>
  <si>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</si>
  <si>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</si>
  <si>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</si>
  <si>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</si>
  <si>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</si>
  <si>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</si>
  <si>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</si>
  <si>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</si>
  <si>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</si>
  <si>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</si>
  <si>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</si>
  <si>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</si>
  <si>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</si>
  <si>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</si>
  <si>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</si>
  <si>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</si>
  <si>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</si>
  <si>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</si>
  <si>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</si>
  <si>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</si>
  <si>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</si>
  <si>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</si>
  <si>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</si>
  <si>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</si>
  <si>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</si>
  <si>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</si>
  <si>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</si>
  <si>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</si>
  <si>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</si>
  <si>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</si>
  <si>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</si>
  <si>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</si>
  <si>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</si>
  <si>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</si>
  <si>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</si>
  <si>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</si>
  <si>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</si>
  <si>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</si>
  <si>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</si>
  <si>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</si>
  <si>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</si>
  <si>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</si>
  <si>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</si>
  <si>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</si>
  <si>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</si>
  <si>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</si>
  <si>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</si>
  <si>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</si>
  <si>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</si>
  <si>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</si>
  <si>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</si>
  <si>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</si>
  <si>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</si>
  <si>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</si>
  <si>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</si>
  <si>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</si>
  <si>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</si>
  <si>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</si>
  <si>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</si>
  <si>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</si>
  <si>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</si>
  <si>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</si>
  <si>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</si>
  <si>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</si>
  <si>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</si>
  <si>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</si>
  <si>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</si>
  <si>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</si>
  <si>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</si>
  <si>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</si>
  <si>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</si>
  <si>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</si>
  <si>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</si>
  <si>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</si>
  <si>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</si>
  <si>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</si>
  <si>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</si>
  <si>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</si>
  <si>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</si>
  <si>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</si>
  <si>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</si>
  <si>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</si>
  <si>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</si>
  <si>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</si>
  <si>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</si>
  <si>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</si>
  <si>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</si>
  <si>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</si>
  <si>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</si>
  <si>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</si>
  <si>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</si>
  <si>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</si>
  <si>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</si>
  <si>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</si>
  <si>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</si>
  <si>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</si>
  <si>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</si>
  <si>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</si>
  <si>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</si>
  <si>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</si>
  <si>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</si>
  <si>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</si>
  <si>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</si>
  <si>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</si>
  <si>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</si>
  <si>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</si>
  <si>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</si>
  <si>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</si>
  <si>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</si>
  <si>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</si>
  <si>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</si>
  <si>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</si>
  <si>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</si>
  <si>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</si>
  <si>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</si>
  <si>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</si>
  <si>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</si>
  <si>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</si>
  <si>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</si>
  <si>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</si>
  <si>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</si>
  <si>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</si>
  <si>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</si>
  <si>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</si>
  <si>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</si>
  <si>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</si>
  <si>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</si>
  <si>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</si>
  <si>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</si>
  <si>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</si>
  <si>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</si>
  <si>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</si>
  <si>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</si>
  <si>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</si>
  <si>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</si>
  <si>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</si>
  <si>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</si>
  <si>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</si>
  <si>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</si>
  <si>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</si>
  <si>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</si>
  <si>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</si>
  <si>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</si>
  <si>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</si>
  <si>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</si>
  <si>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</si>
  <si>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</si>
  <si>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</si>
  <si>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</si>
  <si>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</si>
  <si>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</si>
  <si>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</si>
  <si>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</si>
  <si>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</si>
  <si>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</si>
  <si>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</si>
  <si>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</si>
  <si>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</si>
  <si>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</si>
  <si>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</si>
  <si>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</si>
  <si>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</si>
  <si>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</si>
  <si>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</si>
  <si>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</si>
  <si>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</si>
  <si>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</si>
  <si>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</si>
  <si>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</si>
  <si>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</si>
  <si>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</si>
  <si>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</si>
  <si>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</si>
  <si>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</si>
  <si>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</si>
  <si>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</si>
  <si>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</si>
  <si>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</si>
  <si>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</si>
  <si>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</si>
  <si>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</si>
  <si>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</si>
  <si>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</si>
  <si>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</si>
  <si>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</si>
  <si>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</si>
  <si>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</si>
  <si>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</si>
  <si>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</si>
  <si>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</si>
  <si>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</si>
  <si>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</si>
  <si>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</si>
  <si>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</si>
  <si>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</si>
  <si>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</si>
  <si>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</si>
  <si>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</si>
  <si>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</si>
  <si>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</si>
  <si>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</si>
  <si>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</si>
  <si>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</si>
  <si>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</si>
  <si>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</si>
  <si>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</si>
  <si>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</si>
  <si>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</si>
  <si>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</si>
  <si>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</si>
  <si>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</si>
  <si>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</si>
  <si>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</si>
  <si>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</si>
  <si>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</si>
  <si>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</si>
  <si>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</si>
  <si>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</si>
  <si>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</si>
  <si>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</si>
  <si>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</si>
  <si>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</si>
  <si>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</si>
  <si>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</si>
  <si>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</si>
  <si>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</si>
  <si>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</si>
  <si>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</si>
  <si>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</si>
  <si>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</si>
  <si>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</si>
  <si>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</si>
  <si>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</si>
  <si>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</si>
  <si>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</si>
  <si>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</si>
  <si>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</si>
  <si>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</si>
  <si>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</si>
  <si>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</si>
  <si>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</si>
  <si>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</si>
  <si>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</si>
  <si>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</si>
  <si>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</si>
  <si>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</si>
  <si>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</si>
  <si>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</si>
  <si>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</si>
  <si>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</si>
  <si>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</si>
  <si>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</si>
  <si>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</si>
  <si>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</si>
  <si>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</si>
  <si>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</si>
  <si>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</si>
  <si>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</si>
  <si>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</si>
  <si>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</si>
  <si>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</si>
  <si>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</si>
  <si>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</si>
  <si>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</si>
  <si>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</si>
  <si>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</si>
  <si>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</si>
  <si>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</si>
  <si>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</si>
  <si>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</si>
  <si>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</si>
  <si>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</si>
  <si>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</si>
  <si>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</si>
  <si>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</si>
  <si>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</si>
  <si>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</si>
  <si>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</si>
  <si>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</si>
  <si>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</si>
  <si>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</si>
  <si>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</si>
  <si>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</si>
  <si>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</si>
  <si>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</si>
  <si>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</si>
  <si>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</si>
  <si>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</si>
  <si>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</si>
  <si>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</si>
  <si>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</si>
  <si>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</si>
  <si>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</si>
  <si>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</si>
  <si>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</si>
  <si>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</si>
  <si>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</si>
  <si>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</si>
  <si>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</si>
  <si>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</si>
  <si>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</si>
  <si>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</si>
  <si>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</si>
  <si>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</si>
  <si>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</si>
  <si>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</si>
  <si>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</si>
  <si>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</si>
  <si>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</si>
  <si>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</si>
  <si>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</si>
  <si>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</si>
  <si>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</si>
  <si>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</si>
  <si>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</si>
  <si>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</si>
  <si>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</si>
  <si>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</si>
  <si>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</si>
  <si>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</si>
  <si>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</si>
  <si>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</si>
  <si>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</si>
  <si>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</si>
  <si>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</si>
  <si>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</si>
  <si>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</si>
  <si>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</si>
  <si>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</si>
  <si>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</si>
  <si>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</si>
  <si>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</si>
  <si>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</si>
  <si>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</si>
  <si>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</si>
  <si>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</si>
  <si>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</si>
  <si>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</si>
  <si>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</si>
  <si>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</si>
  <si>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</si>
  <si>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</si>
  <si>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</si>
  <si>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</si>
  <si>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</si>
  <si>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</si>
  <si>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</si>
  <si>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</si>
  <si>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</si>
  <si>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</si>
  <si>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</si>
  <si>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</si>
  <si>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</si>
  <si>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</si>
  <si>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</si>
  <si>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</si>
  <si>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</si>
  <si>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</si>
  <si>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</si>
  <si>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</si>
  <si>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</si>
  <si>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</si>
  <si>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</si>
  <si>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</si>
  <si>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</si>
  <si>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</si>
  <si>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</si>
  <si>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</si>
  <si>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</si>
  <si>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</si>
  <si>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</si>
  <si>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</si>
  <si>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</si>
  <si>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</si>
  <si>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</si>
  <si>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</si>
  <si>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</si>
  <si>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</si>
  <si>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</si>
  <si>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</si>
  <si>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</si>
  <si>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</si>
  <si>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</si>
  <si>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</si>
  <si>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</si>
  <si>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</si>
  <si>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</si>
  <si>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</si>
  <si>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</si>
  <si>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</si>
  <si>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</si>
  <si>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</si>
  <si>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</si>
  <si>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</si>
  <si>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</si>
  <si>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</si>
  <si>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</si>
  <si>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</si>
  <si>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</si>
  <si>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</si>
  <si>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</si>
  <si>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</si>
  <si>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</si>
  <si>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</si>
  <si>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</si>
  <si>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</si>
  <si>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</si>
  <si>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</si>
  <si>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</si>
  <si>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</si>
  <si>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</si>
  <si>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</si>
  <si>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</si>
  <si>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</si>
  <si>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</si>
  <si>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</si>
  <si>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</si>
  <si>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</si>
  <si>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</si>
  <si>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</si>
  <si>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</si>
  <si>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</si>
  <si>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</si>
  <si>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</si>
  <si>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</si>
  <si>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</si>
  <si>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</si>
  <si>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</si>
  <si>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</si>
  <si>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</si>
  <si>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</si>
  <si>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</si>
  <si>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</si>
  <si>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</si>
  <si>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</si>
  <si>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</si>
  <si>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</si>
  <si>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</si>
  <si>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</si>
  <si>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</si>
  <si>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</si>
  <si>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</si>
  <si>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</si>
  <si>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</si>
  <si>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</si>
  <si>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</si>
  <si>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</si>
  <si>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</si>
  <si>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</si>
  <si>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</si>
  <si>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</si>
  <si>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</si>
  <si>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</si>
  <si>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</si>
  <si>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</si>
  <si>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</si>
  <si>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</si>
  <si>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</si>
  <si>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</si>
  <si>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</si>
  <si>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</si>
  <si>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</si>
  <si>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</si>
  <si>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</si>
  <si>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</si>
  <si>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</si>
  <si>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</si>
  <si>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</si>
  <si>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</si>
  <si>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</si>
  <si>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</si>
  <si>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</si>
  <si>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</si>
  <si>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</si>
  <si>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</si>
  <si>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</si>
  <si>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</si>
  <si>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</si>
  <si>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</si>
  <si>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</si>
  <si>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</si>
  <si>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</si>
  <si>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</si>
  <si>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</si>
  <si>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</si>
  <si>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</si>
  <si>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</si>
  <si>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</si>
  <si>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</si>
  <si>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</si>
  <si>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</si>
  <si>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</si>
  <si>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</si>
  <si>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</si>
  <si>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</si>
  <si>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</si>
  <si>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</si>
  <si>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</si>
  <si>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</si>
  <si>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</si>
  <si>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</si>
  <si>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</si>
  <si>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</si>
  <si>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</si>
  <si>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</si>
  <si>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</si>
  <si>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</si>
  <si>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</si>
  <si>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</si>
  <si>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</si>
  <si>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</si>
  <si>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</si>
  <si>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</si>
  <si>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</si>
  <si>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</si>
  <si>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</si>
  <si>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</si>
  <si>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</si>
  <si>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</si>
  <si>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</si>
  <si>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</si>
  <si>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</si>
  <si>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</si>
  <si>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</si>
  <si>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</si>
  <si>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</si>
  <si>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</si>
  <si>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</si>
  <si>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</si>
  <si>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</si>
  <si>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</si>
  <si>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</si>
  <si>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</si>
  <si>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</si>
  <si>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</si>
  <si>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</si>
  <si>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</si>
  <si>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</si>
  <si>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</si>
  <si>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</si>
  <si>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</si>
  <si>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</si>
  <si>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</si>
  <si>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</si>
  <si>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</si>
  <si>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</si>
  <si>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</si>
  <si>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</si>
  <si>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</si>
  <si>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</si>
  <si>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</si>
  <si>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</si>
  <si>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</si>
  <si>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</si>
  <si>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</si>
  <si>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</si>
  <si>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</si>
  <si>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</si>
  <si>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</si>
  <si>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</si>
  <si>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</si>
  <si>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</si>
  <si>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</si>
  <si>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</si>
  <si>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</si>
  <si>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</si>
  <si>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</si>
  <si>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</si>
  <si>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</si>
  <si>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</si>
  <si>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</si>
  <si>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</si>
  <si>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</si>
  <si>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</si>
  <si>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</si>
  <si>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</si>
  <si>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</si>
  <si>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</si>
  <si>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</si>
  <si>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</si>
  <si>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</si>
  <si>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</si>
  <si>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</si>
  <si>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</si>
  <si>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</si>
  <si>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</si>
  <si>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</si>
  <si>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</si>
  <si>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</si>
  <si>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</si>
  <si>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</si>
  <si>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</si>
  <si>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</si>
  <si>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</si>
  <si>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</si>
  <si>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</si>
  <si>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</si>
  <si>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</si>
  <si>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</si>
  <si>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</si>
  <si>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</si>
  <si>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</si>
  <si>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</si>
  <si>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</si>
  <si>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</si>
  <si>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</si>
  <si>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</si>
  <si>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</si>
  <si>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</si>
  <si>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</si>
  <si>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</si>
  <si>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</si>
  <si>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</si>
  <si>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</si>
  <si>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</si>
  <si>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</si>
  <si>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</si>
  <si>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</si>
  <si>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</si>
  <si>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</si>
  <si>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</si>
  <si>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</si>
  <si>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</si>
  <si>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</si>
  <si>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</si>
  <si>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</si>
  <si>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</si>
  <si>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</si>
  <si>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</si>
  <si>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</si>
  <si>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</si>
  <si>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</si>
  <si>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</si>
  <si>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</si>
  <si>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</si>
  <si>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</si>
  <si>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</si>
  <si>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</si>
  <si>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</si>
  <si>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</si>
  <si>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</si>
  <si>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</si>
  <si>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</si>
  <si>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</si>
  <si>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</si>
  <si>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</si>
  <si>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</si>
  <si>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</si>
  <si>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</si>
  <si>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</si>
  <si>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</si>
  <si>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</si>
  <si>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</si>
  <si>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</si>
  <si>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</si>
  <si>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</si>
  <si>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</si>
  <si>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</si>
  <si>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</si>
  <si>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</si>
  <si>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</si>
  <si>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</si>
  <si>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</si>
  <si>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</si>
  <si>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</si>
  <si>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</si>
  <si>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</si>
  <si>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</si>
  <si>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</si>
  <si>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</si>
  <si>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</si>
  <si>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</si>
  <si>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</si>
  <si>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</si>
  <si>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</si>
  <si>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</si>
  <si>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</si>
  <si>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</si>
  <si>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</si>
  <si>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</si>
  <si>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</si>
  <si>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</si>
  <si>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</si>
  <si>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</si>
  <si>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</si>
  <si>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</si>
  <si>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</si>
  <si>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</si>
  <si>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</si>
  <si>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</si>
  <si>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</si>
  <si>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</si>
  <si>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</si>
  <si>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</si>
  <si>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</si>
  <si>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</si>
  <si>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</si>
  <si>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</si>
  <si>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</si>
  <si>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</si>
  <si>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</si>
  <si>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</si>
  <si>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</si>
  <si>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</si>
  <si>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</si>
  <si>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</si>
  <si>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</si>
  <si>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</si>
  <si>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</si>
  <si>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</si>
  <si>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</si>
  <si>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</si>
  <si>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</si>
  <si>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</si>
  <si>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</si>
  <si>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</si>
  <si>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</si>
  <si>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</si>
  <si>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</si>
  <si>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</si>
  <si>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</si>
  <si>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</si>
  <si>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</si>
  <si>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</si>
  <si>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</si>
  <si>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</si>
  <si>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</si>
  <si>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</si>
  <si>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</si>
  <si>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</si>
  <si>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</si>
  <si>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</si>
  <si>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</si>
  <si>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</si>
  <si>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</si>
  <si>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</si>
  <si>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</si>
  <si>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</si>
  <si>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</si>
  <si>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</si>
  <si>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</si>
  <si>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</si>
  <si>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</si>
  <si>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</si>
  <si>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</si>
  <si>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</si>
  <si>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</si>
  <si>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</si>
  <si>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</si>
  <si>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</si>
  <si>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</si>
  <si>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</si>
  <si>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</si>
  <si>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</si>
  <si>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</si>
  <si>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</si>
  <si>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</si>
  <si>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</si>
  <si>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</si>
  <si>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</si>
  <si>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</si>
  <si>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</si>
  <si>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</si>
  <si>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</si>
  <si>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</si>
  <si>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</si>
  <si>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</si>
  <si>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</si>
  <si>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</si>
  <si>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</si>
  <si>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</si>
  <si>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</si>
  <si>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</si>
  <si>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</si>
  <si>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</si>
  <si>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</si>
  <si>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</si>
  <si>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</si>
  <si>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</si>
  <si>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</si>
  <si>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</si>
  <si>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</si>
  <si>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</si>
  <si>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</si>
  <si>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</si>
  <si>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</si>
  <si>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</si>
  <si>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</si>
  <si>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</si>
  <si>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</si>
  <si>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</si>
  <si>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</si>
  <si>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</si>
  <si>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</si>
  <si>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</si>
  <si>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vraťte na účet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</si>
  <si>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</si>
  <si>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</si>
  <si>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</si>
  <si>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</si>
  <si>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</si>
  <si>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</si>
  <si>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6. Nová výše zálohy (viz Poučení)</t>
  </si>
  <si>
    <t>b) výpočet</t>
  </si>
  <si>
    <t>7. Datum vyplnění a podpis pojištěnce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</si>
  <si>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</si>
  <si>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</si>
  <si>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</si>
  <si>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</si>
  <si>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</si>
  <si>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</si>
  <si>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</si>
  <si>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</si>
  <si>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</si>
  <si>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</si>
  <si>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</si>
  <si>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</si>
  <si>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</si>
  <si>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</si>
  <si>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</si>
  <si>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</si>
  <si>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</si>
  <si>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</si>
  <si>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</si>
  <si>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</si>
  <si>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</si>
  <si>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</si>
  <si>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</si>
  <si>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</si>
  <si>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</si>
  <si>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</si>
  <si>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</si>
  <si>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</si>
  <si>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</si>
  <si>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</si>
  <si>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</si>
  <si>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</si>
  <si>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</si>
  <si>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</si>
  <si>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</si>
  <si>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</si>
  <si>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</si>
  <si>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</si>
  <si>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</si>
  <si>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</si>
  <si>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</si>
  <si>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</si>
  <si>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</si>
  <si>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</si>
  <si>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</si>
  <si>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Místně příslušná OSSZ / PSSZ / MSSZ Brno</t>
  </si>
  <si>
    <t>Variabilní symbol důchodového pojištění (DP)</t>
  </si>
  <si>
    <t>VZP</t>
  </si>
  <si>
    <t>Jiné ZP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</si>
  <si>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</si>
  <si>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</si>
  <si>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</si>
  <si>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</si>
  <si>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</si>
  <si>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</si>
  <si>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</si>
  <si>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</si>
  <si>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</si>
  <si>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</si>
  <si>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</si>
  <si>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</si>
  <si>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</si>
  <si>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</si>
  <si>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</si>
  <si>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</si>
  <si>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</si>
  <si>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</si>
  <si>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</si>
  <si>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</si>
  <si>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</si>
  <si>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</si>
  <si>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</si>
  <si>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</si>
  <si>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</si>
  <si>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</si>
  <si>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</si>
  <si>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</si>
  <si>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</si>
  <si>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</si>
  <si>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</si>
  <si>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</si>
  <si>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</si>
  <si>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</si>
  <si>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</si>
  <si>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</si>
  <si>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</si>
  <si>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</si>
  <si>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</si>
  <si>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</si>
  <si>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</si>
  <si>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</si>
  <si>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</si>
  <si>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</si>
  <si>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</si>
  <si>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</si>
  <si>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</si>
  <si>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</si>
  <si>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</si>
  <si>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</si>
  <si>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</si>
  <si>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</si>
  <si>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</si>
  <si>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</si>
  <si>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</si>
  <si>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</si>
  <si>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</si>
  <si>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</si>
  <si>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</si>
  <si>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</si>
  <si>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</si>
  <si>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</si>
  <si>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</si>
  <si>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</si>
  <si>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</si>
  <si>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</si>
  <si>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</si>
  <si>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</si>
  <si>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</si>
  <si>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</si>
  <si>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</si>
  <si>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</si>
  <si>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</si>
  <si>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</si>
  <si>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</si>
  <si>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</si>
  <si>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</si>
  <si>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</si>
  <si>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</si>
  <si>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</si>
  <si>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</si>
  <si>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</si>
  <si>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</si>
  <si>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</si>
  <si>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</si>
  <si>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</si>
  <si>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</si>
  <si>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</si>
  <si>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</si>
  <si>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</si>
  <si>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</si>
  <si>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</si>
  <si>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</si>
  <si>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</si>
  <si>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</si>
  <si>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</si>
  <si>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</si>
  <si>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</si>
  <si>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</si>
  <si>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</si>
  <si>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</si>
  <si>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</si>
  <si>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</si>
  <si>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</si>
  <si>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</si>
  <si>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</si>
  <si>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</si>
  <si>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</si>
  <si>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</si>
  <si>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</si>
  <si>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</si>
  <si>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</si>
  <si>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</si>
  <si>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</si>
  <si>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</si>
  <si>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</si>
  <si>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</si>
  <si>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</si>
  <si>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</si>
  <si>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</si>
  <si>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</si>
  <si>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</si>
  <si>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</si>
  <si>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</si>
  <si>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</si>
  <si>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</si>
  <si>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</si>
  <si>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</si>
  <si>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</si>
  <si>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</si>
  <si>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</si>
  <si>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</si>
  <si>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</si>
  <si>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</si>
  <si>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</si>
  <si>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</si>
  <si>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</si>
  <si>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</si>
  <si>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</si>
  <si>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</si>
  <si>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</si>
  <si>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</si>
  <si>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</si>
  <si>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</si>
  <si>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</si>
  <si>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</si>
  <si>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</si>
  <si>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</si>
  <si>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</si>
  <si>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</si>
  <si>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</si>
  <si>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</si>
  <si>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</si>
  <si>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</si>
  <si>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</si>
  <si>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</si>
  <si>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</si>
  <si>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</si>
  <si>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</si>
  <si>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</si>
  <si>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</si>
  <si>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</si>
  <si>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</si>
  <si>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PŘIZNÁNÍ K DANI Z PŘÍJMŮ FYZICKÝCH OSOB včetně přehledů OSVČ pro zdravotní i sociální pojištění</t>
  </si>
  <si>
    <t xml:space="preserve">nebo vraťte na účet vedený u </t>
  </si>
  <si>
    <t>6. Ulice</t>
  </si>
  <si>
    <t>7. Číslo domu</t>
  </si>
  <si>
    <t>8. Obec</t>
  </si>
  <si>
    <t>9. PSČ</t>
  </si>
  <si>
    <t>10. Stát</t>
  </si>
  <si>
    <t>G. Způsob použití přeplatku</t>
  </si>
  <si>
    <t>IBAN (číslo účtu použijte při platbě do ciziny)</t>
  </si>
  <si>
    <t>L. Podpisy a razítka</t>
  </si>
  <si>
    <t>Datum převzetí, razítko a podpis pracovníka VZP ČR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</si>
  <si>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</si>
  <si>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</si>
  <si>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Přeplatek (zbývající část přeplatku) ve vyšší výši než 99 Kč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</si>
  <si>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</si>
  <si>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</si>
  <si>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</si>
  <si>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</si>
  <si>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</si>
  <si>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</si>
  <si>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</si>
  <si>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</si>
  <si>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</si>
  <si>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</si>
  <si>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</si>
  <si>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</si>
  <si>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</si>
  <si>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</si>
  <si>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</si>
  <si>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</si>
  <si>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</si>
  <si>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>4. Rodné číslo</t>
  </si>
  <si>
    <t>5. Datum narození</t>
  </si>
  <si>
    <t>12. Telefon</t>
  </si>
  <si>
    <t>11. ID Datové schránky/E-mail</t>
  </si>
  <si>
    <t xml:space="preserve">SPOLEČNÉ ÚDAJE </t>
  </si>
  <si>
    <t>B. Údaje o výkonu samostatné výdělečné činnosti (SVČ)</t>
  </si>
  <si>
    <t>Měsíce, v nichž po celý měsíc trval nárok na výplatu nemocenského/PPM nebo dlouh. ošetřovného</t>
  </si>
  <si>
    <t xml:space="preserve">C. Důvod výkonu vedlejší SVČ - podle ustanovení § 9 odst. 6 písm. a) - d)  zák. č. 155/1995 Sb. </t>
  </si>
  <si>
    <t>14. Zaměstnání</t>
  </si>
  <si>
    <t>16. Nárok na rodičovský příspěvek</t>
  </si>
  <si>
    <t>18. Osobní péče o osobu závislou na pomoci jiné osoby</t>
  </si>
  <si>
    <t>17. Nárok na PPM nebo nemocenské z důvodu těhotenství a porodu z NP zaměstnanců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</si>
  <si>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</si>
  <si>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</si>
  <si>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</si>
  <si>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</si>
  <si>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</si>
  <si>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</si>
  <si>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 val="single"/>
        <sz val="8"/>
        <rFont val="Arial"/>
        <family val="2"/>
        <charset val="-18"/>
      </rPr>
      <t>https://www.cssz.cz/cz/gdpr.htm</t>
    </r>
  </si>
  <si>
    <t>Údaje OSSZ / PSSZ / MSSZ Brno</t>
  </si>
  <si>
    <t>Pro Důvod podle písmena f) uveďte</t>
  </si>
  <si>
    <t xml:space="preserve">     Řádek 5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</si>
  <si>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</si>
  <si>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</si>
  <si>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Rodné číslo 2. dítěte</t>
  </si>
  <si>
    <t xml:space="preserve">      Typ zálohy                                                               Nová výše zálohy</t>
  </si>
  <si>
    <r>
      <t xml:space="preserve">NEŽÁDÁM o vrácení přeplatku </t>
    </r>
    <r>
      <rPr>
        <b/>
        <sz val="7"/>
        <color rgb="FFFF0000"/>
        <rFont val="Arial"/>
        <family val="2"/>
        <charset val="-18"/>
      </rPr>
      <t>(přeplatek bude použit na úhrady záloh v dal.období)</t>
    </r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</si>
  <si>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</si>
  <si>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</si>
  <si>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</si>
  <si>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</si>
  <si>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</si>
  <si>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</si>
  <si>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</si>
  <si>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</si>
  <si>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</si>
  <si>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</si>
  <si>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</si>
  <si>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</si>
  <si>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</si>
  <si>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</si>
  <si>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</si>
  <si>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</si>
  <si>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</si>
  <si>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</si>
  <si>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</si>
  <si>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</si>
  <si>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</si>
  <si>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</si>
  <si>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</si>
  <si>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</si>
  <si>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</si>
  <si>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</si>
  <si>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</si>
  <si>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</si>
  <si>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</si>
  <si>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</si>
  <si>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</si>
  <si>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</si>
  <si>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</si>
  <si>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</si>
  <si>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</si>
  <si>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</si>
  <si>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</si>
  <si>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25 5405/P4 MFin 5405/P4 - vzor č. 8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</si>
  <si>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</si>
  <si>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</si>
  <si>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</si>
  <si>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</si>
  <si>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</si>
  <si>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</si>
  <si>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</si>
  <si>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</si>
  <si>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</si>
  <si>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</si>
  <si>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</si>
  <si>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Daň z příjmů</t>
  </si>
  <si>
    <t>Duchodové pojištění</t>
  </si>
  <si>
    <t>Nemocenské pojištění</t>
  </si>
  <si>
    <t>Zdravotní pojištění</t>
  </si>
  <si>
    <t>Datum splatnosti</t>
  </si>
  <si>
    <r>
      <t>8. den po datu odevzdání přehledů OSVČ</t>
    </r>
    <r>
      <rPr>
        <vertAlign val="superscript"/>
        <sz val="10"/>
        <rFont val="Arial"/>
        <family val="2"/>
        <charset val="-18"/>
      </rPr>
      <t>2)</t>
    </r>
  </si>
  <si>
    <r>
      <t>Termín pro odevzdání daňového přiznání</t>
    </r>
    <r>
      <rPr>
        <vertAlign val="superscript"/>
        <sz val="10"/>
        <rFont val="Arial CE"/>
        <family val="2"/>
        <charset val="-18"/>
      </rPr>
      <t>1)</t>
    </r>
    <r>
      <rPr>
        <sz val="10"/>
        <rFont val="Arial CE"/>
        <family val="2"/>
        <charset val="-18"/>
      </rPr>
      <t>:</t>
    </r>
  </si>
  <si>
    <t xml:space="preserve">1) toto políčko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</si>
  <si>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</si>
  <si>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</si>
  <si>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Znaménko mínus značí přeplatek a měl by být vrácen nejpozději do 30 dnů po datu uvedeném v příslušném řádku.</t>
  </si>
  <si>
    <t>ANO/NE</t>
  </si>
  <si>
    <t>Tisk řádku</t>
  </si>
  <si>
    <t>ANO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</si>
  <si>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</si>
  <si>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</si>
  <si>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</si>
  <si>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</si>
  <si>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</si>
  <si>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</si>
  <si>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</si>
  <si>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</si>
  <si>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</si>
  <si>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</si>
  <si>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</si>
  <si>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</si>
  <si>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</si>
  <si>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</si>
  <si>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</si>
  <si>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Poznámka : řádky 24 a 26 se vyplňují pouze v tom případě, byla-li vykonávána hlavní i vedlejší činnost (čtěte pokyny)</t>
  </si>
  <si>
    <t>38. Povinnost podávat daňové přiznání</t>
  </si>
  <si>
    <t>41. Lhůta pro předložení daňového přiznání byla rozhodnutím FÚ prodloužena do dne</t>
  </si>
  <si>
    <t>Plná moc přílohou             ano</t>
  </si>
  <si>
    <t>Jiné přílohy</t>
  </si>
  <si>
    <t>15. Nárok na výplatu invalidního nebo přiznání starobního důchodu</t>
  </si>
  <si>
    <t>pošlete poštovní poukázkou (zpoplatněno) na adresu trvalého pobytu nebo na uvedenou adresu:</t>
  </si>
  <si>
    <t>Nemám povinnost podávat daňové přiznání</t>
  </si>
  <si>
    <t>Řádek 3</t>
  </si>
  <si>
    <t>Daňový základ</t>
  </si>
  <si>
    <t>Řádek 5</t>
  </si>
  <si>
    <t>Přeplatek zašlete:</t>
  </si>
  <si>
    <t>na bankovní účet</t>
  </si>
  <si>
    <t>poštovní poukázkou</t>
  </si>
  <si>
    <t xml:space="preserve">Přeplatek (Doplatek): Řádek 41 - Řádek 16                         </t>
  </si>
  <si>
    <t>Přehled o výši daňového základu ze samostatné výdělečné činnosti a zaplacených zálohách na pojistné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</si>
  <si>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</si>
  <si>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-18"/>
      </rPr>
      <t>(přeplatek bude použit na úhrady záloh v dal.období)</t>
    </r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</si>
  <si>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</si>
  <si>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</si>
  <si>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</si>
  <si>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</si>
  <si>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</si>
  <si>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</si>
  <si>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</si>
  <si>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</si>
  <si>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</si>
  <si>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</si>
  <si>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</si>
  <si>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</si>
  <si>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</si>
  <si>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</si>
  <si>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</si>
  <si>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>35. Měsíční vyměřovací základ</t>
  </si>
  <si>
    <t>37. Měsíční pojistné na NP</t>
  </si>
  <si>
    <t xml:space="preserve">36. Měsíční záloha na DP 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</si>
  <si>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</si>
  <si>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</si>
  <si>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</si>
  <si>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</si>
  <si>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</si>
  <si>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</si>
  <si>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</si>
  <si>
    <t>25 5405 Mfin 5405 vzor č. 28, formulář je platný pro zdaňovací období započatá v roce 2022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</si>
  <si>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</si>
  <si>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</si>
  <si>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</si>
  <si>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</si>
  <si>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</si>
  <si>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</si>
  <si>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</si>
  <si>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>ke dni  31.12.2022</t>
  </si>
  <si>
    <t>25 5405/P1 MFin 5405/P1 - vzor č. 18</t>
  </si>
  <si>
    <t>je součástí tiskopisu P Ř I Z N Á N Í k dani z příjmů fyzických osob za zdaňovací období 2022 - 25 5405 MFin 5405 vzor č. 28 („dále jen DAP")</t>
  </si>
  <si>
    <t>je součástí tiskopisu P Ř I Z N Á N Í k dani z příjmů fyzických osob za zdaňovací období 2022 - 25 5405 MFin 5405 vzor č. 28 (dále jen „DAP")</t>
  </si>
  <si>
    <t>25 5405/P2 MFin 5405/P2 - vzor č. 18</t>
  </si>
  <si>
    <t>je součástí tiskopisu P Ř I Z N Á N Í k dani z příjmů fyzických osob za zdaňovací období 2022 - 25 5405 MFin 5405 vzor č. 28 (dále jen „DAP").</t>
  </si>
  <si>
    <t>25 5405/P3 MFin 5405/P3 - vzor č. 18</t>
  </si>
  <si>
    <r>
      <t xml:space="preserve">Součetu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</si>
  <si>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</si>
  <si>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</si>
  <si>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</si>
  <si>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</si>
  <si>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prohlašuji, že jsem v roce 2022 neuplatnil / neuplatnila daňové zvýhodnění na vyživované děti:</t>
  </si>
  <si>
    <t>Platební kalendář daňových a pojistných povinností 2023 - 2024</t>
  </si>
  <si>
    <t xml:space="preserve">Koeficient zápočtu (ř. 321 - ř. 322) děleno (ř. 42 nebo ř. 313), výsledek vynásobte stem </t>
  </si>
  <si>
    <t>Přehled o příjmech a výdajích OSVČ za rok 2022</t>
  </si>
  <si>
    <t>13. V roce 2022 jsem vykonával/a SVČ</t>
  </si>
  <si>
    <t>D. Údaje o daňovém základu OSVČ za rok 2022 a další údaje podle ustanovení § 15 zákona č. 589/1992 Sb.</t>
  </si>
  <si>
    <t>E. Vedlejsí SVČ - přihláška k účasti na DP OSVČ v roce 2022</t>
  </si>
  <si>
    <t>Vzhledem k tomu, že jsem v roce 2022 nedosáhl/a z výkonu vedlejší SVČ zákonem stanoveného příjmu pro povinnou účast na důchodovém pojištění OSVČ, přihlašuji se k této účasti dnem podání tohoto přehledu</t>
  </si>
  <si>
    <t>19. Nezaopatřenost dítěte (studium)</t>
  </si>
  <si>
    <t>ČSSZ -89 324 22 I/2023</t>
  </si>
  <si>
    <t>F. Výše zálohy na důchodové pojištění (DP) a pojistného na nemocenské pojištění (NP) na rok 2023</t>
  </si>
  <si>
    <t>39. Daňové přiznání podáno po 1.4.2023 elektronicky</t>
  </si>
  <si>
    <t>40. Daňové přiznání podává po 1.4.2023 daňový poradce</t>
  </si>
  <si>
    <t>Přehled o příjmech a výdajích OSVČ za rok 2022 - 2.strana</t>
  </si>
  <si>
    <t>Prohlašuji, že všechny údaje uvedené v tomto přehledu jsou pravdivé a že příslušné správě sociálního zabezpečení ohlásím změny údajů, které by vedly ke zvýšení vyměřovacího základu za rok 2022, a to do 8 dnů ode dne, kdy jsem se o těchto změnách dozvěděl/a.</t>
  </si>
  <si>
    <t>V roce 2023 vykonávám / budu vykonávat SVČ</t>
  </si>
  <si>
    <t>Hlavní</t>
  </si>
  <si>
    <t>Vedlejší</t>
  </si>
  <si>
    <t>V roce 2023 jsem / budu poplatníkem v paušálním režimu</t>
  </si>
  <si>
    <r>
      <t xml:space="preserve">38. V roce 2022 jsem byl/a poplatníkem v paušálním režimu,
přesto mám povinnost podávat daňové přiznání z důvodu </t>
    </r>
    <r>
      <rPr>
        <i/>
        <sz val="8"/>
        <rFont val="Arial"/>
        <family val="2"/>
        <charset val="-18"/>
      </rPr>
      <t>(viz pokyny)</t>
    </r>
    <r>
      <rPr>
        <sz val="8"/>
        <rFont val="Arial"/>
        <family val="2"/>
        <charset val="-18"/>
      </rPr>
      <t>:</t>
    </r>
  </si>
  <si>
    <t>g)</t>
  </si>
  <si>
    <t>h)</t>
  </si>
  <si>
    <r>
      <rPr>
        <b/>
        <sz val="8"/>
        <rFont val="Arial"/>
        <family val="2"/>
        <charset val="-18"/>
      </rPr>
      <t>Sdělení:</t>
    </r>
    <r>
      <rPr>
        <sz val="8"/>
        <rFont val="Arial"/>
        <family val="2"/>
        <charset val="-18"/>
      </rPr>
      <t xml:space="preserve"> Na ePortálu ČSSZ bude pro OSVČ v průběhu roku 2023 spuštěna nová online služba, v níž bude po přihlášení možné kdykoliv zjistit stav splatných závazků na důchodovém pojištění OSVČ. V té souvislosti ČSSZ informuje, že od 1. 1. 2024 již nebude rozesílat </t>
    </r>
    <r>
      <rPr>
        <i/>
        <sz val="8"/>
        <rFont val="Arial"/>
        <family val="2"/>
        <charset val="-18"/>
      </rPr>
      <t>Vyúčtování záloh na pojistné na důchodové pojištění za rok 2023 a následující</t>
    </r>
    <r>
      <rPr>
        <sz val="8"/>
        <rFont val="Arial"/>
        <family val="2"/>
        <charset val="-18"/>
      </rPr>
      <t xml:space="preserve"> po podání přehledu či opravného přehledu.</t>
    </r>
  </si>
  <si>
    <t>ČSSZ 89 324 22 I/2023</t>
  </si>
  <si>
    <t>H. Údaje o daňovém přiznání a paušálním režimu</t>
  </si>
  <si>
    <t>V roce 2022 pro mne neplatila povinnost hradit zálohy na pojistné v měsících:</t>
  </si>
  <si>
    <t>V roce 2022 pro mne nebyl stanoven minimální vyměřovací základ v měsících:</t>
  </si>
  <si>
    <t xml:space="preserve">Úhrn zaplacených záloh na pojistné v roce 2022 na účet VZP ČR          </t>
  </si>
  <si>
    <t>Počet měsíců trvání samostatné výdělečné činnosti v roce 2022</t>
  </si>
  <si>
    <t>Vyměřovací základ OSVČ za rok 2022: 0,50 x Řádek 3 (pro &lt; Řádek 9, zapíše se Řádek 9)</t>
  </si>
  <si>
    <t>Pojistné za rok 2022: 0,135 x (Řádek 14 x Řádek 5) / Řádek 4 (zaokr. na Kč nahoru)</t>
  </si>
  <si>
    <t>VZP 87.51/2022</t>
  </si>
  <si>
    <t>V roce 2022 jsem byl/a poplatníkem v paušálním režimu v měsících:</t>
  </si>
  <si>
    <t>Mám povinnost podávat daňové přiznání do 3.4.2023</t>
  </si>
  <si>
    <t>Daňové přiznání podávám po 3.4.2023 elektronicky</t>
  </si>
  <si>
    <t>Daňové přiznání za mne po 3.4.2023 podává daňový poradce</t>
  </si>
  <si>
    <t xml:space="preserve">a) 2 722 Kč </t>
  </si>
  <si>
    <t xml:space="preserve">Úhrn zaplacených záloh na pojistné v roce 2022 na účet ZP ČR          </t>
  </si>
  <si>
    <t>ZP 87.51/2022</t>
  </si>
  <si>
    <t xml:space="preserve">19 455,50 Kč x Řádek 6         </t>
  </si>
  <si>
    <t>použijte na úhradu záloh na pojistné na měsíce roku 2023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</si>
  <si>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</si>
  <si>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</si>
  <si>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</si>
  <si>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</si>
  <si>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</si>
  <si>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</si>
  <si>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</si>
  <si>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</si>
  <si>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</si>
  <si>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</si>
  <si>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</si>
  <si>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</si>
  <si>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</si>
  <si>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</si>
  <si>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</si>
  <si>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</si>
  <si>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</si>
  <si>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Doporučený postup pro elektronické podání přehledů OSVČ</t>
  </si>
  <si>
    <r>
      <t xml:space="preserve">Vytvořte si pdf verzi přehledu pro sociální pojištění. </t>
    </r>
    <r>
      <rPr>
        <sz val="11"/>
        <rFont val="Arial CE"/>
        <family val="2"/>
        <charset val="-18"/>
      </rPr>
      <t>Nejlépe to lze udělat tak, že si označíte listy "SP1" a "SP2" a vytiskněte je do programu, který je uloží do souboru v pdf formátu (např. PdfCreator, Microsoft Print to PDF apod.).</t>
    </r>
  </si>
  <si>
    <t xml:space="preserve">2. </t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</si>
  <si>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 xml:space="preserve">pdf soubor pošlete vaší datovou schránkou do datové schránky vaší </t>
    </r>
    <r>
      <rPr>
        <sz val="11"/>
        <rFont val="Arial CE"/>
        <family val="2"/>
        <charset val="-18"/>
      </rPr>
      <t>příslušné okresní/pražské/městké</t>
    </r>
    <r>
      <rPr>
        <b/>
        <sz val="11"/>
        <rFont val="Arial CE"/>
        <family val="2"/>
        <charset val="-18"/>
      </rPr>
      <t xml:space="preserve"> správy sociálního zabezpečení.</t>
    </r>
  </si>
  <si>
    <r>
      <t xml:space="preserve">Vytvořte si pdf verzi přehledu pro zdravotní pojištění. </t>
    </r>
    <r>
      <rPr>
        <sz val="11"/>
        <rFont val="Arial CE"/>
        <family val="2"/>
        <charset val="-18"/>
      </rPr>
      <t>Nejlépe to lze udělat tak, že si označíte listy "VZP" (pro Všeobecnou ZP) nebo list "Ostatní ZP" (pro ostatní zdravotní pojišťovny) a vytiskněte jej do programu, který jej uloží do souboru v pdf formátu (např. PdfCreator, Microsoft Print to PDF apod.).</t>
    </r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</si>
  <si>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>pdf soubor pošlete vaší datovou schránkou do datové schránky vaší zdravotní pojišťovny.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</si>
</sst>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  <numFmt numFmtId="177" formatCode="#,##0"/>
  </numFmts>
  <fonts count="128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sz val="11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sz val="7"/>
      <color indexed="10"/>
      <name val="Arial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u val="single"/>
      <sz val="18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i/>
      <sz val="7"/>
      <color indexed="10"/>
      <name val="Arial"/>
      <family val="2"/>
      <charset val="-18"/>
    </font>
    <font>
      <u val="single"/>
      <sz val="8"/>
      <name val="Arial"/>
      <family val="2"/>
      <charset val="-18"/>
    </font>
    <font>
      <b/>
      <sz val="7"/>
      <name val="Arial"/>
      <family val="2"/>
      <charset val="-18"/>
    </font>
    <font>
      <sz val="8"/>
      <color rgb="FFFF0000"/>
      <name val="Arial"/>
      <family val="2"/>
      <charset val="-18"/>
    </font>
    <font>
      <b/>
      <sz val="18"/>
      <color rgb="FFFF0000"/>
      <name val="Arial"/>
      <family val="2"/>
      <charset val="-18"/>
    </font>
    <font>
      <b/>
      <sz val="20"/>
      <color rgb="FFFF0000"/>
      <name val="Arial"/>
      <family val="2"/>
      <charset val="-18"/>
    </font>
    <font>
      <b/>
      <sz val="9"/>
      <color rgb="FFFF0000"/>
      <name val="Arial"/>
      <family val="2"/>
      <charset val="-18"/>
    </font>
    <font>
      <sz val="9"/>
      <color rgb="FFFF0000"/>
      <name val="Arial"/>
      <family val="2"/>
      <charset val="-18"/>
    </font>
    <font>
      <b/>
      <sz val="8"/>
      <color rgb="FFFF0000"/>
      <name val="Arial"/>
      <family val="2"/>
      <charset val="-18"/>
    </font>
    <font>
      <b/>
      <sz val="7"/>
      <color rgb="FFFF0000"/>
      <name val="Arial"/>
      <family val="2"/>
      <charset val="-18"/>
    </font>
    <font>
      <sz val="7"/>
      <color rgb="FFFF0000"/>
      <name val="Arial"/>
      <family val="2"/>
      <charset val="-18"/>
    </font>
    <font>
      <i/>
      <sz val="8"/>
      <color rgb="FFFF0000"/>
      <name val="Arial"/>
      <family val="2"/>
      <charset val="-18"/>
    </font>
    <font>
      <i/>
      <sz val="7"/>
      <color rgb="FFFF0000"/>
      <name val="Arial"/>
      <family val="2"/>
      <charset val="-18"/>
    </font>
    <font>
      <b/>
      <sz val="10"/>
      <color theme="0"/>
      <name val="Arial"/>
      <family val="2"/>
      <charset val="-18"/>
    </font>
    <font>
      <sz val="10"/>
      <color theme="0"/>
      <name val="Arial"/>
      <family val="2"/>
      <charset val="-18"/>
    </font>
    <font>
      <b/>
      <sz val="11"/>
      <color rgb="FFFF0000"/>
      <name val="Arial"/>
      <family val="2"/>
      <charset val="-18"/>
    </font>
    <font>
      <sz val="11"/>
      <color rgb="FFFF0000"/>
      <name val="Arial"/>
      <family val="2"/>
      <charset val="-18"/>
    </font>
    <font>
      <b/>
      <sz val="8"/>
      <color rgb="FFFF0000"/>
      <name val="Arial CE"/>
      <family val="2"/>
      <charset val="-18"/>
    </font>
    <font>
      <vertAlign val="superscript"/>
      <sz val="10"/>
      <name val="Arial CE"/>
      <family val="2"/>
      <charset val="-18"/>
    </font>
    <font>
      <vertAlign val="superscript"/>
      <sz val="10"/>
      <name val="Arial"/>
      <family val="2"/>
      <charset val="-18"/>
    </font>
    <font>
      <b/>
      <i/>
      <sz val="9"/>
      <name val="Arial CE"/>
      <family val="2"/>
      <charset val="-18"/>
    </font>
    <font>
      <sz val="11"/>
      <color indexed="10"/>
      <name val="Courier New"/>
      <family val="3"/>
      <charset val="-18"/>
    </font>
    <font>
      <b/>
      <sz val="12"/>
      <color rgb="FFFF0000"/>
      <name val="Arial CE"/>
      <family val="2"/>
      <charset val="-18"/>
    </font>
    <font>
      <b/>
      <u val="single"/>
      <sz val="11"/>
      <name val="Arial CE"/>
      <family val="2"/>
      <charset val="-18"/>
    </font>
    <font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</fonts>
  <fills count="3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3999302387238"/>
        <bgColor indexed="64"/>
      </patternFill>
    </fill>
  </fills>
  <borders count="14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/>
      <top/>
      <bottom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indexed="10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/>
    </border>
    <border>
      <left style="thin">
        <color rgb="FFFF0000"/>
      </left>
      <right/>
      <top style="thin">
        <color rgb="FFFF0000"/>
      </top>
      <bottom/>
    </border>
    <border>
      <left style="thin">
        <color rgb="FFFF0000"/>
      </left>
      <right/>
      <top/>
      <bottom/>
    </border>
    <border>
      <left/>
      <right style="thin">
        <color rgb="FFFF0000"/>
      </right>
      <top/>
      <bottom/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dotted">
        <color auto="1"/>
      </left>
      <right/>
      <top style="dotted">
        <color auto="1"/>
      </top>
      <bottom/>
    </border>
    <border>
      <left style="thin">
        <color rgb="FFFF0000"/>
      </left>
      <right/>
      <top/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indexed="10"/>
      </left>
      <right/>
      <top style="thin">
        <color indexed="10"/>
      </top>
      <bottom/>
    </border>
    <border>
      <left style="thin">
        <color rgb="FFFF0000"/>
      </left>
      <right style="thin">
        <color rgb="FFFF0000"/>
      </right>
      <top/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/>
      <right/>
      <top/>
      <bottom style="thin">
        <color indexed="59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thin">
        <color rgb="FFFF0000"/>
      </right>
      <top style="thin">
        <color rgb="FFFF0000"/>
      </top>
      <bottom/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rgb="FFFF0000"/>
      </right>
      <top style="thin">
        <color indexed="10"/>
      </top>
      <bottom style="thin">
        <color indexed="10"/>
      </bottom>
    </border>
    <border>
      <left/>
      <right style="thin">
        <color auto="1"/>
      </right>
      <top style="thin">
        <color indexed="10"/>
      </top>
      <bottom/>
    </border>
    <border>
      <left/>
      <right/>
      <top/>
      <bottom style="thin">
        <color indexed="10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  <border>
      <left style="thin">
        <color auto="1"/>
      </left>
      <right/>
      <top style="thin">
        <color indexed="10"/>
      </top>
      <bottom/>
    </border>
    <border>
      <left/>
      <right style="thin">
        <color indexed="10"/>
      </right>
      <top/>
      <bottom style="thin">
        <color auto="1"/>
      </bottom>
    </border>
    <border>
      <left style="thin">
        <color indexed="10"/>
      </left>
      <right/>
      <top/>
      <bottom style="thin">
        <color auto="1"/>
      </bottom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</border>
    <border>
      <left/>
      <right style="thin">
        <color indexed="10"/>
      </right>
      <top style="thin">
        <color auto="1"/>
      </top>
      <bottom/>
    </border>
    <border>
      <left style="thin">
        <color auto="1"/>
      </left>
      <right/>
      <top style="thin">
        <color indexed="10"/>
      </top>
      <bottom style="thin">
        <color indexed="10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5" fillId="0" borderId="0" applyNumberFormat="0" applyFill="0" applyBorder="0">
      <alignment/>
      <protection locked="0"/>
    </xf>
    <xf numFmtId="0" fontId="70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6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2387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6" fillId="5" borderId="0" xfId="0" applyFont="1" applyFill="1" applyAlignment="1">
      <alignment horizontal="right"/>
    </xf>
    <xf numFmtId="16" fontId="5" fillId="5" borderId="0" xfId="0" applyNumberFormat="1" applyFont="1" applyFill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4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5" fillId="10" borderId="6" xfId="0" applyFont="1" applyFill="1" applyBorder="1"/>
    <xf numFmtId="0" fontId="25" fillId="10" borderId="24" xfId="0" applyFont="1" applyFill="1" applyBorder="1"/>
    <xf numFmtId="0" fontId="24" fillId="10" borderId="14" xfId="0" applyFont="1" applyFill="1" applyBorder="1"/>
    <xf numFmtId="3" fontId="5" fillId="8" borderId="8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2" fillId="0" borderId="0" xfId="0" applyFont="1"/>
    <xf numFmtId="0" fontId="22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1" fillId="7" borderId="36" xfId="0" applyFont="1" applyFill="1" applyBorder="1" applyAlignment="1">
      <alignment horizontal="right" vertical="center" wrapText="1"/>
    </xf>
    <xf numFmtId="0" fontId="0" fillId="11" borderId="0" xfId="0" applyFill="1"/>
    <xf numFmtId="0" fontId="43" fillId="11" borderId="0" xfId="0" applyFont="1" applyFill="1"/>
    <xf numFmtId="0" fontId="43" fillId="6" borderId="0" xfId="0" applyFont="1" applyFill="1"/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8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/>
    <xf numFmtId="0" fontId="45" fillId="0" borderId="0" xfId="0" applyFont="1"/>
    <xf numFmtId="0" fontId="49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9" fillId="8" borderId="8" xfId="0" applyFont="1" applyFill="1" applyBorder="1" applyAlignment="1">
      <alignment horizontal="center" vertical="center"/>
    </xf>
    <xf numFmtId="0" fontId="46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6" fillId="6" borderId="0" xfId="0" applyFont="1" applyFill="1"/>
    <xf numFmtId="0" fontId="3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6" fillId="8" borderId="0" xfId="0" applyFont="1" applyFill="1" applyAlignment="1">
      <alignment vertical="center"/>
    </xf>
    <xf numFmtId="0" fontId="56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2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vertical="center"/>
      <protection locked="0"/>
    </xf>
    <xf numFmtId="0" fontId="0" fillId="13" borderId="47" xfId="0" applyFill="1" applyBorder="1" applyAlignment="1" applyProtection="1">
      <alignment vertical="center"/>
      <protection locked="0"/>
    </xf>
    <xf numFmtId="0" fontId="0" fillId="13" borderId="48" xfId="0" applyFill="1" applyBorder="1" applyAlignment="1" applyProtection="1">
      <alignment vertical="center"/>
      <protection locked="0"/>
    </xf>
    <xf numFmtId="49" fontId="0" fillId="13" borderId="47" xfId="0" applyNumberFormat="1" applyFill="1" applyBorder="1" applyAlignment="1" applyProtection="1">
      <alignment horizontal="left" vertical="center"/>
      <protection locked="0"/>
    </xf>
    <xf numFmtId="3" fontId="0" fillId="13" borderId="48" xfId="0" applyNumberFormat="1" applyFill="1" applyBorder="1" applyAlignment="1" applyProtection="1">
      <alignment horizontal="left" vertical="center"/>
      <protection locked="0"/>
    </xf>
    <xf numFmtId="3" fontId="0" fillId="13" borderId="47" xfId="0" applyNumberFormat="1" applyFill="1" applyBorder="1" applyAlignment="1" applyProtection="1">
      <alignment horizontal="left" vertical="center"/>
      <protection locked="0"/>
    </xf>
    <xf numFmtId="0" fontId="0" fillId="13" borderId="48" xfId="0" applyFill="1" applyBorder="1" applyAlignment="1" applyProtection="1">
      <alignment horizontal="left" vertical="center"/>
      <protection locked="0"/>
    </xf>
    <xf numFmtId="49" fontId="0" fillId="13" borderId="48" xfId="0" applyNumberFormat="1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vertical="center"/>
      <protection locked="0"/>
    </xf>
    <xf numFmtId="0" fontId="0" fillId="13" borderId="50" xfId="0" applyFill="1" applyBorder="1" applyAlignment="1" applyProtection="1">
      <alignment vertical="center"/>
      <protection locked="0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51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3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0" fontId="0" fillId="8" borderId="56" xfId="0" applyFill="1" applyBorder="1"/>
    <xf numFmtId="0" fontId="0" fillId="14" borderId="0" xfId="0" applyFill="1"/>
    <xf numFmtId="0" fontId="3" fillId="8" borderId="57" xfId="0" applyFont="1" applyFill="1" applyBorder="1" applyAlignment="1" applyProtection="1">
      <alignment horizontal="center" vertical="center"/>
      <protection locked="0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9" fillId="3" borderId="0" xfId="0" applyFont="1" applyFill="1" applyAlignment="1" applyProtection="1">
      <alignment horizontal="lef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3" fillId="8" borderId="0" xfId="0" applyFont="1" applyFill="1" applyAlignment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53" fillId="8" borderId="0" xfId="0" applyFont="1" applyFill="1" applyAlignment="1">
      <alignment horizontal="center"/>
    </xf>
    <xf numFmtId="0" fontId="62" fillId="8" borderId="0" xfId="0" applyFont="1" applyFill="1" applyAlignment="1">
      <alignment vertical="center"/>
    </xf>
    <xf numFmtId="49" fontId="62" fillId="8" borderId="0" xfId="0" applyNumberFormat="1" applyFont="1" applyFill="1" applyAlignment="1">
      <alignment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43" fillId="8" borderId="0" xfId="0" applyFont="1" applyFill="1"/>
    <xf numFmtId="0" fontId="43" fillId="8" borderId="58" xfId="0" applyFont="1" applyFill="1" applyBorder="1"/>
    <xf numFmtId="0" fontId="19" fillId="8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1" fillId="8" borderId="56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8" borderId="0" xfId="0" applyFont="1" applyFill="1"/>
    <xf numFmtId="0" fontId="11" fillId="8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70" fillId="13" borderId="48" xfId="25" applyFill="1" applyBorder="1" applyAlignment="1" applyProtection="1">
      <alignment vertical="center"/>
      <protection locked="0"/>
    </xf>
    <xf numFmtId="0" fontId="71" fillId="0" borderId="0" xfId="0" applyFont="1"/>
    <xf numFmtId="49" fontId="0" fillId="0" borderId="0" xfId="0" applyNumberFormat="1"/>
    <xf numFmtId="0" fontId="72" fillId="0" borderId="0" xfId="0" applyFont="1"/>
    <xf numFmtId="0" fontId="71" fillId="0" borderId="0" xfId="0" applyFont="1"/>
    <xf numFmtId="0" fontId="72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9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73" fillId="3" borderId="60" xfId="26" applyFont="1" applyFill="1" applyBorder="1" applyAlignment="1">
      <alignment vertical="center" wrapText="1"/>
      <protection/>
    </xf>
    <xf numFmtId="0" fontId="73" fillId="3" borderId="59" xfId="26" applyFont="1" applyFill="1" applyBorder="1" applyAlignment="1">
      <alignment horizontal="center" vertical="center" wrapText="1"/>
      <protection/>
    </xf>
    <xf numFmtId="0" fontId="5" fillId="0" borderId="60" xfId="26" applyBorder="1">
      <alignment/>
      <protection/>
    </xf>
    <xf numFmtId="0" fontId="5" fillId="0" borderId="61" xfId="26" applyBorder="1">
      <alignment/>
      <protection/>
    </xf>
    <xf numFmtId="1" fontId="5" fillId="0" borderId="62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74" fillId="0" borderId="63" xfId="0" applyNumberFormat="1" applyFont="1" applyBorder="1" applyAlignment="1">
      <alignment horizontal="center" vertical="center"/>
    </xf>
    <xf numFmtId="0" fontId="0" fillId="0" borderId="62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73" fillId="3" borderId="8" xfId="26" applyFont="1" applyFill="1" applyBorder="1" applyAlignment="1">
      <alignment vertical="center" wrapText="1"/>
      <protection/>
    </xf>
    <xf numFmtId="0" fontId="73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4" xfId="27" applyBorder="1" applyAlignment="1">
      <alignment horizontal="left"/>
      <protection/>
    </xf>
    <xf numFmtId="1" fontId="5" fillId="0" borderId="64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4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75" fillId="0" borderId="63" xfId="0" applyNumberFormat="1" applyFont="1" applyBorder="1" applyAlignment="1">
      <alignment horizontal="center" vertical="center"/>
    </xf>
    <xf numFmtId="1" fontId="76" fillId="0" borderId="64" xfId="0" applyNumberFormat="1" applyFont="1" applyBorder="1" applyAlignment="1">
      <alignment horizontal="left"/>
    </xf>
    <xf numFmtId="49" fontId="76" fillId="0" borderId="0" xfId="0" applyNumberFormat="1" applyFont="1" applyAlignment="1">
      <alignment horizontal="center"/>
    </xf>
    <xf numFmtId="0" fontId="73" fillId="3" borderId="2" xfId="26" applyFont="1" applyFill="1" applyBorder="1" applyAlignment="1">
      <alignment vertical="center" wrapText="1"/>
      <protection/>
    </xf>
    <xf numFmtId="0" fontId="73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5" xfId="27" applyNumberFormat="1" applyBorder="1" applyAlignment="1">
      <alignment horizontal="left"/>
      <protection/>
    </xf>
    <xf numFmtId="49" fontId="0" fillId="0" borderId="2" xfId="0" applyNumberFormat="1" applyBorder="1"/>
    <xf numFmtId="49" fontId="75" fillId="0" borderId="54" xfId="0" applyNumberFormat="1" applyFont="1" applyBorder="1" applyAlignment="1">
      <alignment horizontal="center" vertical="center"/>
    </xf>
    <xf numFmtId="0" fontId="0" fillId="0" borderId="65" xfId="0" applyBorder="1"/>
    <xf numFmtId="0" fontId="3" fillId="0" borderId="0" xfId="0" applyFont="1"/>
    <xf numFmtId="49" fontId="0" fillId="0" borderId="0" xfId="0" applyNumberFormat="1" applyFont="1"/>
    <xf numFmtId="0" fontId="0" fillId="15" borderId="0" xfId="0" applyFill="1"/>
    <xf numFmtId="3" fontId="0" fillId="0" borderId="0" xfId="0" applyNumberFormat="1"/>
    <xf numFmtId="4" fontId="0" fillId="0" borderId="0" xfId="0" applyNumberFormat="1"/>
    <xf numFmtId="0" fontId="77" fillId="0" borderId="0" xfId="0" applyFont="1"/>
    <xf numFmtId="0" fontId="0" fillId="15" borderId="0" xfId="0" applyFont="1" applyFill="1"/>
    <xf numFmtId="1" fontId="0" fillId="0" borderId="0" xfId="0" applyNumberFormat="1"/>
    <xf numFmtId="0" fontId="78" fillId="0" borderId="0" xfId="0" applyFont="1"/>
    <xf numFmtId="0" fontId="0" fillId="16" borderId="0" xfId="0" applyFill="1" applyAlignment="1">
      <alignment horizontal="right" vertical="center"/>
    </xf>
    <xf numFmtId="0" fontId="5" fillId="17" borderId="0" xfId="26" applyFill="1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 wrapText="1"/>
    </xf>
    <xf numFmtId="0" fontId="11" fillId="7" borderId="61" xfId="0" applyFont="1" applyFill="1" applyBorder="1" applyAlignment="1">
      <alignment horizontal="center" vertical="center" wrapText="1"/>
    </xf>
    <xf numFmtId="49" fontId="77" fillId="0" borderId="0" xfId="0" applyNumberFormat="1" applyFont="1"/>
    <xf numFmtId="0" fontId="0" fillId="18" borderId="0" xfId="0" applyFill="1"/>
    <xf numFmtId="0" fontId="5" fillId="19" borderId="0" xfId="26" applyFill="1">
      <alignment/>
      <protection/>
    </xf>
    <xf numFmtId="0" fontId="80" fillId="19" borderId="0" xfId="26" applyFont="1" applyFill="1" applyAlignment="1">
      <alignment vertical="top"/>
      <protection/>
    </xf>
    <xf numFmtId="0" fontId="81" fillId="19" borderId="0" xfId="26" applyFont="1" applyFill="1" applyAlignment="1">
      <alignment wrapText="1"/>
      <protection/>
    </xf>
    <xf numFmtId="0" fontId="80" fillId="19" borderId="0" xfId="26" applyFont="1" applyFill="1" applyAlignment="1">
      <alignment wrapText="1"/>
      <protection/>
    </xf>
    <xf numFmtId="0" fontId="80" fillId="19" borderId="0" xfId="26" applyFont="1" applyFill="1">
      <alignment/>
      <protection/>
    </xf>
    <xf numFmtId="0" fontId="82" fillId="19" borderId="0" xfId="24" applyFont="1" applyFill="1" applyAlignment="1" applyProtection="1">
      <alignment wrapText="1"/>
      <protection/>
    </xf>
    <xf numFmtId="0" fontId="80" fillId="19" borderId="0" xfId="27" applyFont="1" applyFill="1" applyAlignment="1">
      <alignment wrapText="1"/>
      <protection/>
    </xf>
    <xf numFmtId="0" fontId="18" fillId="19" borderId="0" xfId="26" applyFont="1" applyFill="1" applyAlignment="1">
      <alignment horizontal="right" wrapText="1"/>
      <protection/>
    </xf>
    <xf numFmtId="0" fontId="80" fillId="19" borderId="0" xfId="26" applyFont="1" applyFill="1" applyAlignment="1">
      <alignment horizontal="right" wrapText="1"/>
      <protection/>
    </xf>
    <xf numFmtId="0" fontId="0" fillId="0" borderId="66" xfId="0" applyBorder="1"/>
    <xf numFmtId="0" fontId="0" fillId="0" borderId="0" xfId="0" applyFont="1" quotePrefix="1"/>
    <xf numFmtId="0" fontId="27" fillId="8" borderId="54" xfId="0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0" fillId="20" borderId="0" xfId="0" applyFill="1"/>
    <xf numFmtId="0" fontId="85" fillId="21" borderId="57" xfId="0" applyFont="1" applyFill="1" applyBorder="1" applyAlignment="1" applyProtection="1">
      <alignment horizontal="center" vertical="center"/>
      <protection locked="0"/>
    </xf>
    <xf numFmtId="0" fontId="74" fillId="22" borderId="0" xfId="30" applyFont="1" applyFill="1">
      <alignment/>
      <protection/>
    </xf>
    <xf numFmtId="0" fontId="74" fillId="22" borderId="0" xfId="30" applyFont="1" applyFill="1" applyAlignment="1">
      <alignment wrapText="1"/>
      <protection/>
    </xf>
    <xf numFmtId="0" fontId="74" fillId="17" borderId="27" xfId="30" applyFont="1" applyFill="1" applyBorder="1" applyAlignment="1">
      <alignment horizontal="center" vertical="center"/>
      <protection/>
    </xf>
    <xf numFmtId="0" fontId="74" fillId="17" borderId="26" xfId="30" applyFont="1" applyFill="1" applyBorder="1" applyAlignment="1">
      <alignment horizontal="center" vertical="center"/>
      <protection/>
    </xf>
    <xf numFmtId="0" fontId="74" fillId="17" borderId="35" xfId="30" applyFont="1" applyFill="1" applyBorder="1" applyAlignment="1">
      <alignment horizontal="center" vertical="center" wrapText="1"/>
      <protection/>
    </xf>
    <xf numFmtId="0" fontId="74" fillId="22" borderId="0" xfId="30" applyFont="1" applyFill="1" applyAlignment="1">
      <alignment horizontal="center" vertical="center"/>
      <protection/>
    </xf>
    <xf numFmtId="0" fontId="88" fillId="17" borderId="8" xfId="30" applyFont="1" applyFill="1" applyBorder="1" applyAlignment="1" applyProtection="1">
      <alignment horizontal="left" vertical="center" indent="1"/>
      <protection locked="0"/>
    </xf>
    <xf numFmtId="49" fontId="88" fillId="17" borderId="1" xfId="30" applyNumberFormat="1" applyFont="1" applyFill="1" applyBorder="1" applyAlignment="1" applyProtection="1">
      <alignment horizontal="center" vertical="center"/>
      <protection locked="0"/>
    </xf>
    <xf numFmtId="49" fontId="88" fillId="17" borderId="8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8" xfId="30" applyNumberFormat="1" applyFont="1" applyFill="1" applyBorder="1" applyAlignment="1" applyProtection="1">
      <alignment horizontal="center" vertical="center"/>
      <protection locked="0"/>
    </xf>
    <xf numFmtId="49" fontId="88" fillId="17" borderId="2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2" xfId="30" applyNumberFormat="1" applyFont="1" applyFill="1" applyBorder="1" applyAlignment="1" applyProtection="1">
      <alignment horizontal="center" vertical="center"/>
      <protection locked="0"/>
    </xf>
    <xf numFmtId="49" fontId="88" fillId="17" borderId="7" xfId="30" applyNumberFormat="1" applyFont="1" applyFill="1" applyBorder="1" applyAlignment="1" applyProtection="1">
      <alignment horizontal="center" vertical="center"/>
      <protection locked="0"/>
    </xf>
    <xf numFmtId="0" fontId="89" fillId="17" borderId="0" xfId="30" applyFont="1" applyFill="1" applyAlignment="1">
      <alignment vertical="center"/>
      <protection/>
    </xf>
    <xf numFmtId="0" fontId="74" fillId="17" borderId="0" xfId="30" applyFont="1" applyFill="1" applyAlignment="1">
      <alignment horizontal="right" vertical="center"/>
      <protection/>
    </xf>
    <xf numFmtId="14" fontId="88" fillId="17" borderId="0" xfId="30" applyNumberFormat="1" applyFont="1" applyFill="1" applyAlignment="1">
      <alignment horizontal="center" vertical="center"/>
      <protection/>
    </xf>
    <xf numFmtId="0" fontId="74" fillId="17" borderId="0" xfId="30" applyFont="1" applyFill="1">
      <alignment/>
      <protection/>
    </xf>
    <xf numFmtId="0" fontId="3" fillId="22" borderId="0" xfId="30" applyFont="1" applyFill="1">
      <alignment/>
      <protection/>
    </xf>
    <xf numFmtId="0" fontId="2" fillId="22" borderId="0" xfId="30" applyFill="1" applyAlignment="1">
      <alignment wrapText="1"/>
      <protection/>
    </xf>
    <xf numFmtId="0" fontId="2" fillId="22" borderId="0" xfId="30" applyFill="1">
      <alignment/>
      <protection/>
    </xf>
    <xf numFmtId="0" fontId="86" fillId="22" borderId="0" xfId="30" applyFont="1" applyFill="1" applyAlignment="1">
      <alignment vertical="center"/>
      <protection/>
    </xf>
    <xf numFmtId="0" fontId="74" fillId="17" borderId="0" xfId="30" applyFont="1" applyFill="1" applyAlignment="1">
      <alignment vertical="center"/>
      <protection/>
    </xf>
    <xf numFmtId="0" fontId="88" fillId="17" borderId="67" xfId="30" applyFont="1" applyFill="1" applyBorder="1" applyAlignment="1" applyProtection="1">
      <alignment horizontal="center" vertical="center"/>
      <protection locked="0"/>
    </xf>
    <xf numFmtId="49" fontId="89" fillId="17" borderId="66" xfId="30" applyNumberFormat="1" applyFont="1" applyFill="1" applyBorder="1" applyAlignment="1">
      <alignment horizontal="center" vertical="center"/>
      <protection/>
    </xf>
    <xf numFmtId="49" fontId="89" fillId="17" borderId="0" xfId="30" applyNumberFormat="1" applyFont="1" applyFill="1" applyAlignment="1">
      <alignment vertical="center"/>
      <protection/>
    </xf>
    <xf numFmtId="0" fontId="88" fillId="17" borderId="67" xfId="30" applyFont="1" applyFill="1" applyBorder="1" applyAlignment="1" applyProtection="1">
      <alignment horizontal="left" vertical="center" indent="1"/>
      <protection locked="0"/>
    </xf>
    <xf numFmtId="49" fontId="88" fillId="17" borderId="0" xfId="30" applyNumberFormat="1" applyFont="1" applyFill="1" applyAlignment="1">
      <alignment vertical="center"/>
      <protection/>
    </xf>
    <xf numFmtId="14" fontId="88" fillId="17" borderId="67" xfId="30" applyNumberFormat="1" applyFont="1" applyFill="1" applyBorder="1" applyAlignment="1" applyProtection="1">
      <alignment horizontal="center" vertical="center"/>
      <protection locked="0"/>
    </xf>
    <xf numFmtId="0" fontId="2" fillId="17" borderId="0" xfId="30" applyFill="1">
      <alignment/>
      <protection/>
    </xf>
    <xf numFmtId="0" fontId="0" fillId="3" borderId="0" xfId="0" applyFont="1" applyFill="1" applyAlignment="1">
      <alignment vertical="center"/>
    </xf>
    <xf numFmtId="3" fontId="0" fillId="8" borderId="0" xfId="0" applyNumberFormat="1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/>
    </xf>
    <xf numFmtId="0" fontId="0" fillId="17" borderId="0" xfId="0" applyFill="1" applyAlignment="1">
      <alignment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74" fillId="17" borderId="0" xfId="30" applyFont="1" applyFill="1" applyAlignment="1">
      <alignment horizontal="center"/>
      <protection/>
    </xf>
    <xf numFmtId="0" fontId="74" fillId="17" borderId="0" xfId="30" applyFont="1" applyFill="1" applyAlignment="1">
      <alignment horizontal="left" vertical="center"/>
      <protection/>
    </xf>
    <xf numFmtId="0" fontId="74" fillId="17" borderId="26" xfId="30" applyFont="1" applyFill="1" applyBorder="1" applyAlignment="1">
      <alignment horizontal="center" vertical="center" wrapText="1"/>
      <protection/>
    </xf>
    <xf numFmtId="0" fontId="0" fillId="17" borderId="0" xfId="0" applyFill="1"/>
    <xf numFmtId="0" fontId="0" fillId="17" borderId="33" xfId="0" applyFill="1" applyBorder="1" applyAlignment="1">
      <alignment vertical="center"/>
    </xf>
    <xf numFmtId="0" fontId="27" fillId="17" borderId="0" xfId="0" applyFont="1" applyFill="1" applyAlignment="1">
      <alignment vertical="center"/>
    </xf>
    <xf numFmtId="0" fontId="27" fillId="17" borderId="36" xfId="0" applyFont="1" applyFill="1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7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68" xfId="0" applyFill="1" applyBorder="1" applyAlignment="1">
      <alignment vertical="center"/>
    </xf>
    <xf numFmtId="0" fontId="39" fillId="17" borderId="0" xfId="0" applyFont="1" applyFill="1" applyAlignment="1">
      <alignment horizontal="center" vertical="center"/>
    </xf>
    <xf numFmtId="0" fontId="0" fillId="17" borderId="0" xfId="0" applyFont="1" applyFill="1" applyAlignment="1">
      <alignment vertical="center"/>
    </xf>
    <xf numFmtId="0" fontId="3" fillId="17" borderId="8" xfId="0" applyFont="1" applyFill="1" applyBorder="1" applyAlignment="1" applyProtection="1">
      <alignment horizontal="center" vertical="center"/>
      <protection locked="0"/>
    </xf>
    <xf numFmtId="0" fontId="0" fillId="17" borderId="69" xfId="0" applyFill="1" applyBorder="1" applyAlignment="1">
      <alignment vertical="center"/>
    </xf>
    <xf numFmtId="0" fontId="0" fillId="17" borderId="70" xfId="0" applyFill="1" applyBorder="1" applyAlignment="1">
      <alignment vertical="center"/>
    </xf>
    <xf numFmtId="0" fontId="0" fillId="23" borderId="0" xfId="0" applyFill="1"/>
    <xf numFmtId="0" fontId="3" fillId="23" borderId="0" xfId="0" applyFont="1" applyFill="1"/>
    <xf numFmtId="0" fontId="0" fillId="23" borderId="0" xfId="0" applyFill="1" applyAlignment="1">
      <alignment vertical="center"/>
    </xf>
    <xf numFmtId="0" fontId="0" fillId="17" borderId="8" xfId="0" applyFill="1" applyBorder="1" applyAlignment="1">
      <alignment vertical="center"/>
    </xf>
    <xf numFmtId="0" fontId="0" fillId="23" borderId="0" xfId="0" applyFont="1" applyFill="1"/>
    <xf numFmtId="0" fontId="74" fillId="17" borderId="0" xfId="30" applyFont="1" applyFill="1" applyAlignment="1">
      <alignment horizontal="center" vertical="center" wrapText="1"/>
      <protection/>
    </xf>
    <xf numFmtId="0" fontId="88" fillId="17" borderId="33" xfId="30" applyFont="1" applyFill="1" applyBorder="1" applyAlignment="1">
      <alignment horizontal="center" vertical="center"/>
      <protection/>
    </xf>
    <xf numFmtId="0" fontId="89" fillId="17" borderId="0" xfId="30" applyFont="1" applyFill="1" applyAlignment="1" applyProtection="1">
      <alignment horizontal="center" vertical="center" wrapText="1"/>
      <protection locked="0"/>
    </xf>
    <xf numFmtId="0" fontId="88" fillId="17" borderId="63" xfId="30" applyFont="1" applyFill="1" applyBorder="1" applyAlignment="1" applyProtection="1">
      <alignment horizontal="left" vertical="center" indent="1"/>
      <protection locked="0"/>
    </xf>
    <xf numFmtId="49" fontId="88" fillId="17" borderId="63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54" xfId="30" applyNumberFormat="1" applyFont="1" applyFill="1" applyBorder="1" applyAlignment="1" applyProtection="1">
      <alignment horizontal="left" vertical="center" indent="1"/>
      <protection locked="0"/>
    </xf>
    <xf numFmtId="0" fontId="88" fillId="17" borderId="8" xfId="30" applyFont="1" applyFill="1" applyBorder="1" applyAlignment="1" applyProtection="1">
      <alignment horizontal="center" vertical="center"/>
      <protection locked="0"/>
    </xf>
    <xf numFmtId="0" fontId="95" fillId="17" borderId="1" xfId="0" applyFont="1" applyFill="1" applyBorder="1" applyAlignment="1" applyProtection="1">
      <alignment horizontal="center" vertical="center"/>
      <protection locked="0"/>
    </xf>
    <xf numFmtId="0" fontId="94" fillId="17" borderId="8" xfId="30" applyFont="1" applyFill="1" applyBorder="1" applyAlignment="1">
      <alignment horizontal="center" vertical="center"/>
      <protection/>
    </xf>
    <xf numFmtId="0" fontId="27" fillId="17" borderId="31" xfId="0" applyFont="1" applyFill="1" applyBorder="1" applyAlignment="1">
      <alignment vertical="center"/>
    </xf>
    <xf numFmtId="0" fontId="89" fillId="17" borderId="0" xfId="30" applyFont="1" applyFill="1" applyAlignment="1">
      <alignment horizontal="center" vertical="center" wrapText="1"/>
      <protection/>
    </xf>
    <xf numFmtId="0" fontId="74" fillId="17" borderId="9" xfId="30" applyFont="1" applyFill="1" applyBorder="1" applyAlignment="1">
      <alignment horizontal="left" vertical="center" indent="1"/>
      <protection/>
    </xf>
    <xf numFmtId="49" fontId="74" fillId="17" borderId="9" xfId="30" applyNumberFormat="1" applyFont="1" applyFill="1" applyBorder="1" applyAlignment="1">
      <alignment horizontal="left" vertical="center" indent="1"/>
      <protection/>
    </xf>
    <xf numFmtId="49" fontId="88" fillId="17" borderId="10" xfId="30" applyNumberFormat="1" applyFont="1" applyFill="1" applyBorder="1" applyAlignment="1">
      <alignment horizontal="left" vertical="center" indent="1"/>
      <protection/>
    </xf>
    <xf numFmtId="3" fontId="77" fillId="0" borderId="0" xfId="0" applyNumberFormat="1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9" fillId="2" borderId="3" xfId="31" applyFont="1" applyBorder="1" applyAlignment="1">
      <alignment/>
    </xf>
    <xf numFmtId="0" fontId="39" fillId="2" borderId="71" xfId="31" applyFont="1" applyBorder="1" applyAlignment="1" applyProtection="1">
      <alignment horizontal="center"/>
      <protection/>
    </xf>
    <xf numFmtId="0" fontId="39" fillId="2" borderId="72" xfId="31" applyFont="1" applyBorder="1" applyAlignment="1">
      <alignment horizontal="center"/>
    </xf>
    <xf numFmtId="0" fontId="39" fillId="2" borderId="26" xfId="31" applyFont="1" applyBorder="1" applyAlignment="1">
      <alignment horizontal="center"/>
    </xf>
    <xf numFmtId="0" fontId="39" fillId="2" borderId="35" xfId="31" applyFont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4" fontId="3" fillId="0" borderId="73" xfId="0" applyNumberFormat="1" applyFont="1" applyBorder="1" applyAlignment="1">
      <alignment vertical="center"/>
    </xf>
    <xf numFmtId="4" fontId="0" fillId="0" borderId="63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vertical="center"/>
    </xf>
    <xf numFmtId="4" fontId="3" fillId="0" borderId="74" xfId="0" applyNumberFormat="1" applyFont="1" applyBorder="1" applyAlignment="1">
      <alignment vertical="center"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74" fillId="24" borderId="0" xfId="30" applyFont="1" applyFill="1">
      <alignment/>
      <protection/>
    </xf>
    <xf numFmtId="0" fontId="74" fillId="0" borderId="0" xfId="30" applyFont="1">
      <alignment/>
      <protection/>
    </xf>
    <xf numFmtId="0" fontId="27" fillId="17" borderId="36" xfId="30" applyFont="1" applyFill="1" applyBorder="1" applyAlignment="1">
      <alignment horizontal="left" vertical="center"/>
      <protection/>
    </xf>
    <xf numFmtId="0" fontId="27" fillId="17" borderId="0" xfId="30" applyFont="1" applyFill="1" applyAlignment="1">
      <alignment vertical="center"/>
      <protection/>
    </xf>
    <xf numFmtId="0" fontId="74" fillId="24" borderId="0" xfId="30" applyFont="1" applyFill="1" applyAlignment="1">
      <alignment vertical="center"/>
      <protection/>
    </xf>
    <xf numFmtId="0" fontId="74" fillId="0" borderId="0" xfId="30" applyFont="1" applyAlignment="1">
      <alignment vertical="center"/>
      <protection/>
    </xf>
    <xf numFmtId="4" fontId="27" fillId="17" borderId="0" xfId="30" applyNumberFormat="1" applyFont="1" applyFill="1" applyAlignment="1">
      <alignment vertical="center"/>
      <protection/>
    </xf>
    <xf numFmtId="4" fontId="74" fillId="24" borderId="0" xfId="30" applyNumberFormat="1" applyFont="1" applyFill="1" applyAlignment="1">
      <alignment vertical="center"/>
      <protection/>
    </xf>
    <xf numFmtId="4" fontId="74" fillId="0" borderId="0" xfId="30" applyNumberFormat="1" applyFont="1" applyAlignment="1">
      <alignment vertical="center"/>
      <protection/>
    </xf>
    <xf numFmtId="0" fontId="27" fillId="17" borderId="0" xfId="30" applyFont="1" applyFill="1" applyAlignment="1">
      <alignment horizontal="center" vertical="center"/>
      <protection/>
    </xf>
    <xf numFmtId="0" fontId="11" fillId="17" borderId="0" xfId="30" applyFont="1" applyFill="1">
      <alignment/>
      <protection/>
    </xf>
    <xf numFmtId="0" fontId="0" fillId="0" borderId="43" xfId="0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39" fillId="8" borderId="33" xfId="0" applyFont="1" applyFill="1" applyBorder="1" applyAlignment="1">
      <alignment wrapText="1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5" fillId="3" borderId="2" xfId="32" applyFont="1" applyFill="1" applyBorder="1" applyAlignment="1" applyProtection="1">
      <alignment horizontal="center"/>
      <protection locked="0"/>
    </xf>
    <xf numFmtId="0" fontId="39" fillId="8" borderId="0" xfId="0" applyFont="1" applyFill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right" vertical="center"/>
    </xf>
    <xf numFmtId="0" fontId="39" fillId="8" borderId="36" xfId="0" applyFont="1" applyFill="1" applyBorder="1" applyAlignment="1">
      <alignment horizontal="center" vertical="center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7" fillId="8" borderId="47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48" xfId="0" applyFont="1" applyBorder="1" applyAlignment="1" applyProtection="1">
      <alignment horizontal="center" vertical="center"/>
      <protection locked="0"/>
    </xf>
    <xf numFmtId="0" fontId="0" fillId="13" borderId="47" xfId="0" applyFill="1" applyBorder="1" applyAlignment="1" applyProtection="1">
      <alignment vertical="top"/>
      <protection locked="0"/>
    </xf>
    <xf numFmtId="0" fontId="0" fillId="12" borderId="75" xfId="0" applyFill="1" applyBorder="1" applyAlignment="1" applyProtection="1">
      <alignment vertical="top"/>
      <protection locked="0"/>
    </xf>
    <xf numFmtId="0" fontId="0" fillId="12" borderId="48" xfId="0" applyFill="1" applyBorder="1" applyAlignment="1" applyProtection="1">
      <alignment vertical="top"/>
      <protection locked="0"/>
    </xf>
    <xf numFmtId="0" fontId="0" fillId="0" borderId="36" xfId="0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56" fillId="8" borderId="0" xfId="0" applyFont="1" applyFill="1" applyAlignment="1" applyProtection="1">
      <alignment vertical="center"/>
      <protection locked="0"/>
    </xf>
    <xf numFmtId="0" fontId="70" fillId="13" borderId="47" xfId="24" applyFont="1" applyFill="1" applyBorder="1" applyAlignment="1" applyProtection="1">
      <alignment vertical="center"/>
      <protection locked="0"/>
    </xf>
    <xf numFmtId="0" fontId="0" fillId="8" borderId="43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58" xfId="0" applyFill="1" applyBorder="1"/>
    <xf numFmtId="0" fontId="84" fillId="20" borderId="0" xfId="0" applyFont="1" applyFill="1" applyAlignment="1">
      <alignment horizontal="center" vertical="center"/>
    </xf>
    <xf numFmtId="0" fontId="19" fillId="0" borderId="76" xfId="0" applyFont="1" applyBorder="1" applyAlignment="1">
      <alignment vertical="center"/>
    </xf>
    <xf numFmtId="0" fontId="78" fillId="8" borderId="0" xfId="0" applyFont="1" applyFill="1" applyAlignment="1">
      <alignment vertical="center"/>
    </xf>
    <xf numFmtId="0" fontId="3" fillId="8" borderId="77" xfId="0" applyFont="1" applyFill="1" applyBorder="1" applyAlignment="1" applyProtection="1">
      <alignment horizontal="center" vertical="center"/>
      <protection locked="0"/>
    </xf>
    <xf numFmtId="0" fontId="62" fillId="25" borderId="0" xfId="0" applyFont="1" applyFill="1" applyAlignment="1">
      <alignment vertical="center"/>
    </xf>
    <xf numFmtId="0" fontId="0" fillId="25" borderId="0" xfId="0" applyFill="1"/>
    <xf numFmtId="0" fontId="43" fillId="25" borderId="0" xfId="0" applyFont="1" applyFill="1"/>
    <xf numFmtId="0" fontId="111" fillId="26" borderId="78" xfId="0" applyFont="1" applyFill="1" applyBorder="1" applyAlignment="1">
      <alignment horizontal="left"/>
    </xf>
    <xf numFmtId="0" fontId="78" fillId="26" borderId="79" xfId="0" applyFont="1" applyFill="1" applyBorder="1" applyAlignment="1">
      <alignment vertical="center"/>
    </xf>
    <xf numFmtId="0" fontId="0" fillId="26" borderId="80" xfId="0" applyFill="1" applyBorder="1"/>
    <xf numFmtId="0" fontId="0" fillId="25" borderId="80" xfId="0" applyFill="1" applyBorder="1"/>
    <xf numFmtId="0" fontId="0" fillId="25" borderId="80" xfId="0" applyFill="1" applyBorder="1" applyAlignment="1">
      <alignment vertical="center"/>
    </xf>
    <xf numFmtId="0" fontId="0" fillId="25" borderId="81" xfId="0" applyFill="1" applyBorder="1"/>
    <xf numFmtId="0" fontId="112" fillId="25" borderId="0" xfId="0" applyFont="1" applyFill="1" applyAlignment="1">
      <alignment vertical="center"/>
    </xf>
    <xf numFmtId="0" fontId="110" fillId="25" borderId="0" xfId="0" applyFont="1" applyFill="1" applyAlignment="1">
      <alignment horizontal="center"/>
    </xf>
    <xf numFmtId="0" fontId="112" fillId="27" borderId="0" xfId="0" applyFont="1" applyFill="1" applyAlignment="1">
      <alignment vertical="center"/>
    </xf>
    <xf numFmtId="0" fontId="3" fillId="8" borderId="77" xfId="0" applyFont="1" applyFill="1" applyBorder="1" applyAlignment="1" applyProtection="1">
      <alignment horizontal="center" vertical="center"/>
      <protection locked="0"/>
    </xf>
    <xf numFmtId="0" fontId="13" fillId="28" borderId="77" xfId="0" applyFont="1" applyFill="1" applyBorder="1" applyAlignment="1" applyProtection="1">
      <alignment horizontal="center" vertical="center"/>
      <protection locked="0"/>
    </xf>
    <xf numFmtId="0" fontId="3" fillId="8" borderId="82" xfId="0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vertical="center"/>
    </xf>
    <xf numFmtId="0" fontId="0" fillId="26" borderId="0" xfId="0" applyFill="1" applyAlignment="1">
      <alignment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9" fillId="8" borderId="36" xfId="0" applyFont="1" applyFill="1" applyBorder="1" applyAlignment="1">
      <alignment horizontal="center" vertical="center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8" fillId="19" borderId="4" xfId="0" applyFont="1" applyFill="1" applyBorder="1" applyAlignment="1">
      <alignment horizontal="center" vertical="center"/>
    </xf>
    <xf numFmtId="0" fontId="8" fillId="19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0" fillId="7" borderId="83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14" fontId="0" fillId="19" borderId="9" xfId="22" applyNumberFormat="1" applyFill="1" applyBorder="1" applyAlignment="1">
      <alignment horizontal="center" vertical="center"/>
    </xf>
    <xf numFmtId="165" fontId="0" fillId="19" borderId="9" xfId="22" applyNumberFormat="1" applyFill="1" applyBorder="1" applyAlignment="1">
      <alignment horizontal="center" vertical="center" wrapText="1"/>
    </xf>
    <xf numFmtId="14" fontId="5" fillId="19" borderId="6" xfId="0" applyNumberFormat="1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  <xf numFmtId="0" fontId="6" fillId="19" borderId="35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14" fontId="0" fillId="19" borderId="10" xfId="22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46" fillId="20" borderId="0" xfId="0" applyFont="1" applyFill="1" applyAlignment="1">
      <alignment horizontal="left" vertical="center"/>
    </xf>
    <xf numFmtId="0" fontId="25" fillId="19" borderId="0" xfId="0" applyFont="1" applyFill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11" fillId="17" borderId="68" xfId="0" applyFont="1" applyFill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>
      <alignment horizontal="right" vertical="center" wrapText="1"/>
    </xf>
    <xf numFmtId="0" fontId="0" fillId="8" borderId="36" xfId="0" applyFont="1" applyFill="1" applyBorder="1" applyAlignment="1">
      <alignment vertical="center"/>
    </xf>
    <xf numFmtId="3" fontId="0" fillId="8" borderId="0" xfId="0" applyNumberFormat="1" applyFont="1" applyFill="1" applyAlignment="1" applyProtection="1">
      <alignment horizontal="left" vertical="center"/>
      <protection locked="0"/>
    </xf>
    <xf numFmtId="0" fontId="0" fillId="8" borderId="0" xfId="0" applyFont="1" applyFill="1" applyAlignment="1">
      <alignment horizontal="left" vertical="center"/>
    </xf>
    <xf numFmtId="0" fontId="0" fillId="27" borderId="81" xfId="0" applyFill="1" applyBorder="1" applyAlignment="1">
      <alignment vertical="center"/>
    </xf>
    <xf numFmtId="0" fontId="110" fillId="25" borderId="0" xfId="0" applyFont="1" applyFill="1"/>
    <xf numFmtId="0" fontId="78" fillId="27" borderId="0" xfId="0" applyFont="1" applyFill="1"/>
    <xf numFmtId="0" fontId="61" fillId="25" borderId="84" xfId="0" applyFont="1" applyFill="1" applyBorder="1" applyAlignment="1">
      <alignment horizontal="center"/>
    </xf>
    <xf numFmtId="0" fontId="0" fillId="27" borderId="85" xfId="0" applyFill="1" applyBorder="1"/>
    <xf numFmtId="0" fontId="0" fillId="27" borderId="86" xfId="0" applyFill="1" applyBorder="1"/>
    <xf numFmtId="0" fontId="115" fillId="29" borderId="87" xfId="0" applyFont="1" applyFill="1" applyBorder="1" applyAlignment="1">
      <alignment vertical="center"/>
    </xf>
    <xf numFmtId="0" fontId="116" fillId="30" borderId="88" xfId="0" applyFont="1" applyFill="1" applyBorder="1" applyAlignment="1">
      <alignment vertical="center"/>
    </xf>
    <xf numFmtId="0" fontId="116" fillId="30" borderId="89" xfId="0" applyFont="1" applyFill="1" applyBorder="1" applyAlignment="1">
      <alignment vertical="center"/>
    </xf>
    <xf numFmtId="0" fontId="78" fillId="27" borderId="80" xfId="0" applyFont="1" applyFill="1" applyBorder="1"/>
    <xf numFmtId="0" fontId="117" fillId="25" borderId="80" xfId="0" applyFont="1" applyFill="1" applyBorder="1" applyAlignment="1">
      <alignment horizontal="left" vertical="center"/>
    </xf>
    <xf numFmtId="0" fontId="0" fillId="27" borderId="80" xfId="0" applyFill="1" applyBorder="1"/>
    <xf numFmtId="0" fontId="119" fillId="31" borderId="0" xfId="0" applyFont="1" applyFill="1" applyAlignment="1">
      <alignment horizontal="center"/>
    </xf>
    <xf numFmtId="0" fontId="111" fillId="26" borderId="0" xfId="0" applyFont="1" applyFill="1" applyAlignment="1">
      <alignment horizontal="left"/>
    </xf>
    <xf numFmtId="0" fontId="78" fillId="26" borderId="80" xfId="0" applyFont="1" applyFill="1" applyBorder="1" applyAlignment="1">
      <alignment vertical="center"/>
    </xf>
    <xf numFmtId="0" fontId="111" fillId="26" borderId="81" xfId="0" applyFont="1" applyFill="1" applyBorder="1" applyAlignment="1">
      <alignment horizontal="left"/>
    </xf>
    <xf numFmtId="0" fontId="0" fillId="20" borderId="56" xfId="0" applyFont="1" applyFill="1" applyBorder="1"/>
    <xf numFmtId="0" fontId="7" fillId="21" borderId="0" xfId="0" applyFont="1" applyFill="1" applyAlignment="1">
      <alignment horizontal="center"/>
    </xf>
    <xf numFmtId="0" fontId="0" fillId="17" borderId="33" xfId="0" applyFill="1" applyBorder="1"/>
    <xf numFmtId="0" fontId="13" fillId="28" borderId="8" xfId="0" applyFont="1" applyFill="1" applyBorder="1" applyAlignment="1" applyProtection="1">
      <alignment horizontal="center" vertical="center"/>
      <protection locked="0"/>
    </xf>
    <xf numFmtId="0" fontId="0" fillId="20" borderId="56" xfId="0" applyFill="1" applyBorder="1"/>
    <xf numFmtId="0" fontId="39" fillId="20" borderId="0" xfId="0" applyFont="1" applyFill="1" applyAlignment="1">
      <alignment horizontal="center"/>
    </xf>
    <xf numFmtId="0" fontId="0" fillId="17" borderId="81" xfId="0" applyFill="1" applyBorder="1" applyAlignment="1">
      <alignment vertical="center"/>
    </xf>
    <xf numFmtId="0" fontId="0" fillId="20" borderId="56" xfId="0" applyFont="1" applyFill="1" applyBorder="1" applyAlignment="1">
      <alignment vertical="center"/>
    </xf>
    <xf numFmtId="0" fontId="0" fillId="20" borderId="33" xfId="0" applyFont="1" applyFill="1" applyBorder="1" applyAlignment="1">
      <alignment vertical="center"/>
    </xf>
    <xf numFmtId="0" fontId="50" fillId="20" borderId="56" xfId="0" applyFont="1" applyFill="1" applyBorder="1" applyAlignment="1">
      <alignment horizontal="left" vertical="center"/>
    </xf>
    <xf numFmtId="0" fontId="0" fillId="20" borderId="33" xfId="0" applyFill="1" applyBorder="1" applyAlignment="1">
      <alignment vertical="center"/>
    </xf>
    <xf numFmtId="0" fontId="0" fillId="20" borderId="90" xfId="0" applyFont="1" applyFill="1" applyBorder="1" applyAlignment="1">
      <alignment vertical="center"/>
    </xf>
    <xf numFmtId="0" fontId="104" fillId="20" borderId="33" xfId="0" applyFont="1" applyFill="1" applyBorder="1" applyAlignment="1">
      <alignment horizontal="left"/>
    </xf>
    <xf numFmtId="0" fontId="104" fillId="20" borderId="0" xfId="0" applyFont="1" applyFill="1" applyAlignment="1">
      <alignment horizontal="left"/>
    </xf>
    <xf numFmtId="0" fontId="104" fillId="20" borderId="58" xfId="0" applyFont="1" applyFill="1" applyBorder="1" applyAlignment="1">
      <alignment horizontal="left"/>
    </xf>
    <xf numFmtId="3" fontId="5" fillId="3" borderId="8" xfId="29" applyNumberFormat="1" applyFont="1" applyFill="1" applyBorder="1" applyAlignment="1">
      <alignment horizontal="center" vertical="center"/>
      <protection/>
    </xf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60" xfId="29" applyFont="1" applyFill="1" applyBorder="1" applyAlignment="1">
      <alignment horizontal="center" vertical="center" wrapText="1"/>
      <protection/>
    </xf>
    <xf numFmtId="0" fontId="11" fillId="7" borderId="61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0" fillId="3" borderId="0" xfId="0" applyFill="1" applyAlignment="1">
      <alignment vertical="top" wrapText="1"/>
    </xf>
    <xf numFmtId="0" fontId="84" fillId="8" borderId="0" xfId="0" applyFont="1" applyFill="1"/>
    <xf numFmtId="3" fontId="5" fillId="3" borderId="8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3" xfId="0" applyBorder="1" applyAlignment="1">
      <alignment vertical="center"/>
    </xf>
    <xf numFmtId="0" fontId="11" fillId="25" borderId="0" xfId="0" applyFont="1" applyFill="1"/>
    <xf numFmtId="0" fontId="0" fillId="27" borderId="81" xfId="0" applyFill="1" applyBorder="1"/>
    <xf numFmtId="0" fontId="0" fillId="27" borderId="0" xfId="0" applyFill="1"/>
    <xf numFmtId="0" fontId="111" fillId="25" borderId="0" xfId="0" applyFont="1" applyFill="1"/>
    <xf numFmtId="0" fontId="78" fillId="27" borderId="81" xfId="0" applyFont="1" applyFill="1" applyBorder="1"/>
    <xf numFmtId="0" fontId="104" fillId="20" borderId="0" xfId="0" applyFont="1" applyFill="1"/>
    <xf numFmtId="0" fontId="0" fillId="17" borderId="0" xfId="0" applyFont="1" applyFill="1"/>
    <xf numFmtId="0" fontId="78" fillId="17" borderId="33" xfId="0" applyFont="1" applyFill="1" applyBorder="1" applyAlignment="1">
      <alignment vertical="center"/>
    </xf>
    <xf numFmtId="0" fontId="11" fillId="20" borderId="0" xfId="0" applyFont="1" applyFill="1"/>
    <xf numFmtId="0" fontId="0" fillId="20" borderId="80" xfId="0" applyFill="1" applyBorder="1"/>
    <xf numFmtId="0" fontId="0" fillId="25" borderId="91" xfId="0" applyFill="1" applyBorder="1"/>
    <xf numFmtId="0" fontId="3" fillId="8" borderId="92" xfId="0" applyFont="1" applyFill="1" applyBorder="1" applyAlignment="1" applyProtection="1">
      <alignment horizontal="center" vertical="center"/>
      <protection locked="0"/>
    </xf>
    <xf numFmtId="0" fontId="0" fillId="17" borderId="81" xfId="0" applyFill="1" applyBorder="1"/>
    <xf numFmtId="0" fontId="13" fillId="28" borderId="8" xfId="0" applyFont="1" applyFill="1" applyBorder="1" applyAlignment="1" applyProtection="1">
      <alignment horizontal="center" vertical="center"/>
      <protection locked="0"/>
    </xf>
    <xf numFmtId="0" fontId="0" fillId="20" borderId="81" xfId="0" applyFill="1" applyBorder="1"/>
    <xf numFmtId="0" fontId="13" fillId="21" borderId="8" xfId="0" applyFont="1" applyFill="1" applyBorder="1" applyAlignment="1" applyProtection="1">
      <alignment horizontal="center" vertical="center"/>
      <protection locked="0"/>
    </xf>
    <xf numFmtId="0" fontId="0" fillId="17" borderId="81" xfId="0" applyFont="1" applyFill="1" applyBorder="1"/>
    <xf numFmtId="0" fontId="0" fillId="20" borderId="56" xfId="0" applyFill="1" applyBorder="1"/>
    <xf numFmtId="0" fontId="3" fillId="8" borderId="8" xfId="0" applyFont="1" applyFill="1" applyBorder="1" applyAlignment="1" applyProtection="1">
      <alignment horizontal="center" vertical="center"/>
      <protection locked="0"/>
    </xf>
    <xf numFmtId="0" fontId="54" fillId="8" borderId="43" xfId="0" applyFont="1" applyFill="1" applyBorder="1" applyAlignment="1">
      <alignment vertical="center"/>
    </xf>
    <xf numFmtId="0" fontId="19" fillId="8" borderId="0" xfId="0" applyFont="1" applyFill="1"/>
    <xf numFmtId="0" fontId="54" fillId="19" borderId="0" xfId="0" applyFont="1" applyFill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21" fillId="19" borderId="0" xfId="26" applyFont="1" applyFill="1">
      <alignment/>
      <protection/>
    </xf>
    <xf numFmtId="0" fontId="101" fillId="19" borderId="0" xfId="24" applyFont="1" applyFill="1" applyAlignment="1" applyProtection="1">
      <alignment/>
      <protection/>
    </xf>
    <xf numFmtId="0" fontId="80" fillId="19" borderId="0" xfId="26" applyFont="1" applyFill="1" applyAlignment="1">
      <alignment wrapText="1" shrinkToFit="1"/>
      <protection/>
    </xf>
    <xf numFmtId="0" fontId="81" fillId="19" borderId="0" xfId="27" applyFont="1" applyFill="1" applyAlignment="1">
      <alignment wrapText="1"/>
      <protection/>
    </xf>
    <xf numFmtId="0" fontId="55" fillId="3" borderId="0" xfId="0" applyFont="1" applyFill="1" applyAlignment="1">
      <alignment vertical="center"/>
    </xf>
    <xf numFmtId="0" fontId="0" fillId="3" borderId="0" xfId="0" applyFill="1" applyAlignment="1">
      <alignment vertical="top" wrapText="1"/>
    </xf>
    <xf numFmtId="0" fontId="44" fillId="4" borderId="0" xfId="0" applyFont="1" applyFill="1" applyAlignment="1">
      <alignment horizontal="center" wrapText="1"/>
    </xf>
    <xf numFmtId="0" fontId="98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24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98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18" fillId="4" borderId="0" xfId="29" applyFont="1" applyFill="1" applyAlignment="1">
      <alignment horizontal="center" wrapText="1"/>
      <protection/>
    </xf>
    <xf numFmtId="0" fontId="101" fillId="7" borderId="0" xfId="24" applyFont="1" applyFill="1" applyAlignment="1" applyProtection="1">
      <alignment horizontal="center" wrapText="1"/>
      <protection/>
    </xf>
    <xf numFmtId="0" fontId="101" fillId="7" borderId="0" xfId="29" applyFont="1" applyFill="1" applyAlignment="1">
      <alignment horizontal="center" wrapText="1"/>
      <protection/>
    </xf>
    <xf numFmtId="0" fontId="10" fillId="4" borderId="0" xfId="29" applyFont="1" applyFill="1" applyAlignment="1">
      <alignment horizontal="center" wrapText="1"/>
      <protection/>
    </xf>
    <xf numFmtId="0" fontId="18" fillId="4" borderId="0" xfId="29" applyFont="1" applyFill="1" applyAlignment="1">
      <alignment horizontal="left" vertical="center" wrapText="1"/>
      <protection/>
    </xf>
    <xf numFmtId="0" fontId="33" fillId="4" borderId="0" xfId="29" applyFont="1" applyFill="1" applyAlignment="1">
      <alignment horizontal="left" vertical="center" wrapText="1"/>
      <protection/>
    </xf>
    <xf numFmtId="0" fontId="59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21" fillId="19" borderId="0" xfId="26" applyFont="1" applyFill="1">
      <alignment/>
      <protection/>
    </xf>
    <xf numFmtId="0" fontId="5" fillId="19" borderId="0" xfId="26" applyFill="1">
      <alignment/>
      <protection/>
    </xf>
    <xf numFmtId="0" fontId="0" fillId="32" borderId="0" xfId="0" applyFill="1"/>
    <xf numFmtId="0" fontId="0" fillId="0" borderId="0" xfId="0"/>
    <xf numFmtId="0" fontId="22" fillId="8" borderId="0" xfId="0" applyFont="1" applyFill="1" applyAlignment="1">
      <alignment horizontal="center" vertical="center"/>
    </xf>
    <xf numFmtId="0" fontId="22" fillId="8" borderId="93" xfId="0" applyFont="1" applyFill="1" applyBorder="1" applyAlignment="1">
      <alignment vertical="center"/>
    </xf>
    <xf numFmtId="0" fontId="0" fillId="0" borderId="94" xfId="0" applyBorder="1" applyAlignment="1">
      <alignment vertical="center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72" xfId="0" applyBorder="1" applyProtection="1"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6" fillId="4" borderId="33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7" fillId="8" borderId="42" xfId="0" applyFont="1" applyFill="1" applyBorder="1" applyAlignment="1" applyProtection="1">
      <alignment horizontal="center" vertical="center" wrapText="1"/>
      <protection locked="0"/>
    </xf>
    <xf numFmtId="49" fontId="35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95" xfId="0" applyFont="1" applyFill="1" applyBorder="1" applyAlignment="1">
      <alignment horizontal="center" wrapText="1"/>
    </xf>
    <xf numFmtId="0" fontId="0" fillId="0" borderId="95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3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95" xfId="0" applyNumberFormat="1" applyBorder="1" applyProtection="1">
      <protection locked="0"/>
    </xf>
    <xf numFmtId="49" fontId="0" fillId="0" borderId="96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0" fontId="0" fillId="0" borderId="39" xfId="0" applyBorder="1"/>
    <xf numFmtId="0" fontId="8" fillId="3" borderId="2" xfId="0" applyFont="1" applyFill="1" applyBorder="1" applyAlignment="1">
      <alignment horizontal="left" wrapText="1"/>
    </xf>
    <xf numFmtId="0" fontId="0" fillId="0" borderId="52" xfId="0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95" xfId="0" applyFont="1" applyFill="1" applyBorder="1"/>
    <xf numFmtId="0" fontId="5" fillId="0" borderId="95" xfId="0" applyFont="1" applyBorder="1"/>
    <xf numFmtId="3" fontId="92" fillId="3" borderId="23" xfId="24" applyNumberFormat="1" applyFont="1" applyFill="1" applyBorder="1" applyAlignment="1" applyProtection="1">
      <alignment horizontal="center" wrapText="1"/>
      <protection locked="0"/>
    </xf>
    <xf numFmtId="0" fontId="93" fillId="3" borderId="54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63" xfId="0" applyFont="1" applyFill="1" applyBorder="1" applyAlignment="1">
      <alignment horizontal="left"/>
    </xf>
    <xf numFmtId="49" fontId="8" fillId="4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95" xfId="0" applyBorder="1" applyProtection="1">
      <protection locked="0"/>
    </xf>
    <xf numFmtId="0" fontId="0" fillId="0" borderId="96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6" fillId="4" borderId="39" xfId="0" applyFont="1" applyFill="1" applyBorder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3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>
      <alignment horizontal="left"/>
    </xf>
    <xf numFmtId="0" fontId="0" fillId="8" borderId="63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69" xfId="0" applyFont="1" applyFill="1" applyBorder="1" applyAlignment="1">
      <alignment horizontal="center"/>
    </xf>
    <xf numFmtId="0" fontId="0" fillId="0" borderId="24" xfId="0" applyBorder="1"/>
    <xf numFmtId="0" fontId="0" fillId="0" borderId="70" xfId="0" applyBorder="1"/>
    <xf numFmtId="0" fontId="0" fillId="0" borderId="33" xfId="0" applyBorder="1"/>
    <xf numFmtId="0" fontId="0" fillId="0" borderId="59" xfId="0" applyBorder="1"/>
    <xf numFmtId="0" fontId="0" fillId="0" borderId="66" xfId="0" applyBorder="1"/>
    <xf numFmtId="0" fontId="0" fillId="0" borderId="68" xfId="0" applyBorder="1"/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0" fillId="0" borderId="22" xfId="0" applyBorder="1"/>
    <xf numFmtId="0" fontId="0" fillId="0" borderId="41" xfId="0" applyBorder="1"/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19" xfId="0" applyFont="1" applyFill="1" applyBorder="1"/>
    <xf numFmtId="0" fontId="0" fillId="0" borderId="19" xfId="0" applyBorder="1"/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0" fontId="0" fillId="0" borderId="41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3" fontId="0" fillId="0" borderId="63" xfId="0" applyNumberFormat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5" xfId="0" applyBorder="1"/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13" fillId="4" borderId="0" xfId="0" applyFont="1" applyFill="1" applyAlignment="1">
      <alignment horizontal="left"/>
    </xf>
    <xf numFmtId="0" fontId="27" fillId="7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32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5" xfId="0" applyFill="1" applyBorder="1"/>
    <xf numFmtId="3" fontId="5" fillId="3" borderId="5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0" fillId="0" borderId="63" xfId="0" applyBorder="1"/>
    <xf numFmtId="0" fontId="6" fillId="4" borderId="0" xfId="0" applyFont="1" applyFill="1" applyAlignment="1">
      <alignment horizontal="center"/>
    </xf>
    <xf numFmtId="0" fontId="6" fillId="7" borderId="95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2" xfId="0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4" borderId="95" xfId="0" applyFont="1" applyFill="1" applyBorder="1" applyAlignment="1">
      <alignment horizontal="center" vertical="center"/>
    </xf>
    <xf numFmtId="0" fontId="0" fillId="0" borderId="95" xfId="0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8" fillId="4" borderId="72" xfId="0" applyFont="1" applyFill="1" applyBorder="1" applyAlignment="1">
      <alignment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5" fillId="8" borderId="0" xfId="24" applyFill="1" applyAlignment="1" applyProtection="1">
      <alignment/>
      <protection/>
    </xf>
    <xf numFmtId="0" fontId="5" fillId="4" borderId="52" xfId="0" applyFont="1" applyFill="1" applyBorder="1" applyAlignment="1">
      <alignment vertical="center"/>
    </xf>
    <xf numFmtId="0" fontId="0" fillId="0" borderId="42" xfId="0" applyBorder="1"/>
    <xf numFmtId="0" fontId="6" fillId="4" borderId="95" xfId="0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95" xfId="0" applyFont="1" applyFill="1" applyBorder="1" applyAlignment="1">
      <alignment horizontal="center"/>
    </xf>
    <xf numFmtId="0" fontId="5" fillId="7" borderId="95" xfId="0" applyFont="1" applyFill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8" fillId="19" borderId="23" xfId="0" applyFont="1" applyFill="1" applyBorder="1" applyAlignment="1">
      <alignment vertical="center" wrapText="1"/>
    </xf>
    <xf numFmtId="0" fontId="8" fillId="19" borderId="54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63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 shrinkToFit="1"/>
    </xf>
    <xf numFmtId="0" fontId="8" fillId="4" borderId="63" xfId="0" applyFont="1" applyFill="1" applyBorder="1" applyAlignment="1">
      <alignment vertical="center" wrapText="1" shrinkToFit="1"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3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72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0" fontId="8" fillId="19" borderId="22" xfId="0" applyFont="1" applyFill="1" applyBorder="1" applyAlignment="1">
      <alignment vertical="center"/>
    </xf>
    <xf numFmtId="0" fontId="8" fillId="19" borderId="63" xfId="0" applyFont="1" applyFill="1" applyBorder="1" applyAlignment="1">
      <alignment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19" borderId="8" xfId="0" applyFont="1" applyFill="1" applyBorder="1" applyAlignment="1">
      <alignment horizontal="center"/>
    </xf>
    <xf numFmtId="0" fontId="8" fillId="19" borderId="25" xfId="0" applyFont="1" applyFill="1" applyBorder="1" applyAlignment="1">
      <alignment horizontal="center"/>
    </xf>
    <xf numFmtId="0" fontId="0" fillId="33" borderId="1" xfId="0" applyFill="1" applyBorder="1"/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97" xfId="0" applyFont="1" applyFill="1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99" xfId="0" applyFont="1" applyFill="1" applyBorder="1" applyAlignment="1">
      <alignment horizontal="center" vertical="center"/>
    </xf>
    <xf numFmtId="0" fontId="8" fillId="4" borderId="9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8" fillId="4" borderId="63" xfId="0" applyFont="1" applyFill="1" applyBorder="1" applyAlignment="1">
      <alignment vertical="center"/>
    </xf>
    <xf numFmtId="0" fontId="8" fillId="4" borderId="63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7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0" fillId="0" borderId="7" xfId="0" applyBorder="1"/>
    <xf numFmtId="49" fontId="5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96" xfId="0" applyBorder="1" applyAlignment="1">
      <alignment horizontal="center" vertical="center"/>
    </xf>
    <xf numFmtId="0" fontId="8" fillId="19" borderId="2" xfId="0" applyFont="1" applyFill="1" applyBorder="1" applyAlignment="1">
      <alignment horizontal="center"/>
    </xf>
    <xf numFmtId="0" fontId="8" fillId="19" borderId="52" xfId="0" applyFont="1" applyFill="1" applyBorder="1" applyAlignment="1">
      <alignment horizontal="center"/>
    </xf>
    <xf numFmtId="0" fontId="0" fillId="33" borderId="7" xfId="0" applyFill="1" applyBorder="1"/>
    <xf numFmtId="0" fontId="8" fillId="4" borderId="5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8" fillId="19" borderId="23" xfId="0" applyFont="1" applyFill="1" applyBorder="1" applyAlignment="1">
      <alignment vertical="center" wrapText="1"/>
    </xf>
    <xf numFmtId="0" fontId="8" fillId="19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 shrinkToFit="1"/>
    </xf>
    <xf numFmtId="0" fontId="8" fillId="4" borderId="72" xfId="0" applyFont="1" applyFill="1" applyBorder="1" applyAlignment="1">
      <alignment vertical="center" wrapText="1" shrinkToFit="1"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23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0" fillId="7" borderId="95" xfId="0" applyFill="1" applyBorder="1" applyAlignment="1">
      <alignment vertical="center"/>
    </xf>
    <xf numFmtId="0" fontId="0" fillId="7" borderId="100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6" xfId="0" applyFont="1" applyFill="1" applyBorder="1"/>
    <xf numFmtId="0" fontId="14" fillId="4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3" borderId="101" xfId="0" applyFont="1" applyFill="1" applyBorder="1" applyAlignment="1">
      <alignment horizontal="left" vertical="center"/>
    </xf>
    <xf numFmtId="0" fontId="54" fillId="8" borderId="95" xfId="0" applyFont="1" applyFill="1" applyBorder="1" applyAlignment="1">
      <alignment horizontal="left" vertical="center"/>
    </xf>
    <xf numFmtId="0" fontId="54" fillId="8" borderId="100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3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3" fillId="4" borderId="0" xfId="0" applyFont="1" applyFill="1"/>
    <xf numFmtId="0" fontId="0" fillId="8" borderId="102" xfId="0" applyFill="1" applyBorder="1" applyAlignment="1" applyProtection="1">
      <alignment horizontal="center"/>
      <protection locked="0"/>
    </xf>
    <xf numFmtId="49" fontId="0" fillId="8" borderId="67" xfId="0" applyNumberFormat="1" applyFill="1" applyBorder="1" applyAlignment="1" applyProtection="1">
      <alignment horizontal="center"/>
      <protection locked="0"/>
    </xf>
    <xf numFmtId="0" fontId="0" fillId="8" borderId="0" xfId="0" applyFill="1"/>
    <xf numFmtId="3" fontId="0" fillId="8" borderId="67" xfId="0" applyNumberFormat="1" applyFill="1" applyBorder="1" applyAlignment="1" applyProtection="1">
      <alignment horizontal="center"/>
      <protection locked="0"/>
    </xf>
    <xf numFmtId="0" fontId="0" fillId="8" borderId="67" xfId="0" applyFill="1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0" fillId="8" borderId="103" xfId="0" applyFill="1" applyBorder="1" applyProtection="1">
      <protection locked="0"/>
    </xf>
    <xf numFmtId="0" fontId="0" fillId="8" borderId="103" xfId="0" applyFill="1" applyBorder="1" applyAlignment="1" applyProtection="1">
      <alignment horizontal="center"/>
      <protection locked="0"/>
    </xf>
    <xf numFmtId="49" fontId="0" fillId="8" borderId="0" xfId="0" applyNumberFormat="1" applyFont="1" applyFill="1" applyAlignment="1">
      <alignment horizontal="left"/>
    </xf>
    <xf numFmtId="0" fontId="5" fillId="3" borderId="104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105" xfId="0" applyFont="1" applyBorder="1" applyAlignment="1" applyProtection="1">
      <alignment wrapText="1"/>
      <protection locked="0"/>
    </xf>
    <xf numFmtId="0" fontId="0" fillId="0" borderId="106" xfId="0" applyBorder="1" applyProtection="1">
      <protection locked="0"/>
    </xf>
    <xf numFmtId="0" fontId="0" fillId="0" borderId="107" xfId="0" applyBorder="1" applyProtection="1">
      <protection locked="0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4" fillId="4" borderId="104" xfId="0" applyFont="1" applyFill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108" xfId="0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101" xfId="0" applyFont="1" applyFill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8" borderId="0" xfId="0" applyFont="1" applyFill="1" applyAlignment="1" applyProtection="1">
      <alignment horizontal="center" vertical="center"/>
      <protection locked="0"/>
    </xf>
    <xf numFmtId="0" fontId="27" fillId="7" borderId="95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6" fillId="3" borderId="101" xfId="0" applyFont="1" applyFill="1" applyBorder="1" applyAlignment="1">
      <alignment horizontal="center"/>
    </xf>
    <xf numFmtId="0" fontId="0" fillId="8" borderId="95" xfId="0" applyFill="1" applyBorder="1" applyAlignment="1">
      <alignment horizontal="center"/>
    </xf>
    <xf numFmtId="0" fontId="0" fillId="8" borderId="100" xfId="0" applyFill="1" applyBorder="1" applyAlignment="1">
      <alignment horizont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4" borderId="69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0" fillId="7" borderId="39" xfId="0" applyFill="1" applyBorder="1" applyAlignment="1">
      <alignment horizontal="center"/>
    </xf>
    <xf numFmtId="0" fontId="0" fillId="8" borderId="67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9" fillId="4" borderId="104" xfId="0" applyFont="1" applyFill="1" applyBorder="1"/>
    <xf numFmtId="0" fontId="0" fillId="0" borderId="108" xfId="0" applyBorder="1"/>
    <xf numFmtId="0" fontId="0" fillId="8" borderId="69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109" xfId="0" applyFill="1" applyBorder="1" applyAlignment="1" applyProtection="1">
      <alignment vertical="center"/>
      <protection locked="0"/>
    </xf>
    <xf numFmtId="0" fontId="0" fillId="8" borderId="59" xfId="0" applyFill="1" applyBorder="1" applyAlignment="1" applyProtection="1">
      <alignment vertical="center"/>
      <protection locked="0"/>
    </xf>
    <xf numFmtId="0" fontId="0" fillId="8" borderId="66" xfId="0" applyFill="1" applyBorder="1" applyAlignment="1" applyProtection="1">
      <alignment vertical="center"/>
      <protection locked="0"/>
    </xf>
    <xf numFmtId="0" fontId="0" fillId="8" borderId="110" xfId="0" applyFill="1" applyBorder="1" applyAlignment="1" applyProtection="1">
      <alignment vertical="center"/>
      <protection locked="0"/>
    </xf>
    <xf numFmtId="0" fontId="29" fillId="10" borderId="0" xfId="0" applyFont="1" applyFill="1" applyAlignment="1">
      <alignment horizontal="center"/>
    </xf>
    <xf numFmtId="0" fontId="12" fillId="10" borderId="95" xfId="0" applyFont="1" applyFill="1" applyBorder="1" applyAlignment="1">
      <alignment horizontal="center"/>
    </xf>
    <xf numFmtId="0" fontId="24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95" xfId="0" applyFont="1" applyFill="1" applyBorder="1"/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3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95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 wrapText="1" shrinkToFit="1"/>
    </xf>
    <xf numFmtId="0" fontId="0" fillId="0" borderId="63" xfId="0" applyBorder="1" applyAlignment="1">
      <alignment vertical="center" wrapText="1" shrinkToFit="1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3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3" fillId="4" borderId="0" xfId="0" applyFont="1" applyFill="1"/>
    <xf numFmtId="0" fontId="34" fillId="0" borderId="0" xfId="0" applyFont="1"/>
    <xf numFmtId="0" fontId="34" fillId="0" borderId="31" xfId="0" applyFont="1" applyBorder="1"/>
    <xf numFmtId="0" fontId="6" fillId="4" borderId="0" xfId="0" applyFont="1" applyFill="1"/>
    <xf numFmtId="0" fontId="27" fillId="0" borderId="0" xfId="0" applyFont="1"/>
    <xf numFmtId="0" fontId="0" fillId="7" borderId="95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7" borderId="22" xfId="0" applyFont="1" applyFill="1" applyBorder="1" applyAlignment="1">
      <alignment vertical="center"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9" fillId="4" borderId="0" xfId="0" applyFont="1" applyFill="1"/>
    <xf numFmtId="0" fontId="22" fillId="0" borderId="0" xfId="0" applyFont="1"/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72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2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8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3" xfId="0" applyFont="1" applyFill="1" applyBorder="1" applyAlignment="1">
      <alignment vertical="center"/>
    </xf>
    <xf numFmtId="0" fontId="0" fillId="7" borderId="3" xfId="0" applyFill="1" applyBorder="1"/>
    <xf numFmtId="0" fontId="0" fillId="0" borderId="72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>
      <alignment horizontal="center"/>
    </xf>
    <xf numFmtId="0" fontId="5" fillId="3" borderId="52" xfId="0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29" fillId="4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8" fillId="4" borderId="101" xfId="0" applyFont="1" applyFill="1" applyBorder="1" applyAlignment="1">
      <alignment horizontal="left"/>
    </xf>
    <xf numFmtId="0" fontId="11" fillId="0" borderId="95" xfId="0" applyFont="1" applyBorder="1" applyAlignment="1">
      <alignment horizontal="left"/>
    </xf>
    <xf numFmtId="0" fontId="11" fillId="0" borderId="100" xfId="0" applyFont="1" applyBorder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1" fillId="7" borderId="95" xfId="0" applyFont="1" applyFill="1" applyBorder="1"/>
    <xf numFmtId="0" fontId="31" fillId="7" borderId="0" xfId="0" applyFont="1" applyFill="1"/>
    <xf numFmtId="0" fontId="8" fillId="4" borderId="97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111" xfId="0" applyBorder="1"/>
    <xf numFmtId="0" fontId="0" fillId="0" borderId="30" xfId="0" applyBorder="1"/>
    <xf numFmtId="0" fontId="5" fillId="3" borderId="52" xfId="32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3" xfId="0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4" borderId="25" xfId="0" applyFont="1" applyFill="1" applyBorder="1"/>
    <xf numFmtId="0" fontId="0" fillId="0" borderId="41" xfId="0" applyBorder="1"/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3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2" fillId="7" borderId="95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2" fillId="7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0" fillId="7" borderId="72" xfId="0" applyFill="1" applyBorder="1"/>
    <xf numFmtId="3" fontId="0" fillId="8" borderId="54" xfId="0" applyNumberFormat="1" applyFill="1" applyBorder="1" applyAlignment="1">
      <alignment horizontal="center" vertical="center"/>
    </xf>
    <xf numFmtId="0" fontId="8" fillId="4" borderId="52" xfId="0" applyFont="1" applyFill="1" applyBorder="1"/>
    <xf numFmtId="0" fontId="8" fillId="4" borderId="0" xfId="0" applyFont="1" applyFill="1" applyAlignment="1">
      <alignment horizontal="right" vertical="center"/>
    </xf>
    <xf numFmtId="0" fontId="5" fillId="4" borderId="25" xfId="0" applyFont="1" applyFill="1" applyBorder="1"/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3" xfId="0" applyNumberFormat="1" applyFill="1" applyBorder="1" applyAlignment="1">
      <alignment horizontal="center" vertical="center"/>
    </xf>
    <xf numFmtId="0" fontId="8" fillId="4" borderId="54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3" xfId="0" applyNumberFormat="1" applyBorder="1" applyAlignment="1" applyProtection="1">
      <alignment vertical="center"/>
      <protection locked="0"/>
    </xf>
    <xf numFmtId="0" fontId="8" fillId="4" borderId="72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vertical="center"/>
    </xf>
    <xf numFmtId="3" fontId="0" fillId="0" borderId="63" xfId="0" applyNumberFormat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/>
    <xf numFmtId="0" fontId="8" fillId="4" borderId="39" xfId="0" applyFont="1" applyFill="1" applyBorder="1"/>
    <xf numFmtId="0" fontId="8" fillId="4" borderId="2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95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0" fontId="0" fillId="19" borderId="34" xfId="0" applyFill="1" applyBorder="1" applyAlignment="1">
      <alignment vertical="center"/>
    </xf>
    <xf numFmtId="0" fontId="0" fillId="19" borderId="66" xfId="0" applyFill="1" applyBorder="1" applyAlignment="1">
      <alignment vertical="center"/>
    </xf>
    <xf numFmtId="0" fontId="0" fillId="19" borderId="68" xfId="0" applyFill="1" applyBorder="1" applyAlignment="1">
      <alignment vertical="center"/>
    </xf>
    <xf numFmtId="0" fontId="8" fillId="4" borderId="0" xfId="0" applyFont="1" applyFill="1" applyAlignment="1">
      <alignment horizontal="left" vertical="center" wrapText="1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6" fillId="4" borderId="101" xfId="0" applyFont="1" applyFill="1" applyBorder="1" applyAlignment="1">
      <alignment horizontal="left" vertical="center"/>
    </xf>
    <xf numFmtId="0" fontId="0" fillId="0" borderId="34" xfId="0" applyBorder="1"/>
    <xf numFmtId="0" fontId="0" fillId="0" borderId="66" xfId="0" applyBorder="1"/>
    <xf numFmtId="0" fontId="0" fillId="0" borderId="5" xfId="0" applyBorder="1" applyAlignment="1">
      <alignment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70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2" fontId="22" fillId="4" borderId="0" xfId="0" applyNumberFormat="1" applyFont="1" applyFill="1" applyAlignment="1">
      <alignment horizontal="center"/>
    </xf>
    <xf numFmtId="0" fontId="7" fillId="7" borderId="19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wrapText="1" shrinkToFit="1"/>
    </xf>
    <xf numFmtId="0" fontId="0" fillId="0" borderId="0" xfId="0" applyFont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95" xfId="0" applyFont="1" applyFill="1" applyBorder="1" applyAlignment="1">
      <alignment horizontal="left" vertical="center" wrapText="1"/>
    </xf>
    <xf numFmtId="0" fontId="39" fillId="7" borderId="95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5" fillId="4" borderId="101" xfId="0" applyFont="1" applyFill="1" applyBorder="1"/>
    <xf numFmtId="0" fontId="0" fillId="0" borderId="96" xfId="0" applyBorder="1"/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9" fillId="8" borderId="0" xfId="0" applyFont="1" applyFill="1" applyAlignment="1">
      <alignment horizontal="center"/>
    </xf>
    <xf numFmtId="0" fontId="50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8" fillId="8" borderId="0" xfId="0" applyFont="1" applyFill="1" applyAlignment="1">
      <alignment horizontal="center"/>
    </xf>
    <xf numFmtId="0" fontId="49" fillId="8" borderId="0" xfId="0" applyFont="1" applyFill="1"/>
    <xf numFmtId="0" fontId="49" fillId="8" borderId="31" xfId="0" applyFont="1" applyFill="1" applyBorder="1"/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47" fillId="0" borderId="0" xfId="0" applyFont="1"/>
    <xf numFmtId="0" fontId="47" fillId="8" borderId="0" xfId="0" applyFont="1" applyFill="1"/>
    <xf numFmtId="0" fontId="19" fillId="8" borderId="0" xfId="0" applyFont="1" applyFill="1"/>
    <xf numFmtId="0" fontId="50" fillId="8" borderId="0" xfId="0" applyFont="1" applyFill="1" applyAlignment="1">
      <alignment horizontal="right" vertical="center"/>
    </xf>
    <xf numFmtId="0" fontId="50" fillId="8" borderId="36" xfId="0" applyFont="1" applyFill="1" applyBorder="1" applyAlignment="1">
      <alignment horizontal="right" vertical="center"/>
    </xf>
    <xf numFmtId="0" fontId="0" fillId="8" borderId="95" xfId="0" applyFill="1" applyBorder="1"/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vertical="center" wrapText="1"/>
    </xf>
    <xf numFmtId="0" fontId="0" fillId="8" borderId="25" xfId="0" applyFill="1" applyBorder="1" applyAlignment="1">
      <alignment horizontal="center" vertical="center"/>
    </xf>
    <xf numFmtId="0" fontId="0" fillId="8" borderId="63" xfId="0" applyFill="1" applyBorder="1"/>
    <xf numFmtId="0" fontId="0" fillId="8" borderId="36" xfId="0" applyFill="1" applyBorder="1"/>
    <xf numFmtId="0" fontId="48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97" xfId="29" applyFont="1" applyFill="1" applyBorder="1" applyAlignment="1">
      <alignment horizontal="center" vertical="center"/>
      <protection/>
    </xf>
    <xf numFmtId="0" fontId="8" fillId="4" borderId="98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99" xfId="29" applyFont="1" applyFill="1" applyBorder="1" applyAlignment="1">
      <alignment horizontal="center" vertical="center"/>
      <protection/>
    </xf>
    <xf numFmtId="0" fontId="0" fillId="0" borderId="96" xfId="29" applyBorder="1" applyAlignment="1">
      <alignment horizontal="center" vertical="center"/>
      <protection/>
    </xf>
    <xf numFmtId="0" fontId="0" fillId="0" borderId="59" xfId="29" applyBorder="1" applyAlignment="1">
      <alignment horizontal="center" vertical="center"/>
      <protection/>
    </xf>
    <xf numFmtId="0" fontId="0" fillId="0" borderId="68" xfId="29" applyBorder="1" applyAlignment="1">
      <alignment horizontal="center" vertical="center"/>
      <protection/>
    </xf>
    <xf numFmtId="0" fontId="8" fillId="4" borderId="96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72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3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0" fillId="0" borderId="8" xfId="29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6" fillId="4" borderId="95" xfId="29" applyFont="1" applyFill="1" applyBorder="1" applyAlignment="1">
      <alignment horizontal="center"/>
      <protection/>
    </xf>
    <xf numFmtId="0" fontId="0" fillId="0" borderId="95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4" fillId="20" borderId="0" xfId="30" applyFont="1" applyFill="1" applyAlignment="1">
      <alignment horizontal="left" vertical="center"/>
      <protection/>
    </xf>
    <xf numFmtId="0" fontId="90" fillId="20" borderId="0" xfId="30" applyFont="1" applyFill="1" applyAlignment="1">
      <alignment horizontal="justify" vertical="center" wrapText="1"/>
      <protection/>
    </xf>
    <xf numFmtId="0" fontId="74" fillId="17" borderId="24" xfId="30" applyFont="1" applyFill="1" applyBorder="1" applyAlignment="1">
      <alignment horizontal="center"/>
      <protection/>
    </xf>
    <xf numFmtId="0" fontId="74" fillId="17" borderId="24" xfId="30" applyFont="1" applyFill="1" applyBorder="1" applyAlignment="1">
      <alignment horizontal="center"/>
      <protection/>
    </xf>
    <xf numFmtId="0" fontId="0" fillId="0" borderId="24" xfId="0" applyBorder="1" applyAlignment="1">
      <alignment horizontal="center"/>
    </xf>
    <xf numFmtId="0" fontId="90" fillId="17" borderId="0" xfId="30" applyFont="1" applyFill="1" applyAlignment="1">
      <alignment horizontal="left"/>
      <protection/>
    </xf>
    <xf numFmtId="0" fontId="74" fillId="17" borderId="0" xfId="30" applyFont="1" applyFill="1" applyAlignment="1">
      <alignment horizontal="center"/>
      <protection/>
    </xf>
    <xf numFmtId="0" fontId="88" fillId="0" borderId="112" xfId="30" applyFont="1" applyBorder="1" applyAlignment="1" applyProtection="1">
      <alignment horizontal="center" vertical="center"/>
      <protection locked="0"/>
    </xf>
    <xf numFmtId="0" fontId="88" fillId="0" borderId="103" xfId="30" applyFont="1" applyBorder="1" applyAlignment="1" applyProtection="1">
      <alignment horizontal="center" vertical="center"/>
      <protection locked="0"/>
    </xf>
    <xf numFmtId="0" fontId="88" fillId="0" borderId="113" xfId="30" applyFont="1" applyBorder="1" applyAlignment="1" applyProtection="1">
      <alignment horizontal="center" vertical="center"/>
      <protection locked="0"/>
    </xf>
    <xf numFmtId="0" fontId="88" fillId="0" borderId="59" xfId="30" applyFont="1" applyBorder="1" applyAlignment="1" applyProtection="1">
      <alignment horizontal="center" vertical="center"/>
      <protection locked="0"/>
    </xf>
    <xf numFmtId="0" fontId="88" fillId="0" borderId="66" xfId="30" applyFont="1" applyBorder="1" applyAlignment="1" applyProtection="1">
      <alignment horizontal="center" vertical="center"/>
      <protection locked="0"/>
    </xf>
    <xf numFmtId="0" fontId="88" fillId="0" borderId="66" xfId="30" applyFont="1" applyBorder="1" applyAlignment="1" applyProtection="1">
      <alignment horizontal="center" vertical="center"/>
      <protection locked="0"/>
    </xf>
    <xf numFmtId="0" fontId="88" fillId="0" borderId="68" xfId="30" applyFont="1" applyBorder="1" applyAlignment="1" applyProtection="1">
      <alignment horizontal="center" vertical="center"/>
      <protection locked="0"/>
    </xf>
    <xf numFmtId="0" fontId="74" fillId="17" borderId="33" xfId="30" applyFont="1" applyFill="1" applyBorder="1" applyAlignment="1">
      <alignment horizontal="center" vertical="center"/>
      <protection/>
    </xf>
    <xf numFmtId="0" fontId="74" fillId="17" borderId="0" xfId="30" applyFont="1" applyFill="1" applyAlignment="1">
      <alignment horizontal="center" vertical="center"/>
      <protection/>
    </xf>
    <xf numFmtId="0" fontId="74" fillId="17" borderId="0" xfId="30" applyFont="1" applyFill="1" applyAlignment="1">
      <alignment horizontal="left" vertical="center"/>
      <protection/>
    </xf>
    <xf numFmtId="49" fontId="88" fillId="17" borderId="25" xfId="30" applyNumberFormat="1" applyFont="1" applyFill="1" applyBorder="1" applyAlignment="1" applyProtection="1">
      <alignment horizontal="center" vertical="center"/>
      <protection locked="0"/>
    </xf>
    <xf numFmtId="49" fontId="88" fillId="17" borderId="22" xfId="30" applyNumberFormat="1" applyFont="1" applyFill="1" applyBorder="1" applyAlignment="1" applyProtection="1">
      <alignment horizontal="center" vertical="center"/>
      <protection locked="0"/>
    </xf>
    <xf numFmtId="49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90" fillId="17" borderId="69" xfId="30" applyFont="1" applyFill="1" applyBorder="1" applyAlignment="1" applyProtection="1">
      <alignment horizontal="center"/>
      <protection locked="0"/>
    </xf>
    <xf numFmtId="0" fontId="90" fillId="17" borderId="24" xfId="30" applyFont="1" applyFill="1" applyBorder="1" applyAlignment="1" applyProtection="1">
      <alignment horizontal="center"/>
      <protection locked="0"/>
    </xf>
    <xf numFmtId="0" fontId="90" fillId="17" borderId="70" xfId="30" applyFont="1" applyFill="1" applyBorder="1" applyAlignment="1" applyProtection="1">
      <alignment horizontal="center"/>
      <protection locked="0"/>
    </xf>
    <xf numFmtId="0" fontId="90" fillId="17" borderId="33" xfId="30" applyFont="1" applyFill="1" applyBorder="1" applyAlignment="1" applyProtection="1">
      <alignment horizontal="center"/>
      <protection locked="0"/>
    </xf>
    <xf numFmtId="0" fontId="90" fillId="17" borderId="0" xfId="30" applyFont="1" applyFill="1" applyAlignment="1" applyProtection="1">
      <alignment horizontal="center"/>
      <protection locked="0"/>
    </xf>
    <xf numFmtId="0" fontId="90" fillId="17" borderId="36" xfId="30" applyFont="1" applyFill="1" applyBorder="1" applyAlignment="1" applyProtection="1">
      <alignment horizontal="center"/>
      <protection locked="0"/>
    </xf>
    <xf numFmtId="0" fontId="90" fillId="17" borderId="59" xfId="30" applyFont="1" applyFill="1" applyBorder="1" applyAlignment="1" applyProtection="1">
      <alignment horizontal="center"/>
      <protection locked="0"/>
    </xf>
    <xf numFmtId="0" fontId="90" fillId="17" borderId="66" xfId="30" applyFont="1" applyFill="1" applyBorder="1" applyAlignment="1" applyProtection="1">
      <alignment horizontal="center"/>
      <protection locked="0"/>
    </xf>
    <xf numFmtId="0" fontId="90" fillId="17" borderId="68" xfId="30" applyFont="1" applyFill="1" applyBorder="1" applyAlignment="1" applyProtection="1">
      <alignment horizontal="center"/>
      <protection locked="0"/>
    </xf>
    <xf numFmtId="0" fontId="88" fillId="17" borderId="18" xfId="30" applyFont="1" applyFill="1" applyBorder="1" applyAlignment="1">
      <alignment horizontal="center" vertical="center"/>
      <protection/>
    </xf>
    <xf numFmtId="0" fontId="88" fillId="17" borderId="0" xfId="30" applyFont="1" applyFill="1" applyAlignment="1">
      <alignment horizontal="center" vertical="center"/>
      <protection/>
    </xf>
    <xf numFmtId="0" fontId="0" fillId="0" borderId="31" xfId="0" applyBorder="1" applyAlignment="1">
      <alignment vertical="center"/>
    </xf>
    <xf numFmtId="0" fontId="88" fillId="17" borderId="6" xfId="30" applyFont="1" applyFill="1" applyBorder="1" applyAlignment="1" applyProtection="1">
      <alignment horizontal="left" vertical="center"/>
      <protection locked="0"/>
    </xf>
    <xf numFmtId="0" fontId="88" fillId="17" borderId="22" xfId="30" applyFont="1" applyFill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46" fillId="0" borderId="41" xfId="0" applyFont="1" applyBorder="1" applyAlignment="1" applyProtection="1">
      <alignment vertical="center"/>
      <protection locked="0"/>
    </xf>
    <xf numFmtId="0" fontId="74" fillId="17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88" fillId="17" borderId="25" xfId="30" applyNumberFormat="1" applyFont="1" applyFill="1" applyBorder="1" applyAlignment="1" applyProtection="1">
      <alignment horizontal="center" vertical="center"/>
      <protection locked="0"/>
    </xf>
    <xf numFmtId="14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89" fillId="17" borderId="0" xfId="30" applyFont="1" applyFill="1" applyAlignment="1">
      <alignment horizontal="left" vertical="center"/>
      <protection/>
    </xf>
    <xf numFmtId="14" fontId="88" fillId="17" borderId="67" xfId="30" applyNumberFormat="1" applyFont="1" applyFill="1" applyBorder="1" applyAlignment="1" applyProtection="1">
      <alignment horizontal="center" vertical="center"/>
      <protection locked="0"/>
    </xf>
    <xf numFmtId="0" fontId="88" fillId="17" borderId="67" xfId="30" applyFont="1" applyFill="1" applyBorder="1" applyAlignment="1" applyProtection="1">
      <alignment horizontal="center" vertical="center"/>
      <protection locked="0"/>
    </xf>
    <xf numFmtId="0" fontId="74" fillId="17" borderId="66" xfId="30" applyFont="1" applyFill="1" applyBorder="1" applyAlignment="1">
      <alignment horizontal="left" vertical="center"/>
      <protection/>
    </xf>
    <xf numFmtId="0" fontId="74" fillId="17" borderId="66" xfId="30" applyFont="1" applyFill="1" applyBorder="1" applyAlignment="1">
      <alignment horizontal="left" vertical="center"/>
      <protection/>
    </xf>
    <xf numFmtId="167" fontId="88" fillId="17" borderId="25" xfId="30" applyNumberFormat="1" applyFont="1" applyFill="1" applyBorder="1" applyAlignment="1" applyProtection="1">
      <alignment horizontal="center" vertical="center"/>
      <protection locked="0"/>
    </xf>
    <xf numFmtId="167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88" fillId="0" borderId="114" xfId="30" applyFont="1" applyBorder="1" applyAlignment="1" applyProtection="1">
      <alignment horizontal="center" vertical="center"/>
      <protection locked="0"/>
    </xf>
    <xf numFmtId="0" fontId="88" fillId="0" borderId="115" xfId="30" applyFont="1" applyBorder="1" applyAlignment="1" applyProtection="1">
      <alignment horizontal="center" vertical="center"/>
      <protection locked="0"/>
    </xf>
    <xf numFmtId="0" fontId="88" fillId="0" borderId="116" xfId="30" applyFont="1" applyBorder="1" applyAlignment="1" applyProtection="1">
      <alignment horizontal="center" vertical="center"/>
      <protection locked="0"/>
    </xf>
    <xf numFmtId="49" fontId="88" fillId="17" borderId="6" xfId="30" applyNumberFormat="1" applyFont="1" applyFill="1" applyBorder="1" applyAlignment="1" applyProtection="1">
      <alignment horizontal="left" vertical="center"/>
      <protection locked="0"/>
    </xf>
    <xf numFmtId="49" fontId="88" fillId="17" borderId="22" xfId="30" applyNumberFormat="1" applyFont="1" applyFill="1" applyBorder="1" applyAlignment="1" applyProtection="1">
      <alignment horizontal="left" vertical="center"/>
      <protection locked="0"/>
    </xf>
    <xf numFmtId="49" fontId="88" fillId="17" borderId="41" xfId="30" applyNumberFormat="1" applyFont="1" applyFill="1" applyBorder="1" applyAlignment="1" applyProtection="1">
      <alignment horizontal="left" vertical="center"/>
      <protection locked="0"/>
    </xf>
    <xf numFmtId="0" fontId="87" fillId="17" borderId="0" xfId="30" applyFont="1" applyFill="1" applyAlignment="1">
      <alignment horizontal="center" vertical="center"/>
      <protection/>
    </xf>
    <xf numFmtId="49" fontId="89" fillId="17" borderId="6" xfId="30" applyNumberFormat="1" applyFont="1" applyFill="1" applyBorder="1" applyAlignment="1" applyProtection="1">
      <alignment horizontal="left" vertical="center"/>
      <protection locked="0"/>
    </xf>
    <xf numFmtId="49" fontId="89" fillId="17" borderId="22" xfId="30" applyNumberFormat="1" applyFont="1" applyFill="1" applyBorder="1" applyAlignment="1" applyProtection="1">
      <alignment horizontal="left" vertical="center"/>
      <protection locked="0"/>
    </xf>
    <xf numFmtId="49" fontId="89" fillId="17" borderId="41" xfId="30" applyNumberFormat="1" applyFont="1" applyFill="1" applyBorder="1" applyAlignment="1" applyProtection="1">
      <alignment horizontal="left" vertical="center"/>
      <protection locked="0"/>
    </xf>
    <xf numFmtId="0" fontId="74" fillId="17" borderId="101" xfId="30" applyFont="1" applyFill="1" applyBorder="1" applyAlignment="1">
      <alignment horizontal="left" vertical="center"/>
      <protection/>
    </xf>
    <xf numFmtId="0" fontId="74" fillId="17" borderId="95" xfId="30" applyFont="1" applyFill="1" applyBorder="1" applyAlignment="1">
      <alignment horizontal="left" vertical="center"/>
      <protection/>
    </xf>
    <xf numFmtId="0" fontId="0" fillId="0" borderId="100" xfId="0" applyBorder="1" applyAlignment="1">
      <alignment vertical="center"/>
    </xf>
    <xf numFmtId="0" fontId="74" fillId="17" borderId="18" xfId="30" applyFont="1" applyFill="1" applyBorder="1" applyAlignment="1">
      <alignment horizontal="left" vertical="center"/>
      <protection/>
    </xf>
    <xf numFmtId="0" fontId="74" fillId="17" borderId="31" xfId="30" applyFont="1" applyFill="1" applyBorder="1" applyAlignment="1">
      <alignment horizontal="left" vertical="center"/>
      <protection/>
    </xf>
    <xf numFmtId="0" fontId="86" fillId="17" borderId="0" xfId="30" applyFont="1" applyFill="1" applyAlignment="1">
      <alignment horizontal="center" vertical="center"/>
      <protection/>
    </xf>
    <xf numFmtId="0" fontId="74" fillId="17" borderId="0" xfId="30" applyFont="1" applyFill="1" applyAlignment="1">
      <alignment horizontal="left"/>
      <protection/>
    </xf>
    <xf numFmtId="0" fontId="74" fillId="17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49" fontId="88" fillId="17" borderId="104" xfId="30" applyNumberFormat="1" applyFont="1" applyFill="1" applyBorder="1" applyAlignment="1">
      <alignment horizontal="left" vertical="center"/>
      <protection/>
    </xf>
    <xf numFmtId="49" fontId="88" fillId="17" borderId="39" xfId="30" applyNumberFormat="1" applyFont="1" applyFill="1" applyBorder="1" applyAlignment="1">
      <alignment horizontal="left" vertical="center"/>
      <protection/>
    </xf>
    <xf numFmtId="0" fontId="0" fillId="0" borderId="108" xfId="0" applyBorder="1" applyAlignment="1">
      <alignment vertical="center"/>
    </xf>
    <xf numFmtId="0" fontId="74" fillId="17" borderId="0" xfId="30" applyFont="1" applyFill="1" applyAlignment="1">
      <alignment horizontal="left" vertical="center" wrapText="1"/>
      <protection/>
    </xf>
    <xf numFmtId="0" fontId="88" fillId="17" borderId="6" xfId="30" applyFont="1" applyFill="1" applyBorder="1" applyAlignment="1">
      <alignment horizontal="left" vertical="center"/>
      <protection/>
    </xf>
    <xf numFmtId="0" fontId="88" fillId="17" borderId="22" xfId="30" applyFont="1" applyFill="1" applyBorder="1" applyAlignment="1">
      <alignment horizontal="left" vertical="center"/>
      <protection/>
    </xf>
    <xf numFmtId="2" fontId="88" fillId="17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74" fillId="17" borderId="4" xfId="30" applyFont="1" applyFill="1" applyBorder="1" applyAlignment="1">
      <alignment horizontal="left" vertical="center"/>
      <protection/>
    </xf>
    <xf numFmtId="0" fontId="74" fillId="17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74" fillId="17" borderId="21" xfId="30" applyNumberFormat="1" applyFont="1" applyFill="1" applyBorder="1" applyAlignment="1">
      <alignment horizontal="left" vertical="center"/>
      <protection/>
    </xf>
    <xf numFmtId="2" fontId="74" fillId="17" borderId="5" xfId="30" applyNumberFormat="1" applyFont="1" applyFill="1" applyBorder="1" applyAlignment="1">
      <alignment horizontal="left" vertical="center"/>
      <protection/>
    </xf>
    <xf numFmtId="0" fontId="88" fillId="17" borderId="63" xfId="30" applyFont="1" applyFill="1" applyBorder="1" applyAlignment="1" applyProtection="1">
      <alignment horizontal="left" vertical="center"/>
      <protection locked="0"/>
    </xf>
    <xf numFmtId="0" fontId="74" fillId="17" borderId="24" xfId="30" applyFont="1" applyFill="1" applyBorder="1" applyAlignment="1">
      <alignment horizontal="left" vertical="center"/>
      <protection/>
    </xf>
    <xf numFmtId="0" fontId="88" fillId="17" borderId="25" xfId="30" applyFont="1" applyFill="1" applyBorder="1" applyAlignment="1" applyProtection="1">
      <alignment horizontal="left" vertical="center"/>
      <protection locked="0"/>
    </xf>
    <xf numFmtId="0" fontId="89" fillId="17" borderId="0" xfId="30" applyFont="1" applyFill="1" applyAlignment="1">
      <alignment horizontal="center" vertical="center"/>
      <protection/>
    </xf>
    <xf numFmtId="0" fontId="88" fillId="17" borderId="0" xfId="30" applyFont="1" applyFill="1" applyAlignment="1" applyProtection="1">
      <alignment horizontal="center" vertical="center"/>
      <protection locked="0"/>
    </xf>
    <xf numFmtId="0" fontId="2" fillId="17" borderId="0" xfId="30" applyFill="1" applyAlignment="1">
      <alignment horizontal="center" vertical="center"/>
      <protection/>
    </xf>
    <xf numFmtId="0" fontId="2" fillId="17" borderId="0" xfId="30" applyFill="1" applyAlignment="1">
      <alignment horizontal="center"/>
      <protection/>
    </xf>
    <xf numFmtId="0" fontId="39" fillId="8" borderId="56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9" fillId="8" borderId="33" xfId="0" applyFont="1" applyFill="1" applyBorder="1" applyAlignment="1">
      <alignment vertical="center"/>
    </xf>
    <xf numFmtId="49" fontId="39" fillId="8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0" fillId="8" borderId="66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39" fillId="8" borderId="33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3" fontId="39" fillId="8" borderId="6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39" fillId="8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8" borderId="63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8" borderId="33" xfId="0" applyFont="1" applyFill="1" applyBorder="1" applyAlignment="1">
      <alignment vertical="center"/>
    </xf>
    <xf numFmtId="3" fontId="3" fillId="8" borderId="33" xfId="0" applyNumberFormat="1" applyFont="1" applyFill="1" applyBorder="1" applyAlignment="1">
      <alignment vertical="center"/>
    </xf>
    <xf numFmtId="1" fontId="3" fillId="8" borderId="117" xfId="0" applyNumberFormat="1" applyFont="1" applyFill="1" applyBorder="1" applyAlignment="1" applyProtection="1">
      <alignment horizontal="left" vertical="center"/>
      <protection locked="0"/>
    </xf>
    <xf numFmtId="1" fontId="3" fillId="8" borderId="118" xfId="0" applyNumberFormat="1" applyFont="1" applyFill="1" applyBorder="1" applyAlignment="1" applyProtection="1">
      <alignment horizontal="left" vertical="center"/>
      <protection locked="0"/>
    </xf>
    <xf numFmtId="1" fontId="3" fillId="3" borderId="118" xfId="0" applyNumberFormat="1" applyFont="1" applyFill="1" applyBorder="1" applyAlignment="1" applyProtection="1">
      <alignment horizontal="left" vertical="center"/>
      <protection locked="0"/>
    </xf>
    <xf numFmtId="1" fontId="3" fillId="0" borderId="118" xfId="0" applyNumberFormat="1" applyFont="1" applyBorder="1" applyAlignment="1" applyProtection="1">
      <alignment horizontal="left" vertical="center"/>
      <protection locked="0"/>
    </xf>
    <xf numFmtId="1" fontId="3" fillId="0" borderId="119" xfId="0" applyNumberFormat="1" applyFont="1" applyBorder="1" applyAlignment="1" applyProtection="1">
      <alignment horizontal="left" vertical="center"/>
      <protection locked="0"/>
    </xf>
    <xf numFmtId="0" fontId="11" fillId="8" borderId="0" xfId="0" applyFont="1" applyFill="1" applyAlignment="1">
      <alignment vertical="center"/>
    </xf>
    <xf numFmtId="0" fontId="39" fillId="8" borderId="120" xfId="0" applyFont="1" applyFill="1" applyBorder="1" applyAlignment="1">
      <alignment vertical="center"/>
    </xf>
    <xf numFmtId="0" fontId="3" fillId="3" borderId="120" xfId="0" applyFont="1" applyFill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49" fontId="3" fillId="8" borderId="25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166" fontId="0" fillId="8" borderId="25" xfId="0" applyNumberFormat="1" applyFont="1" applyFill="1" applyBorder="1" applyAlignment="1" applyProtection="1">
      <alignment horizontal="left" vertical="center"/>
      <protection locked="0"/>
    </xf>
    <xf numFmtId="166" fontId="0" fillId="0" borderId="63" xfId="0" applyNumberFormat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>
      <alignment vertical="center"/>
    </xf>
    <xf numFmtId="0" fontId="0" fillId="8" borderId="25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11" fillId="3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39" fillId="8" borderId="33" xfId="0" applyFont="1" applyFill="1" applyBorder="1" applyAlignment="1">
      <alignment vertical="center" wrapText="1"/>
    </xf>
    <xf numFmtId="0" fontId="39" fillId="8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0" fillId="8" borderId="69" xfId="0" applyFont="1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17" borderId="33" xfId="0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54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8" borderId="0" xfId="0" applyFont="1" applyFill="1"/>
    <xf numFmtId="0" fontId="0" fillId="8" borderId="36" xfId="0" applyFont="1" applyFill="1" applyBorder="1"/>
    <xf numFmtId="0" fontId="0" fillId="8" borderId="66" xfId="0" applyFont="1" applyFill="1" applyBorder="1"/>
    <xf numFmtId="0" fontId="3" fillId="8" borderId="2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8" borderId="69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39" fillId="3" borderId="33" xfId="0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0" fillId="8" borderId="0" xfId="0" applyFont="1" applyFill="1"/>
    <xf numFmtId="0" fontId="0" fillId="8" borderId="33" xfId="0" applyFont="1" applyFill="1" applyBorder="1"/>
    <xf numFmtId="0" fontId="0" fillId="3" borderId="0" xfId="0" applyFont="1" applyFill="1"/>
    <xf numFmtId="0" fontId="0" fillId="3" borderId="36" xfId="0" applyFont="1" applyFill="1" applyBorder="1"/>
    <xf numFmtId="0" fontId="0" fillId="8" borderId="33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3" borderId="25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49" fontId="3" fillId="8" borderId="25" xfId="0" applyNumberFormat="1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11" fillId="8" borderId="66" xfId="0" applyFont="1" applyFill="1" applyBorder="1" applyAlignment="1">
      <alignment vertical="center"/>
    </xf>
    <xf numFmtId="49" fontId="0" fillId="8" borderId="25" xfId="0" applyNumberFormat="1" applyFont="1" applyFill="1" applyBorder="1" applyAlignment="1">
      <alignment vertical="center"/>
    </xf>
    <xf numFmtId="0" fontId="39" fillId="8" borderId="66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3" xfId="0" applyFont="1" applyFill="1" applyBorder="1" applyAlignment="1" applyProtection="1">
      <alignment horizontal="left" vertical="center"/>
      <protection locked="0"/>
    </xf>
    <xf numFmtId="0" fontId="0" fillId="17" borderId="33" xfId="0" applyFont="1" applyFill="1" applyBorder="1" applyAlignment="1">
      <alignment vertical="center"/>
    </xf>
    <xf numFmtId="0" fontId="0" fillId="17" borderId="36" xfId="0" applyFill="1" applyBorder="1" applyAlignment="1">
      <alignment vertical="center"/>
    </xf>
    <xf numFmtId="4" fontId="0" fillId="3" borderId="25" xfId="0" applyNumberFormat="1" applyFont="1" applyFill="1" applyBorder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63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3" fillId="8" borderId="33" xfId="0" applyFont="1" applyFill="1" applyBorder="1" applyAlignment="1">
      <alignment vertical="center"/>
    </xf>
    <xf numFmtId="3" fontId="3" fillId="8" borderId="33" xfId="0" applyNumberFormat="1" applyFont="1" applyFill="1" applyBorder="1" applyAlignment="1">
      <alignment vertical="center"/>
    </xf>
    <xf numFmtId="4" fontId="0" fillId="3" borderId="33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3" fontId="11" fillId="8" borderId="121" xfId="0" applyNumberFormat="1" applyFont="1" applyFill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11" fillId="3" borderId="123" xfId="0" applyFont="1" applyFill="1" applyBorder="1" applyAlignment="1">
      <alignment vertical="center"/>
    </xf>
    <xf numFmtId="0" fontId="0" fillId="0" borderId="123" xfId="0" applyBorder="1" applyAlignment="1">
      <alignment vertical="center"/>
    </xf>
    <xf numFmtId="3" fontId="39" fillId="8" borderId="0" xfId="0" applyNumberFormat="1" applyFont="1" applyFill="1" applyAlignment="1">
      <alignment horizontal="center" vertical="center"/>
    </xf>
    <xf numFmtId="0" fontId="0" fillId="0" borderId="124" xfId="0" applyBorder="1" applyAlignment="1">
      <alignment vertical="center"/>
    </xf>
    <xf numFmtId="0" fontId="11" fillId="8" borderId="36" xfId="0" applyFont="1" applyFill="1" applyBorder="1" applyAlignment="1">
      <alignment vertical="center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4" fontId="0" fillId="8" borderId="63" xfId="0" applyNumberFormat="1" applyFont="1" applyFill="1" applyBorder="1" applyAlignment="1" applyProtection="1">
      <alignment vertical="center"/>
      <protection locked="0"/>
    </xf>
    <xf numFmtId="3" fontId="3" fillId="8" borderId="0" xfId="0" applyNumberFormat="1" applyFont="1" applyFill="1" applyAlignment="1">
      <alignment vertical="center"/>
    </xf>
    <xf numFmtId="3" fontId="3" fillId="8" borderId="36" xfId="0" applyNumberFormat="1" applyFont="1" applyFill="1" applyBorder="1" applyAlignment="1">
      <alignment vertical="center"/>
    </xf>
    <xf numFmtId="4" fontId="0" fillId="3" borderId="22" xfId="0" applyNumberFormat="1" applyFont="1" applyFill="1" applyBorder="1" applyAlignment="1">
      <alignment vertical="center"/>
    </xf>
    <xf numFmtId="4" fontId="0" fillId="3" borderId="63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2" fillId="8" borderId="5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1" fillId="8" borderId="66" xfId="0" applyFont="1" applyFill="1" applyBorder="1" applyAlignment="1">
      <alignment horizontal="right" vertical="center"/>
    </xf>
    <xf numFmtId="0" fontId="0" fillId="3" borderId="66" xfId="0" applyFont="1" applyFill="1" applyBorder="1" applyAlignment="1">
      <alignment horizontal="right" vertical="center"/>
    </xf>
    <xf numFmtId="0" fontId="0" fillId="3" borderId="68" xfId="0" applyFont="1" applyFill="1" applyBorder="1" applyAlignment="1">
      <alignment horizontal="right" vertical="center"/>
    </xf>
    <xf numFmtId="0" fontId="22" fillId="8" borderId="33" xfId="0" applyFont="1" applyFill="1" applyBorder="1" applyAlignment="1">
      <alignment horizontal="center" vertical="center"/>
    </xf>
    <xf numFmtId="0" fontId="0" fillId="17" borderId="36" xfId="0" applyFill="1" applyBorder="1" applyAlignment="1">
      <alignment vertical="center"/>
    </xf>
    <xf numFmtId="0" fontId="11" fillId="8" borderId="3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7" fillId="0" borderId="24" xfId="0" applyFont="1" applyBorder="1" applyAlignment="1">
      <alignment horizontal="right"/>
    </xf>
    <xf numFmtId="0" fontId="27" fillId="0" borderId="70" xfId="0" applyFont="1" applyBorder="1" applyAlignment="1">
      <alignment horizontal="right"/>
    </xf>
    <xf numFmtId="0" fontId="3" fillId="8" borderId="69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17" borderId="66" xfId="0" applyFill="1" applyBorder="1" applyAlignment="1">
      <alignment vertical="center" wrapText="1"/>
    </xf>
    <xf numFmtId="3" fontId="0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>
      <alignment horizontal="left" vertical="center"/>
    </xf>
    <xf numFmtId="0" fontId="11" fillId="3" borderId="66" xfId="0" applyFont="1" applyFill="1" applyBorder="1" applyAlignment="1">
      <alignment horizontal="left" vertical="center"/>
    </xf>
    <xf numFmtId="0" fontId="11" fillId="3" borderId="66" xfId="0" applyFont="1" applyFill="1" applyBorder="1" applyAlignment="1">
      <alignment horizontal="left" vertical="center"/>
    </xf>
    <xf numFmtId="0" fontId="11" fillId="3" borderId="68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3" fillId="8" borderId="33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11" fillId="8" borderId="69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11" fillId="8" borderId="66" xfId="0" applyFont="1" applyFill="1" applyBorder="1" applyAlignment="1">
      <alignment horizontal="center"/>
    </xf>
    <xf numFmtId="0" fontId="11" fillId="8" borderId="68" xfId="0" applyFont="1" applyFill="1" applyBorder="1" applyAlignment="1">
      <alignment horizontal="center"/>
    </xf>
    <xf numFmtId="0" fontId="11" fillId="8" borderId="0" xfId="0" applyFont="1" applyFill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11" fillId="8" borderId="33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8" borderId="69" xfId="0" applyFont="1" applyFill="1" applyBorder="1"/>
    <xf numFmtId="0" fontId="0" fillId="0" borderId="24" xfId="0" applyBorder="1"/>
    <xf numFmtId="0" fontId="0" fillId="0" borderId="70" xfId="0" applyBorder="1"/>
    <xf numFmtId="0" fontId="11" fillId="8" borderId="33" xfId="0" applyFont="1" applyFill="1" applyBorder="1" applyAlignment="1">
      <alignment horizontal="left" vertical="center" wrapText="1"/>
    </xf>
    <xf numFmtId="0" fontId="11" fillId="8" borderId="33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4" fontId="3" fillId="8" borderId="15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8" borderId="18" xfId="0" applyFont="1" applyFill="1" applyBorder="1" applyAlignment="1">
      <alignment horizontal="right" vertical="center"/>
    </xf>
    <xf numFmtId="0" fontId="54" fillId="8" borderId="33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0" fontId="31" fillId="8" borderId="66" xfId="0" applyFont="1" applyFill="1" applyBorder="1" applyAlignment="1">
      <alignment horizontal="left" vertical="center"/>
    </xf>
    <xf numFmtId="0" fontId="0" fillId="3" borderId="66" xfId="0" applyFont="1" applyFill="1" applyBorder="1" applyAlignment="1">
      <alignment horizontal="left" vertical="center"/>
    </xf>
    <xf numFmtId="0" fontId="0" fillId="3" borderId="68" xfId="0" applyFont="1" applyFill="1" applyBorder="1"/>
    <xf numFmtId="0" fontId="22" fillId="8" borderId="59" xfId="0" applyFont="1" applyFill="1" applyBorder="1" applyAlignment="1">
      <alignment horizontal="center"/>
    </xf>
    <xf numFmtId="0" fontId="22" fillId="8" borderId="66" xfId="0" applyFont="1" applyFill="1" applyBorder="1" applyAlignment="1">
      <alignment horizontal="center"/>
    </xf>
    <xf numFmtId="0" fontId="0" fillId="3" borderId="0" xfId="0" applyFont="1" applyFill="1" applyAlignment="1">
      <alignment vertical="center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1" fontId="0" fillId="8" borderId="0" xfId="0" applyNumberFormat="1" applyFont="1" applyFill="1" applyAlignment="1">
      <alignment horizontal="center" vertical="center"/>
    </xf>
    <xf numFmtId="0" fontId="11" fillId="8" borderId="24" xfId="0" applyFont="1" applyFill="1" applyBorder="1" applyAlignment="1">
      <alignment horizontal="left" vertical="center"/>
    </xf>
    <xf numFmtId="0" fontId="11" fillId="8" borderId="70" xfId="0" applyFont="1" applyFill="1" applyBorder="1" applyAlignment="1">
      <alignment horizontal="left" vertical="center"/>
    </xf>
    <xf numFmtId="0" fontId="0" fillId="8" borderId="36" xfId="0" applyFont="1" applyFill="1" applyBorder="1" applyAlignment="1">
      <alignment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63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4" fontId="0" fillId="8" borderId="25" xfId="0" applyNumberFormat="1" applyFont="1" applyFill="1" applyBorder="1" applyAlignment="1">
      <alignment horizontal="center" vertical="center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>
      <alignment horizontal="center" vertical="center"/>
    </xf>
    <xf numFmtId="0" fontId="11" fillId="8" borderId="66" xfId="0" applyFont="1" applyFill="1" applyBorder="1" applyAlignment="1">
      <alignment horizontal="left" vertical="center"/>
    </xf>
    <xf numFmtId="0" fontId="0" fillId="0" borderId="66" xfId="0" applyFont="1" applyBorder="1" applyAlignment="1">
      <alignment horizontal="left"/>
    </xf>
    <xf numFmtId="0" fontId="0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0" fillId="3" borderId="0" xfId="0" applyFont="1" applyFill="1"/>
    <xf numFmtId="0" fontId="0" fillId="3" borderId="0" xfId="0" applyFont="1" applyFill="1"/>
    <xf numFmtId="0" fontId="39" fillId="0" borderId="0" xfId="0" applyFont="1" applyAlignment="1">
      <alignment horizontal="right"/>
    </xf>
    <xf numFmtId="0" fontId="0" fillId="8" borderId="0" xfId="0" applyFont="1" applyFill="1"/>
    <xf numFmtId="0" fontId="11" fillId="8" borderId="59" xfId="0" applyFont="1" applyFill="1" applyBorder="1" applyAlignment="1">
      <alignment vertical="center"/>
    </xf>
    <xf numFmtId="0" fontId="11" fillId="8" borderId="66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49" fontId="0" fillId="8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9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0" fillId="8" borderId="70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36" xfId="0" applyBorder="1" applyAlignment="1">
      <alignment vertical="center" wrapText="1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8" borderId="25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11" fillId="8" borderId="59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8" borderId="69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11" fillId="8" borderId="69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6" xfId="0" applyFont="1" applyBorder="1" applyAlignment="1">
      <alignment wrapText="1"/>
    </xf>
    <xf numFmtId="0" fontId="39" fillId="8" borderId="0" xfId="0" applyFont="1" applyFill="1" applyAlignment="1">
      <alignment vertical="center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3" fillId="17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17" borderId="59" xfId="0" applyFill="1" applyBorder="1" applyAlignment="1">
      <alignment vertical="center"/>
    </xf>
    <xf numFmtId="0" fontId="11" fillId="17" borderId="66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27" fillId="17" borderId="0" xfId="0" applyFont="1" applyFill="1" applyAlignment="1">
      <alignment vertical="center"/>
    </xf>
    <xf numFmtId="0" fontId="3" fillId="17" borderId="69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14" fontId="0" fillId="17" borderId="67" xfId="0" applyNumberFormat="1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17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27" fillId="17" borderId="102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17" borderId="33" xfId="0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39" fillId="17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17" borderId="25" xfId="0" applyFont="1" applyFill="1" applyBorder="1" applyAlignment="1">
      <alignment vertical="center"/>
    </xf>
    <xf numFmtId="0" fontId="27" fillId="17" borderId="66" xfId="0" applyFont="1" applyFill="1" applyBorder="1" applyAlignment="1">
      <alignment vertical="center"/>
    </xf>
    <xf numFmtId="0" fontId="27" fillId="0" borderId="66" xfId="0" applyFont="1" applyBorder="1" applyAlignment="1">
      <alignment vertical="center"/>
    </xf>
    <xf numFmtId="0" fontId="0" fillId="17" borderId="25" xfId="0" applyFill="1" applyBorder="1" applyAlignment="1" applyProtection="1">
      <alignment vertical="center"/>
      <protection locked="0"/>
    </xf>
    <xf numFmtId="14" fontId="0" fillId="17" borderId="25" xfId="0" applyNumberFormat="1" applyFill="1" applyBorder="1" applyAlignment="1" applyProtection="1">
      <alignment horizontal="center" vertical="center"/>
      <protection locked="0"/>
    </xf>
    <xf numFmtId="0" fontId="0" fillId="17" borderId="25" xfId="0" applyFill="1" applyBorder="1" applyAlignment="1">
      <alignment horizontal="center" vertical="center"/>
    </xf>
    <xf numFmtId="0" fontId="54" fillId="17" borderId="0" xfId="0" applyFont="1" applyFill="1" applyAlignment="1">
      <alignment wrapText="1"/>
    </xf>
    <xf numFmtId="0" fontId="54" fillId="0" borderId="0" xfId="0" applyFont="1" applyAlignment="1">
      <alignment wrapText="1"/>
    </xf>
    <xf numFmtId="0" fontId="0" fillId="17" borderId="25" xfId="0" applyFill="1" applyBorder="1" applyAlignment="1">
      <alignment horizontal="left" vertical="center"/>
    </xf>
    <xf numFmtId="0" fontId="0" fillId="17" borderId="69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54" fillId="17" borderId="66" xfId="0" applyFont="1" applyFill="1" applyBorder="1" applyAlignment="1">
      <alignment horizontal="center"/>
    </xf>
    <xf numFmtId="0" fontId="54" fillId="0" borderId="66" xfId="0" applyFont="1" applyBorder="1" applyAlignment="1">
      <alignment horizontal="center"/>
    </xf>
    <xf numFmtId="1" fontId="0" fillId="17" borderId="25" xfId="0" applyNumberFormat="1" applyFill="1" applyBorder="1" applyAlignment="1">
      <alignment horizontal="center" vertical="center"/>
    </xf>
    <xf numFmtId="0" fontId="54" fillId="17" borderId="66" xfId="0" applyFont="1" applyFill="1" applyBorder="1" applyAlignment="1">
      <alignment wrapText="1"/>
    </xf>
    <xf numFmtId="0" fontId="54" fillId="0" borderId="66" xfId="0" applyFont="1" applyBorder="1" applyAlignment="1">
      <alignment wrapText="1"/>
    </xf>
    <xf numFmtId="0" fontId="11" fillId="17" borderId="127" xfId="0" applyFont="1" applyFill="1" applyBorder="1" applyAlignment="1">
      <alignment horizontal="center" vertical="center"/>
    </xf>
    <xf numFmtId="0" fontId="11" fillId="17" borderId="128" xfId="0" applyFont="1" applyFill="1" applyBorder="1" applyAlignment="1">
      <alignment horizontal="center" vertical="center"/>
    </xf>
    <xf numFmtId="0" fontId="49" fillId="17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59" fillId="1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7" fillId="17" borderId="0" xfId="30" applyFont="1" applyFill="1" applyAlignment="1">
      <alignment horizontal="center"/>
      <protection/>
    </xf>
    <xf numFmtId="0" fontId="11" fillId="17" borderId="0" xfId="30" applyFont="1" applyFill="1" applyAlignment="1">
      <alignment horizontal="left" wrapText="1"/>
      <protection/>
    </xf>
    <xf numFmtId="0" fontId="11" fillId="17" borderId="0" xfId="30" applyFont="1" applyFill="1" applyAlignment="1">
      <alignment horizontal="center"/>
      <protection/>
    </xf>
    <xf numFmtId="0" fontId="27" fillId="17" borderId="0" xfId="30" applyFont="1" applyFill="1" applyAlignment="1">
      <alignment horizontal="left" vertical="center"/>
      <protection/>
    </xf>
    <xf numFmtId="49" fontId="3" fillId="17" borderId="67" xfId="30" applyNumberFormat="1" applyFont="1" applyFill="1" applyBorder="1" applyAlignment="1" applyProtection="1">
      <alignment horizontal="center" vertical="center"/>
      <protection locked="0"/>
    </xf>
    <xf numFmtId="167" fontId="3" fillId="17" borderId="67" xfId="30" applyNumberFormat="1" applyFont="1" applyFill="1" applyBorder="1" applyAlignment="1" applyProtection="1">
      <alignment horizontal="center" vertical="center"/>
      <protection locked="0"/>
    </xf>
    <xf numFmtId="0" fontId="11" fillId="17" borderId="102" xfId="30" applyFont="1" applyFill="1" applyBorder="1" applyAlignment="1">
      <alignment horizontal="center"/>
      <protection/>
    </xf>
    <xf numFmtId="4" fontId="3" fillId="17" borderId="67" xfId="30" applyNumberFormat="1" applyFont="1" applyFill="1" applyBorder="1" applyAlignment="1" applyProtection="1">
      <alignment horizontal="center" vertical="center"/>
      <protection locked="0"/>
    </xf>
    <xf numFmtId="4" fontId="27" fillId="17" borderId="0" xfId="30" applyNumberFormat="1" applyFont="1" applyFill="1" applyAlignment="1">
      <alignment horizontal="center" vertical="center"/>
      <protection/>
    </xf>
    <xf numFmtId="3" fontId="27" fillId="17" borderId="0" xfId="30" applyNumberFormat="1" applyFont="1" applyFill="1" applyAlignment="1">
      <alignment horizontal="center"/>
      <protection/>
    </xf>
    <xf numFmtId="14" fontId="54" fillId="17" borderId="67" xfId="30" applyNumberFormat="1" applyFont="1" applyFill="1" applyBorder="1" applyAlignment="1" applyProtection="1">
      <alignment horizontal="center" vertical="center"/>
      <protection locked="0"/>
    </xf>
    <xf numFmtId="0" fontId="54" fillId="17" borderId="67" xfId="30" applyFont="1" applyFill="1" applyBorder="1" applyAlignment="1">
      <alignment horizontal="center" vertical="center"/>
      <protection/>
    </xf>
    <xf numFmtId="0" fontId="27" fillId="17" borderId="0" xfId="30" applyFont="1" applyFill="1" applyAlignment="1" applyProtection="1">
      <alignment horizontal="left" vertical="center"/>
      <protection locked="0"/>
    </xf>
    <xf numFmtId="0" fontId="27" fillId="17" borderId="0" xfId="30" applyFont="1" applyFill="1" applyAlignment="1">
      <alignment horizontal="center" vertical="center"/>
      <protection/>
    </xf>
    <xf numFmtId="0" fontId="3" fillId="17" borderId="67" xfId="30" applyFont="1" applyFill="1" applyBorder="1" applyAlignment="1">
      <alignment horizontal="center" vertical="center"/>
      <protection/>
    </xf>
    <xf numFmtId="0" fontId="0" fillId="0" borderId="67" xfId="29" applyBorder="1" applyAlignment="1">
      <alignment vertical="center"/>
      <protection/>
    </xf>
    <xf numFmtId="0" fontId="3" fillId="17" borderId="25" xfId="30" applyFont="1" applyFill="1" applyBorder="1" applyAlignment="1">
      <alignment horizontal="center" vertical="center"/>
      <protection/>
    </xf>
    <xf numFmtId="0" fontId="3" fillId="17" borderId="63" xfId="30" applyFont="1" applyFill="1" applyBorder="1" applyAlignment="1">
      <alignment horizontal="center" vertical="center"/>
      <protection/>
    </xf>
    <xf numFmtId="0" fontId="0" fillId="0" borderId="102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3" fillId="17" borderId="67" xfId="30" applyFont="1" applyFill="1" applyBorder="1" applyAlignment="1" applyProtection="1">
      <alignment horizontal="center" vertical="center"/>
      <protection locked="0"/>
    </xf>
    <xf numFmtId="1" fontId="49" fillId="17" borderId="67" xfId="30" applyNumberFormat="1" applyFont="1" applyFill="1" applyBorder="1" applyAlignment="1">
      <alignment horizontal="center" vertical="center"/>
      <protection/>
    </xf>
    <xf numFmtId="0" fontId="97" fillId="17" borderId="0" xfId="30" applyFont="1" applyFill="1" applyAlignment="1">
      <alignment horizontal="center" vertical="top"/>
      <protection/>
    </xf>
    <xf numFmtId="0" fontId="50" fillId="17" borderId="67" xfId="30" applyFont="1" applyFill="1" applyBorder="1" applyAlignment="1" applyProtection="1">
      <alignment horizontal="left" vertical="center"/>
      <protection locked="0"/>
    </xf>
    <xf numFmtId="0" fontId="50" fillId="0" borderId="67" xfId="29" applyFont="1" applyBorder="1" applyAlignment="1" applyProtection="1">
      <alignment horizontal="left" vertical="center"/>
      <protection locked="0"/>
    </xf>
    <xf numFmtId="0" fontId="11" fillId="17" borderId="0" xfId="30" applyFont="1" applyFill="1" applyAlignment="1">
      <alignment horizontal="center" vertical="top"/>
      <protection/>
    </xf>
    <xf numFmtId="0" fontId="50" fillId="17" borderId="67" xfId="30" applyFont="1" applyFill="1" applyBorder="1" applyAlignment="1" applyProtection="1">
      <alignment vertical="center"/>
      <protection locked="0"/>
    </xf>
    <xf numFmtId="0" fontId="50" fillId="0" borderId="67" xfId="29" applyFont="1" applyBorder="1" applyAlignment="1" applyProtection="1">
      <alignment vertical="center"/>
      <protection locked="0"/>
    </xf>
    <xf numFmtId="0" fontId="27" fillId="17" borderId="36" xfId="30" applyFont="1" applyFill="1" applyBorder="1" applyAlignment="1">
      <alignment horizontal="center"/>
      <protection/>
    </xf>
    <xf numFmtId="49" fontId="3" fillId="17" borderId="25" xfId="30" applyNumberFormat="1" applyFont="1" applyFill="1" applyBorder="1" applyAlignment="1" applyProtection="1">
      <alignment horizontal="center" vertical="center"/>
      <protection locked="0"/>
    </xf>
    <xf numFmtId="49" fontId="3" fillId="17" borderId="63" xfId="30" applyNumberFormat="1" applyFont="1" applyFill="1" applyBorder="1" applyAlignment="1" applyProtection="1">
      <alignment horizontal="center" vertical="center"/>
      <protection locked="0"/>
    </xf>
    <xf numFmtId="0" fontId="110" fillId="25" borderId="80" xfId="0" applyFont="1" applyFill="1" applyBorder="1" applyAlignment="1">
      <alignment vertical="center"/>
    </xf>
    <xf numFmtId="0" fontId="0" fillId="0" borderId="81" xfId="0" applyBorder="1" applyAlignment="1">
      <alignment vertical="center"/>
    </xf>
    <xf numFmtId="0" fontId="78" fillId="27" borderId="80" xfId="0" applyFont="1" applyFill="1" applyBorder="1" applyAlignment="1">
      <alignment vertical="center"/>
    </xf>
    <xf numFmtId="0" fontId="0" fillId="0" borderId="81" xfId="0" applyBorder="1"/>
    <xf numFmtId="0" fontId="78" fillId="25" borderId="0" xfId="0" applyFont="1" applyFill="1"/>
    <xf numFmtId="0" fontId="111" fillId="27" borderId="8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111" fillId="0" borderId="81" xfId="0" applyFont="1" applyBorder="1" applyAlignment="1">
      <alignment vertical="center"/>
    </xf>
    <xf numFmtId="0" fontId="0" fillId="27" borderId="80" xfId="0" applyFill="1" applyBorder="1"/>
    <xf numFmtId="0" fontId="0" fillId="0" borderId="80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113" fillId="8" borderId="0" xfId="0" applyFont="1" applyFill="1" applyAlignment="1">
      <alignment horizontal="center" vertical="center"/>
    </xf>
    <xf numFmtId="0" fontId="62" fillId="8" borderId="87" xfId="0" applyFont="1" applyFill="1" applyBorder="1" applyAlignment="1">
      <alignment horizontal="center" vertical="center"/>
    </xf>
    <xf numFmtId="0" fontId="62" fillId="0" borderId="88" xfId="0" applyFont="1" applyBorder="1" applyAlignment="1">
      <alignment horizontal="center" vertical="center"/>
    </xf>
    <xf numFmtId="0" fontId="62" fillId="0" borderId="89" xfId="0" applyFont="1" applyBorder="1" applyAlignment="1">
      <alignment horizontal="center" vertical="center"/>
    </xf>
    <xf numFmtId="49" fontId="62" fillId="8" borderId="87" xfId="0" applyNumberFormat="1" applyFont="1" applyFill="1" applyBorder="1" applyAlignment="1">
      <alignment horizontal="center" vertical="center"/>
    </xf>
    <xf numFmtId="49" fontId="62" fillId="8" borderId="88" xfId="0" applyNumberFormat="1" applyFont="1" applyFill="1" applyBorder="1" applyAlignment="1">
      <alignment horizontal="center" vertical="center"/>
    </xf>
    <xf numFmtId="49" fontId="62" fillId="8" borderId="89" xfId="0" applyNumberFormat="1" applyFont="1" applyFill="1" applyBorder="1" applyAlignment="1">
      <alignment horizontal="center" vertical="center"/>
    </xf>
    <xf numFmtId="0" fontId="111" fillId="25" borderId="0" xfId="0" applyFont="1" applyFill="1" applyAlignment="1">
      <alignment horizontal="center" vertical="center"/>
    </xf>
    <xf numFmtId="0" fontId="111" fillId="25" borderId="81" xfId="0" applyFont="1" applyFill="1" applyBorder="1" applyAlignment="1">
      <alignment horizontal="center" vertical="center"/>
    </xf>
    <xf numFmtId="0" fontId="62" fillId="0" borderId="87" xfId="0" applyFont="1" applyBorder="1" applyAlignment="1">
      <alignment vertical="center"/>
    </xf>
    <xf numFmtId="0" fontId="62" fillId="0" borderId="88" xfId="0" applyFont="1" applyBorder="1" applyAlignment="1">
      <alignment vertical="center"/>
    </xf>
    <xf numFmtId="0" fontId="62" fillId="0" borderId="89" xfId="0" applyFont="1" applyBorder="1" applyAlignment="1">
      <alignment vertical="center"/>
    </xf>
    <xf numFmtId="0" fontId="111" fillId="25" borderId="0" xfId="0" applyFont="1" applyFill="1" applyAlignment="1">
      <alignment vertical="center"/>
    </xf>
    <xf numFmtId="0" fontId="111" fillId="25" borderId="81" xfId="0" applyFont="1" applyFill="1" applyBorder="1" applyAlignment="1">
      <alignment vertical="center"/>
    </xf>
    <xf numFmtId="0" fontId="115" fillId="29" borderId="87" xfId="0" applyFont="1" applyFill="1" applyBorder="1" applyAlignment="1">
      <alignment vertical="center"/>
    </xf>
    <xf numFmtId="0" fontId="115" fillId="29" borderId="88" xfId="0" applyFont="1" applyFill="1" applyBorder="1" applyAlignment="1">
      <alignment vertical="center"/>
    </xf>
    <xf numFmtId="0" fontId="116" fillId="30" borderId="88" xfId="0" applyFont="1" applyFill="1" applyBorder="1" applyAlignment="1">
      <alignment vertical="center"/>
    </xf>
    <xf numFmtId="0" fontId="116" fillId="30" borderId="89" xfId="0" applyFont="1" applyFill="1" applyBorder="1" applyAlignment="1">
      <alignment vertical="center"/>
    </xf>
    <xf numFmtId="0" fontId="111" fillId="25" borderId="80" xfId="0" applyFont="1" applyFill="1" applyBorder="1" applyAlignment="1">
      <alignment vertical="center"/>
    </xf>
    <xf numFmtId="0" fontId="62" fillId="8" borderId="87" xfId="0" applyFont="1" applyFill="1" applyBorder="1" applyAlignment="1">
      <alignment vertical="center"/>
    </xf>
    <xf numFmtId="0" fontId="62" fillId="8" borderId="88" xfId="0" applyFont="1" applyFill="1" applyBorder="1" applyAlignment="1">
      <alignment vertical="center"/>
    </xf>
    <xf numFmtId="0" fontId="62" fillId="8" borderId="89" xfId="0" applyFont="1" applyFill="1" applyBorder="1" applyAlignment="1">
      <alignment vertical="center"/>
    </xf>
    <xf numFmtId="0" fontId="62" fillId="8" borderId="87" xfId="0" applyFont="1" applyFill="1" applyBorder="1" applyAlignment="1" applyProtection="1">
      <alignment horizontal="left" vertical="center"/>
      <protection locked="0"/>
    </xf>
    <xf numFmtId="0" fontId="62" fillId="0" borderId="88" xfId="0" applyFont="1" applyBorder="1" applyAlignment="1" applyProtection="1">
      <alignment horizontal="left" vertical="center"/>
      <protection locked="0"/>
    </xf>
    <xf numFmtId="0" fontId="62" fillId="0" borderId="89" xfId="0" applyFont="1" applyBorder="1" applyAlignment="1" applyProtection="1">
      <alignment horizontal="left" vertical="center"/>
      <protection locked="0"/>
    </xf>
    <xf numFmtId="0" fontId="111" fillId="25" borderId="84" xfId="0" applyFont="1" applyFill="1" applyBorder="1" applyAlignment="1">
      <alignment vertical="center"/>
    </xf>
    <xf numFmtId="0" fontId="112" fillId="27" borderId="85" xfId="0" applyFont="1" applyFill="1" applyBorder="1" applyAlignment="1">
      <alignment vertical="center"/>
    </xf>
    <xf numFmtId="0" fontId="0" fillId="0" borderId="85" xfId="0" applyBorder="1" applyAlignment="1">
      <alignment vertical="center"/>
    </xf>
    <xf numFmtId="0" fontId="62" fillId="8" borderId="88" xfId="0" applyFont="1" applyFill="1" applyBorder="1" applyAlignment="1">
      <alignment horizontal="center" vertical="center"/>
    </xf>
    <xf numFmtId="3" fontId="63" fillId="8" borderId="87" xfId="0" applyNumberFormat="1" applyFont="1" applyFill="1" applyBorder="1" applyAlignment="1">
      <alignment horizontal="center" vertical="center"/>
    </xf>
    <xf numFmtId="3" fontId="63" fillId="8" borderId="88" xfId="0" applyNumberFormat="1" applyFont="1" applyFill="1" applyBorder="1" applyAlignment="1">
      <alignment horizontal="center" vertical="center"/>
    </xf>
    <xf numFmtId="0" fontId="63" fillId="0" borderId="88" xfId="0" applyFont="1" applyBorder="1" applyAlignment="1">
      <alignment horizontal="center" vertical="center"/>
    </xf>
    <xf numFmtId="0" fontId="63" fillId="0" borderId="89" xfId="0" applyFont="1" applyBorder="1" applyAlignment="1">
      <alignment horizontal="center" vertical="center"/>
    </xf>
    <xf numFmtId="0" fontId="115" fillId="29" borderId="89" xfId="0" applyFont="1" applyFill="1" applyBorder="1" applyAlignment="1">
      <alignment vertical="center"/>
    </xf>
    <xf numFmtId="0" fontId="111" fillId="27" borderId="0" xfId="0" applyFont="1" applyFill="1" applyAlignment="1">
      <alignment vertical="center"/>
    </xf>
    <xf numFmtId="0" fontId="111" fillId="27" borderId="81" xfId="0" applyFont="1" applyFill="1" applyBorder="1" applyAlignment="1">
      <alignment vertical="center"/>
    </xf>
    <xf numFmtId="49" fontId="110" fillId="25" borderId="0" xfId="0" applyNumberFormat="1" applyFont="1" applyFill="1" applyAlignment="1">
      <alignment horizontal="right"/>
    </xf>
    <xf numFmtId="0" fontId="110" fillId="27" borderId="0" xfId="0" applyFont="1" applyFill="1" applyAlignment="1">
      <alignment horizontal="right"/>
    </xf>
    <xf numFmtId="0" fontId="105" fillId="25" borderId="0" xfId="0" applyFont="1" applyFill="1"/>
    <xf numFmtId="0" fontId="78" fillId="27" borderId="0" xfId="0" applyFont="1" applyFill="1"/>
    <xf numFmtId="0" fontId="110" fillId="25" borderId="0" xfId="0" applyFont="1" applyFill="1" applyAlignment="1">
      <alignment horizontal="right"/>
    </xf>
    <xf numFmtId="0" fontId="78" fillId="27" borderId="0" xfId="0" applyFont="1" applyFill="1" applyAlignment="1">
      <alignment horizontal="right"/>
    </xf>
    <xf numFmtId="0" fontId="0" fillId="25" borderId="0" xfId="0" applyFill="1"/>
    <xf numFmtId="0" fontId="0" fillId="25" borderId="80" xfId="0" applyFill="1" applyBorder="1"/>
    <xf numFmtId="0" fontId="84" fillId="20" borderId="0" xfId="0" applyFont="1" applyFill="1" applyAlignment="1">
      <alignment horizontal="center" vertical="center"/>
    </xf>
    <xf numFmtId="0" fontId="84" fillId="17" borderId="0" xfId="0" applyFont="1" applyFill="1" applyAlignment="1">
      <alignment horizontal="center" vertical="center"/>
    </xf>
    <xf numFmtId="0" fontId="0" fillId="26" borderId="84" xfId="0" applyFill="1" applyBorder="1"/>
    <xf numFmtId="0" fontId="0" fillId="15" borderId="85" xfId="0" applyFill="1" applyBorder="1"/>
    <xf numFmtId="0" fontId="0" fillId="15" borderId="86" xfId="0" applyFill="1" applyBorder="1"/>
    <xf numFmtId="0" fontId="0" fillId="26" borderId="85" xfId="0" applyFill="1" applyBorder="1" applyAlignment="1">
      <alignment vertical="center"/>
    </xf>
    <xf numFmtId="0" fontId="0" fillId="15" borderId="85" xfId="0" applyFill="1" applyBorder="1" applyAlignment="1">
      <alignment vertical="center"/>
    </xf>
    <xf numFmtId="0" fontId="0" fillId="15" borderId="86" xfId="0" applyFill="1" applyBorder="1" applyAlignment="1">
      <alignment vertical="center"/>
    </xf>
    <xf numFmtId="0" fontId="114" fillId="8" borderId="79" xfId="0" applyFont="1" applyFill="1" applyBorder="1" applyAlignment="1">
      <alignment horizontal="center"/>
    </xf>
    <xf numFmtId="0" fontId="112" fillId="0" borderId="78" xfId="0" applyFont="1" applyBorder="1" applyAlignment="1">
      <alignment horizontal="center"/>
    </xf>
    <xf numFmtId="0" fontId="112" fillId="0" borderId="129" xfId="0" applyFont="1" applyBorder="1" applyAlignment="1">
      <alignment horizontal="center"/>
    </xf>
    <xf numFmtId="0" fontId="112" fillId="0" borderId="80" xfId="0" applyFont="1" applyBorder="1" applyAlignment="1">
      <alignment horizontal="center"/>
    </xf>
    <xf numFmtId="0" fontId="112" fillId="0" borderId="0" xfId="0" applyFont="1" applyAlignment="1">
      <alignment horizontal="center"/>
    </xf>
    <xf numFmtId="0" fontId="112" fillId="0" borderId="81" xfId="0" applyFont="1" applyBorder="1" applyAlignment="1">
      <alignment horizontal="center"/>
    </xf>
    <xf numFmtId="0" fontId="112" fillId="0" borderId="80" xfId="0" applyFont="1" applyBorder="1"/>
    <xf numFmtId="0" fontId="112" fillId="0" borderId="0" xfId="0" applyFont="1"/>
    <xf numFmtId="0" fontId="112" fillId="0" borderId="81" xfId="0" applyFont="1" applyBorder="1"/>
    <xf numFmtId="0" fontId="112" fillId="0" borderId="84" xfId="0" applyFont="1" applyBorder="1"/>
    <xf numFmtId="0" fontId="112" fillId="0" borderId="85" xfId="0" applyFont="1" applyBorder="1"/>
    <xf numFmtId="0" fontId="112" fillId="0" borderId="86" xfId="0" applyFont="1" applyBorder="1"/>
    <xf numFmtId="0" fontId="106" fillId="8" borderId="79" xfId="0" applyFont="1" applyFill="1" applyBorder="1" applyAlignment="1">
      <alignment horizontal="center" vertical="center"/>
    </xf>
    <xf numFmtId="0" fontId="78" fillId="0" borderId="78" xfId="0" applyFont="1" applyBorder="1"/>
    <xf numFmtId="0" fontId="78" fillId="0" borderId="129" xfId="0" applyFont="1" applyBorder="1"/>
    <xf numFmtId="0" fontId="106" fillId="8" borderId="80" xfId="0" applyFont="1" applyFill="1" applyBorder="1" applyAlignment="1">
      <alignment horizontal="center" vertical="center"/>
    </xf>
    <xf numFmtId="0" fontId="78" fillId="0" borderId="0" xfId="0" applyFont="1"/>
    <xf numFmtId="0" fontId="78" fillId="0" borderId="81" xfId="0" applyFont="1" applyBorder="1"/>
    <xf numFmtId="0" fontId="0" fillId="27" borderId="0" xfId="0" applyFill="1"/>
    <xf numFmtId="0" fontId="0" fillId="27" borderId="81" xfId="0" applyFill="1" applyBorder="1"/>
    <xf numFmtId="0" fontId="110" fillId="25" borderId="0" xfId="0" applyFont="1" applyFill="1" applyAlignment="1">
      <alignment vertical="center"/>
    </xf>
    <xf numFmtId="0" fontId="110" fillId="25" borderId="81" xfId="0" applyFont="1" applyFill="1" applyBorder="1" applyAlignment="1">
      <alignment vertical="center"/>
    </xf>
    <xf numFmtId="3" fontId="62" fillId="8" borderId="87" xfId="0" applyNumberFormat="1" applyFont="1" applyFill="1" applyBorder="1" applyAlignment="1" applyProtection="1">
      <alignment vertical="center"/>
      <protection locked="0"/>
    </xf>
    <xf numFmtId="0" fontId="62" fillId="8" borderId="88" xfId="0" applyFont="1" applyFill="1" applyBorder="1" applyAlignment="1" applyProtection="1">
      <alignment vertical="center"/>
      <protection locked="0"/>
    </xf>
    <xf numFmtId="0" fontId="62" fillId="8" borderId="89" xfId="0" applyFont="1" applyFill="1" applyBorder="1" applyAlignment="1" applyProtection="1">
      <alignment vertical="center"/>
      <protection locked="0"/>
    </xf>
    <xf numFmtId="0" fontId="84" fillId="25" borderId="0" xfId="0" applyFont="1" applyFill="1" applyAlignment="1">
      <alignment vertical="center"/>
    </xf>
    <xf numFmtId="0" fontId="78" fillId="27" borderId="0" xfId="0" applyFont="1" applyFill="1" applyAlignment="1">
      <alignment vertical="center"/>
    </xf>
    <xf numFmtId="0" fontId="78" fillId="27" borderId="81" xfId="0" applyFont="1" applyFill="1" applyBorder="1" applyAlignment="1">
      <alignment vertical="center"/>
    </xf>
    <xf numFmtId="0" fontId="115" fillId="29" borderId="130" xfId="0" applyFont="1" applyFill="1" applyBorder="1" applyAlignment="1">
      <alignment vertical="center"/>
    </xf>
    <xf numFmtId="0" fontId="116" fillId="30" borderId="130" xfId="0" applyFont="1" applyFill="1" applyBorder="1" applyAlignment="1">
      <alignment vertical="center"/>
    </xf>
    <xf numFmtId="0" fontId="116" fillId="30" borderId="131" xfId="0" applyFont="1" applyFill="1" applyBorder="1" applyAlignment="1">
      <alignment vertical="center"/>
    </xf>
    <xf numFmtId="0" fontId="62" fillId="8" borderId="87" xfId="0" applyFont="1" applyFill="1" applyBorder="1" applyAlignment="1" applyProtection="1">
      <alignment horizontal="center" vertical="center"/>
      <protection locked="0"/>
    </xf>
    <xf numFmtId="0" fontId="62" fillId="8" borderId="89" xfId="0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vertical="center"/>
    </xf>
    <xf numFmtId="0" fontId="0" fillId="27" borderId="0" xfId="0" applyFill="1" applyAlignment="1">
      <alignment vertical="center"/>
    </xf>
    <xf numFmtId="0" fontId="0" fillId="27" borderId="81" xfId="0" applyFill="1" applyBorder="1" applyAlignment="1">
      <alignment vertical="center"/>
    </xf>
    <xf numFmtId="4" fontId="62" fillId="34" borderId="87" xfId="0" applyNumberFormat="1" applyFont="1" applyFill="1" applyBorder="1" applyAlignment="1">
      <alignment vertical="center"/>
    </xf>
    <xf numFmtId="0" fontId="0" fillId="35" borderId="88" xfId="0" applyFill="1" applyBorder="1" applyAlignment="1">
      <alignment vertical="center"/>
    </xf>
    <xf numFmtId="0" fontId="0" fillId="35" borderId="89" xfId="0" applyFill="1" applyBorder="1" applyAlignment="1">
      <alignment vertical="center"/>
    </xf>
    <xf numFmtId="0" fontId="111" fillId="25" borderId="80" xfId="0" applyFont="1" applyFill="1" applyBorder="1" applyAlignment="1">
      <alignment horizontal="right" vertical="center"/>
    </xf>
    <xf numFmtId="0" fontId="111" fillId="25" borderId="0" xfId="0" applyFont="1" applyFill="1" applyAlignment="1">
      <alignment horizontal="left" vertical="center"/>
    </xf>
    <xf numFmtId="0" fontId="3" fillId="25" borderId="0" xfId="0" applyFont="1" applyFill="1" applyAlignment="1">
      <alignment vertical="center"/>
    </xf>
    <xf numFmtId="0" fontId="117" fillId="25" borderId="0" xfId="0" applyFont="1" applyFill="1" applyAlignment="1">
      <alignment vertical="center"/>
    </xf>
    <xf numFmtId="0" fontId="118" fillId="27" borderId="0" xfId="0" applyFont="1" applyFill="1" applyAlignment="1">
      <alignment vertical="center"/>
    </xf>
    <xf numFmtId="0" fontId="105" fillId="25" borderId="78" xfId="0" applyFont="1" applyFill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0" xfId="0" applyAlignment="1">
      <alignment wrapText="1"/>
    </xf>
    <xf numFmtId="49" fontId="123" fillId="8" borderId="87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5" borderId="81" xfId="0" applyFill="1" applyBorder="1"/>
    <xf numFmtId="0" fontId="111" fillId="25" borderId="0" xfId="0" applyFont="1" applyFill="1" applyAlignment="1">
      <alignment horizontal="right" vertical="center"/>
    </xf>
    <xf numFmtId="0" fontId="112" fillId="27" borderId="0" xfId="0" applyFont="1" applyFill="1" applyAlignment="1">
      <alignment horizontal="right" vertical="center"/>
    </xf>
    <xf numFmtId="0" fontId="112" fillId="27" borderId="81" xfId="0" applyFont="1" applyFill="1" applyBorder="1" applyAlignment="1">
      <alignment horizontal="right" vertical="center"/>
    </xf>
    <xf numFmtId="0" fontId="0" fillId="25" borderId="80" xfId="0" applyFill="1" applyBorder="1" applyAlignment="1">
      <alignment vertical="center"/>
    </xf>
    <xf numFmtId="0" fontId="117" fillId="26" borderId="0" xfId="0" applyFont="1" applyFill="1" applyAlignment="1">
      <alignment vertical="center"/>
    </xf>
    <xf numFmtId="0" fontId="118" fillId="26" borderId="0" xfId="0" applyFont="1" applyFill="1" applyAlignment="1">
      <alignment vertical="center"/>
    </xf>
    <xf numFmtId="0" fontId="118" fillId="26" borderId="58" xfId="0" applyFont="1" applyFill="1" applyBorder="1" applyAlignment="1">
      <alignment vertical="center"/>
    </xf>
    <xf numFmtId="0" fontId="118" fillId="26" borderId="81" xfId="0" applyFont="1" applyFill="1" applyBorder="1" applyAlignment="1">
      <alignment vertical="center"/>
    </xf>
    <xf numFmtId="0" fontId="111" fillId="26" borderId="78" xfId="0" applyFont="1" applyFill="1" applyBorder="1" applyAlignment="1">
      <alignment horizontal="right" vertical="center"/>
    </xf>
    <xf numFmtId="0" fontId="78" fillId="15" borderId="78" xfId="0" applyFont="1" applyFill="1" applyBorder="1" applyAlignment="1">
      <alignment vertical="center"/>
    </xf>
    <xf numFmtId="0" fontId="78" fillId="15" borderId="129" xfId="0" applyFont="1" applyFill="1" applyBorder="1" applyAlignment="1">
      <alignment vertical="center"/>
    </xf>
    <xf numFmtId="0" fontId="111" fillId="26" borderId="0" xfId="0" applyFont="1" applyFill="1" applyAlignment="1">
      <alignment horizontal="right" vertical="center"/>
    </xf>
    <xf numFmtId="0" fontId="111" fillId="26" borderId="81" xfId="0" applyFont="1" applyFill="1" applyBorder="1" applyAlignment="1">
      <alignment horizontal="right" vertical="center"/>
    </xf>
    <xf numFmtId="0" fontId="113" fillId="8" borderId="79" xfId="0" applyFont="1" applyFill="1" applyBorder="1" applyAlignment="1" applyProtection="1">
      <alignment horizontal="center"/>
      <protection locked="0"/>
    </xf>
    <xf numFmtId="0" fontId="113" fillId="8" borderId="78" xfId="0" applyFont="1" applyFill="1" applyBorder="1" applyAlignment="1" applyProtection="1">
      <alignment horizontal="center"/>
      <protection locked="0"/>
    </xf>
    <xf numFmtId="0" fontId="113" fillId="8" borderId="129" xfId="0" applyFont="1" applyFill="1" applyBorder="1" applyAlignment="1" applyProtection="1">
      <alignment horizontal="center"/>
      <protection locked="0"/>
    </xf>
    <xf numFmtId="0" fontId="113" fillId="8" borderId="80" xfId="0" applyFont="1" applyFill="1" applyBorder="1" applyAlignment="1" applyProtection="1">
      <alignment horizontal="center"/>
      <protection locked="0"/>
    </xf>
    <xf numFmtId="0" fontId="113" fillId="8" borderId="0" xfId="0" applyFont="1" applyFill="1" applyAlignment="1" applyProtection="1">
      <alignment horizontal="center"/>
      <protection locked="0"/>
    </xf>
    <xf numFmtId="0" fontId="113" fillId="8" borderId="81" xfId="0" applyFont="1" applyFill="1" applyBorder="1" applyAlignment="1" applyProtection="1">
      <alignment horizontal="center"/>
      <protection locked="0"/>
    </xf>
    <xf numFmtId="0" fontId="113" fillId="8" borderId="84" xfId="0" applyFont="1" applyFill="1" applyBorder="1" applyAlignment="1" applyProtection="1">
      <alignment horizontal="center"/>
      <protection locked="0"/>
    </xf>
    <xf numFmtId="0" fontId="113" fillId="8" borderId="85" xfId="0" applyFont="1" applyFill="1" applyBorder="1" applyAlignment="1" applyProtection="1">
      <alignment horizontal="center"/>
      <protection locked="0"/>
    </xf>
    <xf numFmtId="0" fontId="113" fillId="8" borderId="86" xfId="0" applyFont="1" applyFill="1" applyBorder="1" applyAlignment="1" applyProtection="1">
      <alignment horizontal="center"/>
      <protection locked="0"/>
    </xf>
    <xf numFmtId="0" fontId="115" fillId="29" borderId="77" xfId="0" applyFont="1" applyFill="1" applyBorder="1" applyAlignment="1">
      <alignment vertical="center"/>
    </xf>
    <xf numFmtId="0" fontId="116" fillId="30" borderId="77" xfId="0" applyFont="1" applyFill="1" applyBorder="1" applyAlignment="1">
      <alignment vertical="center"/>
    </xf>
    <xf numFmtId="0" fontId="111" fillId="25" borderId="0" xfId="0" applyFont="1" applyFill="1" applyAlignment="1">
      <alignment horizontal="right"/>
    </xf>
    <xf numFmtId="0" fontId="111" fillId="25" borderId="81" xfId="0" applyFont="1" applyFill="1" applyBorder="1" applyAlignment="1">
      <alignment horizontal="right"/>
    </xf>
    <xf numFmtId="3" fontId="62" fillId="8" borderId="88" xfId="0" applyNumberFormat="1" applyFont="1" applyFill="1" applyBorder="1" applyAlignment="1" applyProtection="1">
      <alignment vertical="center"/>
      <protection locked="0"/>
    </xf>
    <xf numFmtId="3" fontId="62" fillId="8" borderId="89" xfId="0" applyNumberFormat="1" applyFont="1" applyFill="1" applyBorder="1" applyAlignment="1" applyProtection="1">
      <alignment vertical="center"/>
      <protection locked="0"/>
    </xf>
    <xf numFmtId="3" fontId="62" fillId="34" borderId="87" xfId="0" applyNumberFormat="1" applyFont="1" applyFill="1" applyBorder="1" applyAlignment="1">
      <alignment vertical="center"/>
    </xf>
    <xf numFmtId="3" fontId="62" fillId="34" borderId="88" xfId="0" applyNumberFormat="1" applyFont="1" applyFill="1" applyBorder="1" applyAlignment="1">
      <alignment vertical="center"/>
    </xf>
    <xf numFmtId="3" fontId="62" fillId="34" borderId="89" xfId="0" applyNumberFormat="1" applyFont="1" applyFill="1" applyBorder="1" applyAlignment="1">
      <alignment vertical="center"/>
    </xf>
    <xf numFmtId="0" fontId="84" fillId="25" borderId="81" xfId="0" applyFont="1" applyFill="1" applyBorder="1" applyAlignment="1">
      <alignment vertical="center"/>
    </xf>
    <xf numFmtId="0" fontId="0" fillId="25" borderId="84" xfId="0" applyFill="1" applyBorder="1"/>
    <xf numFmtId="4" fontId="62" fillId="8" borderId="87" xfId="0" applyNumberFormat="1" applyFont="1" applyFill="1" applyBorder="1" applyAlignment="1" applyProtection="1">
      <alignment vertical="center"/>
      <protection locked="0"/>
    </xf>
    <xf numFmtId="4" fontId="62" fillId="8" borderId="88" xfId="0" applyNumberFormat="1" applyFont="1" applyFill="1" applyBorder="1" applyAlignment="1" applyProtection="1">
      <alignment vertical="center"/>
      <protection locked="0"/>
    </xf>
    <xf numFmtId="4" fontId="62" fillId="8" borderId="89" xfId="0" applyNumberFormat="1" applyFont="1" applyFill="1" applyBorder="1" applyAlignment="1" applyProtection="1">
      <alignment vertical="center"/>
      <protection locked="0"/>
    </xf>
    <xf numFmtId="0" fontId="110" fillId="25" borderId="79" xfId="0" applyFont="1" applyFill="1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29" xfId="0" applyBorder="1" applyAlignment="1">
      <alignment vertical="center"/>
    </xf>
    <xf numFmtId="0" fontId="84" fillId="8" borderId="80" xfId="0" applyFont="1" applyFill="1" applyBorder="1" applyAlignment="1">
      <alignment horizontal="center" vertical="center"/>
    </xf>
    <xf numFmtId="0" fontId="107" fillId="8" borderId="84" xfId="0" applyFont="1" applyFill="1" applyBorder="1" applyAlignment="1">
      <alignment horizontal="center" vertical="center"/>
    </xf>
    <xf numFmtId="0" fontId="78" fillId="0" borderId="85" xfId="0" applyFont="1" applyBorder="1"/>
    <xf numFmtId="0" fontId="78" fillId="0" borderId="86" xfId="0" applyFont="1" applyBorder="1"/>
    <xf numFmtId="0" fontId="111" fillId="3" borderId="0" xfId="0" applyFont="1" applyFill="1" applyAlignment="1">
      <alignment vertical="top" wrapText="1"/>
    </xf>
    <xf numFmtId="0" fontId="112" fillId="8" borderId="0" xfId="0" applyFont="1" applyFill="1" applyAlignment="1">
      <alignment vertical="top"/>
    </xf>
    <xf numFmtId="0" fontId="110" fillId="8" borderId="0" xfId="0" applyFont="1" applyFill="1" applyAlignment="1">
      <alignment horizontal="center" vertical="center"/>
    </xf>
    <xf numFmtId="0" fontId="111" fillId="8" borderId="0" xfId="0" applyFont="1" applyFill="1" applyAlignment="1">
      <alignment horizontal="right" vertical="center"/>
    </xf>
    <xf numFmtId="0" fontId="111" fillId="8" borderId="0" xfId="0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108" fillId="8" borderId="0" xfId="0" applyFont="1" applyFill="1" applyAlignment="1">
      <alignment horizontal="left" vertical="center"/>
    </xf>
    <xf numFmtId="0" fontId="109" fillId="0" borderId="0" xfId="0" applyFont="1" applyAlignment="1">
      <alignment horizontal="left"/>
    </xf>
    <xf numFmtId="0" fontId="62" fillId="8" borderId="87" xfId="0" applyFont="1" applyFill="1" applyBorder="1" applyAlignment="1" applyProtection="1">
      <alignment vertical="center"/>
      <protection locked="0"/>
    </xf>
    <xf numFmtId="0" fontId="62" fillId="0" borderId="88" xfId="0" applyFont="1" applyBorder="1" applyAlignment="1" applyProtection="1">
      <alignment vertical="center"/>
      <protection locked="0"/>
    </xf>
    <xf numFmtId="0" fontId="62" fillId="0" borderId="89" xfId="0" applyFont="1" applyBorder="1" applyAlignment="1" applyProtection="1">
      <alignment vertical="center"/>
      <protection locked="0"/>
    </xf>
    <xf numFmtId="0" fontId="108" fillId="3" borderId="0" xfId="0" applyFont="1" applyFill="1" applyAlignment="1">
      <alignment vertical="center" wrapText="1"/>
    </xf>
    <xf numFmtId="0" fontId="111" fillId="26" borderId="0" xfId="0" applyFont="1" applyFill="1" applyAlignment="1">
      <alignment horizontal="center" vertical="center"/>
    </xf>
    <xf numFmtId="0" fontId="112" fillId="26" borderId="0" xfId="0" applyFont="1" applyFill="1" applyAlignment="1">
      <alignment horizontal="center" vertical="center"/>
    </xf>
    <xf numFmtId="0" fontId="112" fillId="26" borderId="81" xfId="0" applyFont="1" applyFill="1" applyBorder="1" applyAlignment="1">
      <alignment horizontal="center" vertical="center"/>
    </xf>
    <xf numFmtId="49" fontId="62" fillId="8" borderId="87" xfId="0" applyNumberFormat="1" applyFont="1" applyFill="1" applyBorder="1" applyAlignment="1" applyProtection="1">
      <alignment horizontal="left" vertical="center"/>
      <protection locked="0"/>
    </xf>
    <xf numFmtId="49" fontId="62" fillId="8" borderId="88" xfId="0" applyNumberFormat="1" applyFont="1" applyFill="1" applyBorder="1" applyAlignment="1" applyProtection="1">
      <alignment horizontal="left" vertical="center"/>
      <protection locked="0"/>
    </xf>
    <xf numFmtId="49" fontId="62" fillId="8" borderId="89" xfId="0" applyNumberFormat="1" applyFont="1" applyFill="1" applyBorder="1" applyAlignment="1" applyProtection="1">
      <alignment horizontal="left" vertical="center"/>
      <protection locked="0"/>
    </xf>
    <xf numFmtId="0" fontId="62" fillId="0" borderId="87" xfId="0" applyFont="1" applyBorder="1" applyAlignment="1" applyProtection="1">
      <alignment vertical="center"/>
      <protection locked="0"/>
    </xf>
    <xf numFmtId="3" fontId="62" fillId="34" borderId="87" xfId="0" applyNumberFormat="1" applyFont="1" applyFill="1" applyBorder="1" applyAlignment="1" applyProtection="1">
      <alignment vertical="center"/>
      <protection locked="0"/>
    </xf>
    <xf numFmtId="3" fontId="62" fillId="34" borderId="88" xfId="0" applyNumberFormat="1" applyFont="1" applyFill="1" applyBorder="1" applyAlignment="1" applyProtection="1">
      <alignment vertical="center"/>
      <protection locked="0"/>
    </xf>
    <xf numFmtId="3" fontId="62" fillId="34" borderId="89" xfId="0" applyNumberFormat="1" applyFont="1" applyFill="1" applyBorder="1" applyAlignment="1" applyProtection="1">
      <alignment vertical="center"/>
      <protection locked="0"/>
    </xf>
    <xf numFmtId="0" fontId="78" fillId="27" borderId="79" xfId="0" applyFont="1" applyFill="1" applyBorder="1" applyAlignment="1">
      <alignment vertical="center"/>
    </xf>
    <xf numFmtId="0" fontId="0" fillId="0" borderId="78" xfId="0" applyBorder="1"/>
    <xf numFmtId="0" fontId="0" fillId="0" borderId="129" xfId="0" applyBorder="1"/>
    <xf numFmtId="0" fontId="61" fillId="25" borderId="80" xfId="0" applyFont="1" applyFill="1" applyBorder="1" applyAlignment="1">
      <alignment horizontal="center"/>
    </xf>
    <xf numFmtId="4" fontId="62" fillId="34" borderId="88" xfId="0" applyNumberFormat="1" applyFont="1" applyFill="1" applyBorder="1" applyAlignment="1">
      <alignment vertical="center"/>
    </xf>
    <xf numFmtId="4" fontId="62" fillId="34" borderId="89" xfId="0" applyNumberFormat="1" applyFont="1" applyFill="1" applyBorder="1" applyAlignment="1">
      <alignment vertical="center"/>
    </xf>
    <xf numFmtId="0" fontId="112" fillId="27" borderId="0" xfId="0" applyFont="1" applyFill="1" applyAlignment="1">
      <alignment horizontal="right"/>
    </xf>
    <xf numFmtId="0" fontId="112" fillId="27" borderId="81" xfId="0" applyFont="1" applyFill="1" applyBorder="1" applyAlignment="1">
      <alignment horizontal="right"/>
    </xf>
    <xf numFmtId="0" fontId="111" fillId="25" borderId="0" xfId="0" applyFont="1" applyFill="1"/>
    <xf numFmtId="0" fontId="3" fillId="25" borderId="0" xfId="0" applyFont="1" applyFill="1"/>
    <xf numFmtId="0" fontId="118" fillId="15" borderId="0" xfId="0" applyFont="1" applyFill="1" applyAlignment="1">
      <alignment vertical="center"/>
    </xf>
    <xf numFmtId="0" fontId="105" fillId="25" borderId="0" xfId="0" applyFont="1" applyFill="1" applyAlignment="1">
      <alignment horizontal="center"/>
    </xf>
    <xf numFmtId="0" fontId="84" fillId="26" borderId="0" xfId="0" applyFont="1" applyFill="1" applyAlignment="1">
      <alignment vertical="center"/>
    </xf>
    <xf numFmtId="0" fontId="78" fillId="26" borderId="0" xfId="0" applyFont="1" applyFill="1" applyAlignment="1">
      <alignment vertical="center"/>
    </xf>
    <xf numFmtId="0" fontId="78" fillId="26" borderId="81" xfId="0" applyFont="1" applyFill="1" applyBorder="1" applyAlignment="1">
      <alignment vertical="center"/>
    </xf>
    <xf numFmtId="0" fontId="61" fillId="25" borderId="78" xfId="0" applyFont="1" applyFill="1" applyBorder="1" applyAlignment="1">
      <alignment horizontal="center"/>
    </xf>
    <xf numFmtId="0" fontId="3" fillId="0" borderId="78" xfId="0" applyFont="1" applyBorder="1"/>
    <xf numFmtId="14" fontId="62" fillId="8" borderId="79" xfId="0" applyNumberFormat="1" applyFont="1" applyFill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61" fillId="25" borderId="0" xfId="0" applyFont="1" applyFill="1" applyAlignment="1">
      <alignment horizontal="center"/>
    </xf>
    <xf numFmtId="0" fontId="3" fillId="0" borderId="0" xfId="0" applyFont="1"/>
    <xf numFmtId="0" fontId="105" fillId="25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1" xfId="0" applyFont="1" applyBorder="1" applyAlignment="1">
      <alignment vertical="center"/>
    </xf>
    <xf numFmtId="0" fontId="105" fillId="25" borderId="80" xfId="0" applyFont="1" applyFill="1" applyBorder="1" applyAlignment="1">
      <alignment vertical="center"/>
    </xf>
    <xf numFmtId="0" fontId="84" fillId="26" borderId="80" xfId="0" applyFont="1" applyFill="1" applyBorder="1" applyAlignment="1">
      <alignment vertical="center"/>
    </xf>
    <xf numFmtId="0" fontId="113" fillId="25" borderId="79" xfId="0" applyFont="1" applyFill="1" applyBorder="1" applyAlignment="1">
      <alignment vertical="center" wrapText="1"/>
    </xf>
    <xf numFmtId="0" fontId="0" fillId="0" borderId="80" xfId="0" applyBorder="1" applyAlignment="1">
      <alignment wrapText="1"/>
    </xf>
    <xf numFmtId="0" fontId="78" fillId="15" borderId="0" xfId="0" applyFont="1" applyFill="1" applyAlignment="1">
      <alignment vertical="center"/>
    </xf>
    <xf numFmtId="0" fontId="78" fillId="15" borderId="81" xfId="0" applyFont="1" applyFill="1" applyBorder="1" applyAlignment="1">
      <alignment vertical="center"/>
    </xf>
    <xf numFmtId="0" fontId="110" fillId="26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58" xfId="0" applyFont="1" applyFill="1" applyBorder="1" applyAlignment="1">
      <alignment vertical="center"/>
    </xf>
    <xf numFmtId="0" fontId="104" fillId="20" borderId="76" xfId="0" applyFont="1" applyFill="1" applyBorder="1" applyAlignment="1">
      <alignment horizontal="right" vertical="center"/>
    </xf>
    <xf numFmtId="0" fontId="0" fillId="17" borderId="76" xfId="0" applyFont="1" applyFill="1" applyBorder="1" applyAlignment="1">
      <alignment vertical="center"/>
    </xf>
    <xf numFmtId="0" fontId="0" fillId="17" borderId="132" xfId="0" applyFont="1" applyFill="1" applyBorder="1" applyAlignment="1">
      <alignment vertical="center"/>
    </xf>
    <xf numFmtId="0" fontId="50" fillId="20" borderId="0" xfId="0" applyFont="1" applyFill="1" applyAlignment="1">
      <alignment vertical="center"/>
    </xf>
    <xf numFmtId="0" fontId="66" fillId="17" borderId="0" xfId="0" applyFont="1" applyFill="1" applyAlignment="1">
      <alignment vertical="center"/>
    </xf>
    <xf numFmtId="4" fontId="62" fillId="20" borderId="25" xfId="0" applyNumberFormat="1" applyFont="1" applyFill="1" applyBorder="1" applyAlignment="1">
      <alignment vertical="center"/>
    </xf>
    <xf numFmtId="4" fontId="62" fillId="20" borderId="22" xfId="0" applyNumberFormat="1" applyFont="1" applyFill="1" applyBorder="1" applyAlignment="1">
      <alignment vertical="center"/>
    </xf>
    <xf numFmtId="4" fontId="62" fillId="20" borderId="63" xfId="0" applyNumberFormat="1" applyFont="1" applyFill="1" applyBorder="1" applyAlignment="1">
      <alignment vertical="center"/>
    </xf>
    <xf numFmtId="0" fontId="0" fillId="17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62" fillId="20" borderId="25" xfId="0" applyNumberFormat="1" applyFont="1" applyFill="1" applyBorder="1" applyAlignment="1" applyProtection="1">
      <alignment vertical="center"/>
      <protection locked="0"/>
    </xf>
    <xf numFmtId="3" fontId="62" fillId="20" borderId="22" xfId="0" applyNumberFormat="1" applyFont="1" applyFill="1" applyBorder="1" applyAlignment="1" applyProtection="1">
      <alignment vertical="center"/>
      <protection locked="0"/>
    </xf>
    <xf numFmtId="3" fontId="62" fillId="20" borderId="63" xfId="0" applyNumberFormat="1" applyFont="1" applyFill="1" applyBorder="1" applyAlignment="1" applyProtection="1">
      <alignment vertical="center"/>
      <protection locked="0"/>
    </xf>
    <xf numFmtId="0" fontId="53" fillId="8" borderId="133" xfId="0" applyFont="1" applyFill="1" applyBorder="1" applyAlignment="1">
      <alignment horizontal="center" vertical="center"/>
    </xf>
    <xf numFmtId="0" fontId="52" fillId="36" borderId="134" xfId="0" applyFont="1" applyFill="1" applyBorder="1" applyAlignment="1">
      <alignment vertical="center"/>
    </xf>
    <xf numFmtId="0" fontId="52" fillId="36" borderId="130" xfId="0" applyFont="1" applyFill="1" applyBorder="1" applyAlignment="1">
      <alignment vertical="center"/>
    </xf>
    <xf numFmtId="0" fontId="52" fillId="36" borderId="135" xfId="0" applyFont="1" applyFill="1" applyBorder="1" applyAlignment="1">
      <alignment vertical="center"/>
    </xf>
    <xf numFmtId="0" fontId="60" fillId="0" borderId="56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9" fillId="8" borderId="76" xfId="0" applyFont="1" applyFill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60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8" borderId="58" xfId="0" applyFont="1" applyFill="1" applyBorder="1" applyAlignment="1">
      <alignment horizontal="center" vertical="center"/>
    </xf>
    <xf numFmtId="0" fontId="62" fillId="0" borderId="134" xfId="0" applyFont="1" applyBorder="1" applyAlignment="1">
      <alignment vertical="center"/>
    </xf>
    <xf numFmtId="0" fontId="62" fillId="0" borderId="130" xfId="0" applyFont="1" applyBorder="1" applyAlignment="1">
      <alignment vertical="center"/>
    </xf>
    <xf numFmtId="0" fontId="62" fillId="0" borderId="135" xfId="0" applyFont="1" applyBorder="1" applyAlignment="1">
      <alignment vertical="center"/>
    </xf>
    <xf numFmtId="0" fontId="62" fillId="8" borderId="134" xfId="0" applyFont="1" applyFill="1" applyBorder="1" applyAlignment="1">
      <alignment horizontal="center" vertical="center"/>
    </xf>
    <xf numFmtId="0" fontId="62" fillId="8" borderId="130" xfId="0" applyFont="1" applyFill="1" applyBorder="1" applyAlignment="1">
      <alignment horizontal="center" vertical="center"/>
    </xf>
    <xf numFmtId="0" fontId="62" fillId="0" borderId="130" xfId="0" applyFont="1" applyBorder="1" applyAlignment="1">
      <alignment horizontal="center" vertical="center"/>
    </xf>
    <xf numFmtId="0" fontId="62" fillId="0" borderId="135" xfId="0" applyFont="1" applyBorder="1" applyAlignment="1">
      <alignment horizontal="center" vertical="center"/>
    </xf>
    <xf numFmtId="3" fontId="63" fillId="8" borderId="134" xfId="0" applyNumberFormat="1" applyFont="1" applyFill="1" applyBorder="1" applyAlignment="1">
      <alignment horizontal="center" vertical="center"/>
    </xf>
    <xf numFmtId="3" fontId="63" fillId="8" borderId="130" xfId="0" applyNumberFormat="1" applyFont="1" applyFill="1" applyBorder="1" applyAlignment="1">
      <alignment horizontal="center" vertical="center"/>
    </xf>
    <xf numFmtId="0" fontId="63" fillId="0" borderId="130" xfId="0" applyFont="1" applyBorder="1" applyAlignment="1">
      <alignment horizontal="center" vertical="center"/>
    </xf>
    <xf numFmtId="0" fontId="63" fillId="0" borderId="135" xfId="0" applyFont="1" applyBorder="1" applyAlignment="1">
      <alignment horizontal="center" vertical="center"/>
    </xf>
    <xf numFmtId="0" fontId="60" fillId="0" borderId="58" xfId="0" applyFont="1" applyBorder="1" applyAlignment="1">
      <alignment vertical="center"/>
    </xf>
    <xf numFmtId="0" fontId="62" fillId="0" borderId="134" xfId="0" applyFont="1" applyBorder="1" applyAlignment="1" applyProtection="1">
      <alignment vertical="center"/>
      <protection locked="0"/>
    </xf>
    <xf numFmtId="0" fontId="62" fillId="0" borderId="130" xfId="0" applyFont="1" applyBorder="1" applyAlignment="1" applyProtection="1">
      <alignment vertical="center"/>
      <protection locked="0"/>
    </xf>
    <xf numFmtId="0" fontId="62" fillId="0" borderId="135" xfId="0" applyFont="1" applyBorder="1" applyAlignment="1" applyProtection="1">
      <alignment vertical="center"/>
      <protection locked="0"/>
    </xf>
    <xf numFmtId="0" fontId="64" fillId="8" borderId="69" xfId="0" applyFont="1" applyFill="1" applyBorder="1" applyAlignment="1">
      <alignment horizontal="center" vertical="center"/>
    </xf>
    <xf numFmtId="0" fontId="102" fillId="8" borderId="90" xfId="0" applyFont="1" applyFill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6" xfId="0" applyFont="1" applyBorder="1"/>
    <xf numFmtId="0" fontId="19" fillId="0" borderId="0" xfId="0" applyFont="1"/>
    <xf numFmtId="0" fontId="19" fillId="0" borderId="58" xfId="0" applyFont="1" applyBorder="1"/>
    <xf numFmtId="0" fontId="19" fillId="0" borderId="137" xfId="0" applyFont="1" applyBorder="1"/>
    <xf numFmtId="0" fontId="19" fillId="0" borderId="133" xfId="0" applyFont="1" applyBorder="1"/>
    <xf numFmtId="0" fontId="19" fillId="0" borderId="138" xfId="0" applyFont="1" applyBorder="1"/>
    <xf numFmtId="0" fontId="64" fillId="8" borderId="33" xfId="0" applyFont="1" applyFill="1" applyBorder="1" applyAlignment="1">
      <alignment horizontal="center" vertical="center"/>
    </xf>
    <xf numFmtId="0" fontId="52" fillId="8" borderId="33" xfId="0" applyFont="1" applyFill="1" applyBorder="1" applyAlignment="1">
      <alignment horizontal="center" vertical="center"/>
    </xf>
    <xf numFmtId="0" fontId="65" fillId="8" borderId="59" xfId="0" applyFont="1" applyFill="1" applyBorder="1" applyAlignment="1">
      <alignment horizontal="center" vertical="center"/>
    </xf>
    <xf numFmtId="0" fontId="0" fillId="0" borderId="68" xfId="0" applyBorder="1"/>
    <xf numFmtId="0" fontId="54" fillId="3" borderId="0" xfId="0" applyFont="1" applyFill="1" applyAlignment="1">
      <alignment vertical="center" wrapText="1"/>
    </xf>
    <xf numFmtId="0" fontId="0" fillId="8" borderId="24" xfId="0" applyFill="1" applyBorder="1"/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3" fillId="8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top" wrapText="1"/>
    </xf>
    <xf numFmtId="0" fontId="19" fillId="8" borderId="0" xfId="0" applyFont="1" applyFill="1" applyAlignment="1">
      <alignment vertical="top"/>
    </xf>
    <xf numFmtId="0" fontId="60" fillId="8" borderId="0" xfId="0" applyFont="1" applyFill="1" applyAlignment="1">
      <alignment horizontal="right" vertical="center"/>
    </xf>
    <xf numFmtId="0" fontId="0" fillId="0" borderId="58" xfId="0" applyBorder="1"/>
    <xf numFmtId="0" fontId="60" fillId="8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0" fillId="8" borderId="133" xfId="0" applyFont="1" applyFill="1" applyBorder="1" applyAlignment="1">
      <alignment vertical="center"/>
    </xf>
    <xf numFmtId="0" fontId="60" fillId="8" borderId="133" xfId="0" applyFont="1" applyFill="1" applyBorder="1" applyAlignment="1">
      <alignment horizontal="center" vertical="center"/>
    </xf>
    <xf numFmtId="0" fontId="60" fillId="8" borderId="138" xfId="0" applyFont="1" applyFill="1" applyBorder="1" applyAlignment="1">
      <alignment horizontal="center" vertical="center"/>
    </xf>
    <xf numFmtId="0" fontId="62" fillId="8" borderId="134" xfId="0" applyFont="1" applyFill="1" applyBorder="1" applyAlignment="1">
      <alignment vertical="center"/>
    </xf>
    <xf numFmtId="0" fontId="62" fillId="8" borderId="130" xfId="0" applyFont="1" applyFill="1" applyBorder="1" applyAlignment="1">
      <alignment vertical="center"/>
    </xf>
    <xf numFmtId="0" fontId="62" fillId="8" borderId="135" xfId="0" applyFont="1" applyFill="1" applyBorder="1" applyAlignment="1">
      <alignment vertical="center"/>
    </xf>
    <xf numFmtId="49" fontId="62" fillId="8" borderId="134" xfId="0" applyNumberFormat="1" applyFont="1" applyFill="1" applyBorder="1" applyAlignment="1">
      <alignment horizontal="center" vertical="center"/>
    </xf>
    <xf numFmtId="49" fontId="62" fillId="8" borderId="130" xfId="0" applyNumberFormat="1" applyFont="1" applyFill="1" applyBorder="1" applyAlignment="1">
      <alignment horizontal="center" vertical="center"/>
    </xf>
    <xf numFmtId="49" fontId="62" fillId="8" borderId="135" xfId="0" applyNumberFormat="1" applyFont="1" applyFill="1" applyBorder="1" applyAlignment="1">
      <alignment horizontal="center" vertical="center"/>
    </xf>
    <xf numFmtId="0" fontId="104" fillId="20" borderId="80" xfId="0" applyFont="1" applyFill="1" applyBorder="1" applyAlignment="1">
      <alignment vertical="center"/>
    </xf>
    <xf numFmtId="0" fontId="19" fillId="17" borderId="0" xfId="0" applyFont="1" applyFill="1" applyAlignment="1">
      <alignment vertical="center"/>
    </xf>
    <xf numFmtId="0" fontId="62" fillId="8" borderId="25" xfId="0" applyFont="1" applyFill="1" applyBorder="1" applyAlignment="1" applyProtection="1">
      <alignment horizontal="left" vertical="center"/>
      <protection locked="0"/>
    </xf>
    <xf numFmtId="0" fontId="62" fillId="0" borderId="22" xfId="0" applyFont="1" applyBorder="1" applyAlignment="1" applyProtection="1">
      <alignment horizontal="left" vertical="center"/>
      <protection locked="0"/>
    </xf>
    <xf numFmtId="0" fontId="62" fillId="0" borderId="63" xfId="0" applyFont="1" applyBorder="1" applyAlignment="1" applyProtection="1">
      <alignment horizontal="left" vertical="center"/>
      <protection locked="0"/>
    </xf>
    <xf numFmtId="49" fontId="39" fillId="20" borderId="0" xfId="0" applyNumberFormat="1" applyFont="1" applyFill="1" applyAlignment="1">
      <alignment horizontal="right"/>
    </xf>
    <xf numFmtId="0" fontId="39" fillId="17" borderId="0" xfId="0" applyFont="1" applyFill="1" applyAlignment="1">
      <alignment horizontal="right"/>
    </xf>
    <xf numFmtId="0" fontId="60" fillId="8" borderId="56" xfId="0" applyFont="1" applyFill="1" applyBorder="1" applyAlignment="1">
      <alignment vertical="center"/>
    </xf>
    <xf numFmtId="0" fontId="60" fillId="8" borderId="0" xfId="0" applyFont="1" applyFill="1" applyAlignment="1">
      <alignment vertical="center"/>
    </xf>
    <xf numFmtId="0" fontId="60" fillId="8" borderId="58" xfId="0" applyFont="1" applyFill="1" applyBorder="1" applyAlignment="1">
      <alignment vertical="center"/>
    </xf>
    <xf numFmtId="0" fontId="62" fillId="8" borderId="134" xfId="0" applyFont="1" applyFill="1" applyBorder="1" applyAlignment="1" applyProtection="1">
      <alignment vertical="center"/>
      <protection locked="0"/>
    </xf>
    <xf numFmtId="0" fontId="0" fillId="8" borderId="90" xfId="0" applyFill="1" applyBorder="1"/>
    <xf numFmtId="0" fontId="0" fillId="8" borderId="76" xfId="0" applyFill="1" applyBorder="1"/>
    <xf numFmtId="0" fontId="0" fillId="8" borderId="136" xfId="0" applyFill="1" applyBorder="1"/>
    <xf numFmtId="0" fontId="52" fillId="36" borderId="134" xfId="0" applyFont="1" applyFill="1" applyBorder="1" applyAlignment="1">
      <alignment vertical="center"/>
    </xf>
    <xf numFmtId="0" fontId="52" fillId="36" borderId="130" xfId="0" applyFont="1" applyFill="1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5" xfId="0" applyBorder="1" applyAlignment="1">
      <alignment vertical="center"/>
    </xf>
    <xf numFmtId="0" fontId="39" fillId="20" borderId="78" xfId="0" applyFont="1" applyFill="1" applyBorder="1" applyAlignment="1">
      <alignment vertical="center"/>
    </xf>
    <xf numFmtId="0" fontId="0" fillId="17" borderId="78" xfId="0" applyFont="1" applyFill="1" applyBorder="1" applyAlignment="1">
      <alignment vertical="center"/>
    </xf>
    <xf numFmtId="0" fontId="0" fillId="17" borderId="129" xfId="0" applyFont="1" applyFill="1" applyBorder="1" applyAlignment="1">
      <alignment vertical="center"/>
    </xf>
    <xf numFmtId="0" fontId="78" fillId="17" borderId="139" xfId="0" applyFont="1" applyFill="1" applyBorder="1" applyAlignment="1">
      <alignment vertical="center"/>
    </xf>
    <xf numFmtId="0" fontId="0" fillId="17" borderId="76" xfId="0" applyFill="1" applyBorder="1"/>
    <xf numFmtId="0" fontId="0" fillId="17" borderId="136" xfId="0" applyFill="1" applyBorder="1"/>
    <xf numFmtId="0" fontId="104" fillId="17" borderId="0" xfId="0" applyFont="1" applyFill="1" applyAlignment="1">
      <alignment vertical="center"/>
    </xf>
    <xf numFmtId="0" fontId="104" fillId="17" borderId="58" xfId="0" applyFont="1" applyFill="1" applyBorder="1" applyAlignment="1">
      <alignment vertical="center"/>
    </xf>
    <xf numFmtId="0" fontId="78" fillId="20" borderId="0" xfId="0" applyFont="1" applyFill="1"/>
    <xf numFmtId="0" fontId="0" fillId="17" borderId="0" xfId="0" applyFill="1"/>
    <xf numFmtId="0" fontId="0" fillId="17" borderId="81" xfId="0" applyFill="1" applyBorder="1"/>
    <xf numFmtId="0" fontId="60" fillId="8" borderId="138" xfId="0" applyFont="1" applyFill="1" applyBorder="1" applyAlignment="1">
      <alignment vertical="center"/>
    </xf>
    <xf numFmtId="49" fontId="62" fillId="8" borderId="134" xfId="0" applyNumberFormat="1" applyFont="1" applyFill="1" applyBorder="1" applyAlignment="1" applyProtection="1">
      <alignment horizontal="left" vertical="center"/>
      <protection locked="0"/>
    </xf>
    <xf numFmtId="49" fontId="62" fillId="8" borderId="130" xfId="0" applyNumberFormat="1" applyFont="1" applyFill="1" applyBorder="1" applyAlignment="1" applyProtection="1">
      <alignment horizontal="left" vertical="center"/>
      <protection locked="0"/>
    </xf>
    <xf numFmtId="49" fontId="62" fillId="8" borderId="135" xfId="0" applyNumberFormat="1" applyFont="1" applyFill="1" applyBorder="1" applyAlignment="1" applyProtection="1">
      <alignment horizontal="left" vertical="center"/>
      <protection locked="0"/>
    </xf>
    <xf numFmtId="0" fontId="60" fillId="8" borderId="90" xfId="0" applyFont="1" applyFill="1" applyBorder="1" applyAlignment="1">
      <alignment vertical="center"/>
    </xf>
    <xf numFmtId="0" fontId="60" fillId="8" borderId="76" xfId="0" applyFont="1" applyFill="1" applyBorder="1" applyAlignment="1">
      <alignment vertical="center"/>
    </xf>
    <xf numFmtId="0" fontId="39" fillId="20" borderId="0" xfId="0" applyFont="1" applyFill="1" applyAlignment="1">
      <alignment horizontal="right"/>
    </xf>
    <xf numFmtId="0" fontId="0" fillId="17" borderId="0" xfId="0" applyFont="1" applyFill="1" applyAlignment="1">
      <alignment horizontal="right"/>
    </xf>
    <xf numFmtId="0" fontId="78" fillId="17" borderId="33" xfId="0" applyFont="1" applyFill="1" applyBorder="1" applyAlignment="1">
      <alignment vertical="center"/>
    </xf>
    <xf numFmtId="0" fontId="78" fillId="17" borderId="0" xfId="0" applyFont="1" applyFill="1" applyAlignment="1">
      <alignment vertical="center"/>
    </xf>
    <xf numFmtId="0" fontId="78" fillId="17" borderId="58" xfId="0" applyFont="1" applyFill="1" applyBorder="1" applyAlignment="1">
      <alignment vertical="center"/>
    </xf>
    <xf numFmtId="0" fontId="39" fillId="20" borderId="80" xfId="0" applyFont="1" applyFill="1" applyBorder="1" applyAlignment="1">
      <alignment vertical="center"/>
    </xf>
    <xf numFmtId="0" fontId="0" fillId="17" borderId="81" xfId="0" applyFont="1" applyFill="1" applyBorder="1" applyAlignment="1">
      <alignment vertical="center"/>
    </xf>
    <xf numFmtId="0" fontId="104" fillId="17" borderId="80" xfId="0" applyFont="1" applyFill="1" applyBorder="1" applyAlignment="1">
      <alignment vertical="center"/>
    </xf>
    <xf numFmtId="0" fontId="0" fillId="20" borderId="0" xfId="0" applyFont="1" applyFill="1"/>
    <xf numFmtId="0" fontId="11" fillId="20" borderId="0" xfId="0" applyFont="1" applyFill="1"/>
    <xf numFmtId="0" fontId="0" fillId="17" borderId="0" xfId="0" applyFont="1" applyFill="1"/>
    <xf numFmtId="0" fontId="0" fillId="17" borderId="81" xfId="0" applyFont="1" applyFill="1" applyBorder="1"/>
    <xf numFmtId="0" fontId="0" fillId="20" borderId="0" xfId="0" applyFill="1"/>
    <xf numFmtId="0" fontId="0" fillId="20" borderId="80" xfId="0" applyFill="1" applyBorder="1"/>
    <xf numFmtId="0" fontId="0" fillId="0" borderId="59" xfId="0" applyBorder="1"/>
    <xf numFmtId="0" fontId="0" fillId="0" borderId="140" xfId="0" applyBorder="1"/>
    <xf numFmtId="0" fontId="0" fillId="8" borderId="141" xfId="0" applyFill="1" applyBorder="1"/>
    <xf numFmtId="0" fontId="11" fillId="20" borderId="0" xfId="0" applyFont="1" applyFill="1" applyAlignment="1">
      <alignment wrapText="1"/>
    </xf>
    <xf numFmtId="49" fontId="123" fillId="8" borderId="25" xfId="0" applyNumberFormat="1" applyFont="1" applyFill="1" applyBorder="1" applyAlignment="1" applyProtection="1">
      <alignment horizontal="center" vertical="center"/>
      <protection locked="0"/>
    </xf>
    <xf numFmtId="49" fontId="62" fillId="0" borderId="22" xfId="0" applyNumberFormat="1" applyFont="1" applyBorder="1" applyAlignment="1" applyProtection="1">
      <alignment horizontal="center" vertical="center"/>
      <protection locked="0"/>
    </xf>
    <xf numFmtId="49" fontId="62" fillId="0" borderId="63" xfId="0" applyNumberFormat="1" applyFont="1" applyBorder="1" applyAlignment="1" applyProtection="1">
      <alignment horizontal="center" vertical="center"/>
      <protection locked="0"/>
    </xf>
    <xf numFmtId="0" fontId="3" fillId="37" borderId="142" xfId="0" applyFont="1" applyFill="1" applyBorder="1" applyAlignment="1">
      <alignment vertical="center"/>
    </xf>
    <xf numFmtId="0" fontId="0" fillId="22" borderId="8" xfId="0" applyFont="1" applyFill="1" applyBorder="1" applyAlignment="1">
      <alignment vertical="center"/>
    </xf>
    <xf numFmtId="0" fontId="3" fillId="37" borderId="8" xfId="0" applyFont="1" applyFill="1" applyBorder="1" applyAlignment="1">
      <alignment vertical="center"/>
    </xf>
    <xf numFmtId="0" fontId="0" fillId="22" borderId="143" xfId="0" applyFont="1" applyFill="1" applyBorder="1" applyAlignment="1">
      <alignment vertical="center"/>
    </xf>
    <xf numFmtId="0" fontId="104" fillId="20" borderId="69" xfId="0" applyFont="1" applyFill="1" applyBorder="1" applyAlignment="1">
      <alignment horizontal="right"/>
    </xf>
    <xf numFmtId="0" fontId="104" fillId="20" borderId="24" xfId="0" applyFont="1" applyFill="1" applyBorder="1" applyAlignment="1">
      <alignment horizontal="right"/>
    </xf>
    <xf numFmtId="0" fontId="104" fillId="20" borderId="144" xfId="0" applyFont="1" applyFill="1" applyBorder="1" applyAlignment="1">
      <alignment horizontal="right"/>
    </xf>
    <xf numFmtId="0" fontId="3" fillId="20" borderId="0" xfId="0" applyFont="1" applyFill="1"/>
    <xf numFmtId="0" fontId="104" fillId="20" borderId="0" xfId="0" applyFont="1" applyFill="1"/>
    <xf numFmtId="4" fontId="62" fillId="8" borderId="25" xfId="0" applyNumberFormat="1" applyFont="1" applyFill="1" applyBorder="1" applyAlignment="1" applyProtection="1">
      <alignment vertical="center"/>
      <protection locked="0"/>
    </xf>
    <xf numFmtId="4" fontId="62" fillId="8" borderId="22" xfId="0" applyNumberFormat="1" applyFont="1" applyFill="1" applyBorder="1" applyAlignment="1" applyProtection="1">
      <alignment vertical="center"/>
      <protection locked="0"/>
    </xf>
    <xf numFmtId="4" fontId="62" fillId="8" borderId="63" xfId="0" applyNumberFormat="1" applyFont="1" applyFill="1" applyBorder="1" applyAlignment="1" applyProtection="1">
      <alignment vertical="center"/>
      <protection locked="0"/>
    </xf>
    <xf numFmtId="3" fontId="62" fillId="8" borderId="25" xfId="0" applyNumberFormat="1" applyFont="1" applyFill="1" applyBorder="1" applyAlignment="1" applyProtection="1">
      <alignment vertical="center"/>
      <protection locked="0"/>
    </xf>
    <xf numFmtId="3" fontId="62" fillId="8" borderId="22" xfId="0" applyNumberFormat="1" applyFont="1" applyFill="1" applyBorder="1" applyAlignment="1" applyProtection="1">
      <alignment vertical="center"/>
      <protection locked="0"/>
    </xf>
    <xf numFmtId="3" fontId="62" fillId="8" borderId="63" xfId="0" applyNumberFormat="1" applyFont="1" applyFill="1" applyBorder="1" applyAlignment="1" applyProtection="1">
      <alignment vertical="center"/>
      <protection locked="0"/>
    </xf>
    <xf numFmtId="0" fontId="0" fillId="17" borderId="58" xfId="0" applyFont="1" applyFill="1" applyBorder="1" applyAlignment="1">
      <alignment vertical="center"/>
    </xf>
    <xf numFmtId="0" fontId="104" fillId="20" borderId="0" xfId="0" applyFont="1" applyFill="1" applyAlignment="1">
      <alignment horizontal="right" vertical="center"/>
    </xf>
    <xf numFmtId="0" fontId="19" fillId="17" borderId="0" xfId="0" applyFont="1" applyFill="1" applyAlignment="1">
      <alignment horizontal="right" vertical="center"/>
    </xf>
    <xf numFmtId="0" fontId="104" fillId="20" borderId="33" xfId="0" applyFont="1" applyFill="1" applyBorder="1" applyAlignment="1">
      <alignment horizontal="right"/>
    </xf>
    <xf numFmtId="0" fontId="104" fillId="20" borderId="0" xfId="0" applyFont="1" applyFill="1" applyAlignment="1">
      <alignment horizontal="right"/>
    </xf>
    <xf numFmtId="0" fontId="104" fillId="20" borderId="58" xfId="0" applyFont="1" applyFill="1" applyBorder="1" applyAlignment="1">
      <alignment horizontal="right"/>
    </xf>
    <xf numFmtId="0" fontId="0" fillId="20" borderId="33" xfId="0" applyFont="1" applyFill="1" applyBorder="1" applyAlignment="1">
      <alignment vertical="center"/>
    </xf>
    <xf numFmtId="3" fontId="62" fillId="20" borderId="25" xfId="0" applyNumberFormat="1" applyFont="1" applyFill="1" applyBorder="1" applyAlignment="1">
      <alignment vertical="center"/>
    </xf>
    <xf numFmtId="3" fontId="62" fillId="20" borderId="22" xfId="0" applyNumberFormat="1" applyFont="1" applyFill="1" applyBorder="1" applyAlignment="1">
      <alignment vertical="center"/>
    </xf>
    <xf numFmtId="3" fontId="62" fillId="20" borderId="63" xfId="0" applyNumberFormat="1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3" xfId="0" applyFont="1" applyFill="1" applyBorder="1" applyAlignment="1" applyProtection="1">
      <alignment horizontal="center" vertical="center"/>
      <protection locked="0"/>
    </xf>
    <xf numFmtId="0" fontId="0" fillId="20" borderId="0" xfId="0" applyFill="1" applyAlignment="1">
      <alignment vertical="center"/>
    </xf>
    <xf numFmtId="0" fontId="3" fillId="20" borderId="58" xfId="0" applyFont="1" applyFill="1" applyBorder="1" applyAlignment="1">
      <alignment vertical="center"/>
    </xf>
    <xf numFmtId="0" fontId="19" fillId="17" borderId="0" xfId="0" applyFont="1" applyFill="1" applyAlignment="1">
      <alignment horizontal="right"/>
    </xf>
    <xf numFmtId="0" fontId="39" fillId="20" borderId="58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3" xfId="0" applyFont="1" applyFill="1" applyBorder="1" applyAlignment="1" applyProtection="1">
      <alignment horizontal="center" vertical="center"/>
      <protection locked="0"/>
    </xf>
    <xf numFmtId="0" fontId="62" fillId="8" borderId="22" xfId="0" applyFont="1" applyFill="1" applyBorder="1" applyAlignment="1" applyProtection="1">
      <alignment vertical="center"/>
      <protection locked="0"/>
    </xf>
    <xf numFmtId="0" fontId="62" fillId="8" borderId="63" xfId="0" applyFont="1" applyFill="1" applyBorder="1" applyAlignment="1" applyProtection="1">
      <alignment vertical="center"/>
      <protection locked="0"/>
    </xf>
    <xf numFmtId="0" fontId="104" fillId="20" borderId="0" xfId="0" applyFont="1" applyFill="1" applyAlignment="1">
      <alignment horizontal="left" vertical="center"/>
    </xf>
    <xf numFmtId="4" fontId="62" fillId="20" borderId="25" xfId="0" applyNumberFormat="1" applyFont="1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11" fillId="20" borderId="0" xfId="0" applyFont="1" applyFill="1" applyAlignment="1">
      <alignment vertical="center"/>
    </xf>
    <xf numFmtId="0" fontId="0" fillId="20" borderId="56" xfId="0" applyFont="1" applyFill="1" applyBorder="1"/>
    <xf numFmtId="0" fontId="0" fillId="20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140" xfId="0" applyFill="1" applyBorder="1" applyAlignment="1">
      <alignment vertical="center"/>
    </xf>
    <xf numFmtId="14" fontId="62" fillId="8" borderId="90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/>
    <xf numFmtId="0" fontId="0" fillId="0" borderId="133" xfId="0" applyBorder="1"/>
    <xf numFmtId="0" fontId="0" fillId="0" borderId="138" xfId="0" applyBorder="1"/>
    <xf numFmtId="0" fontId="0" fillId="8" borderId="56" xfId="0" applyFill="1" applyBorder="1"/>
    <xf numFmtId="0" fontId="0" fillId="8" borderId="58" xfId="0" applyFill="1" applyBorder="1"/>
    <xf numFmtId="0" fontId="61" fillId="8" borderId="137" xfId="0" applyFont="1" applyFill="1" applyBorder="1" applyAlignment="1">
      <alignment horizontal="center"/>
    </xf>
    <xf numFmtId="0" fontId="61" fillId="8" borderId="76" xfId="0" applyFont="1" applyFill="1" applyBorder="1" applyAlignment="1">
      <alignment horizontal="center"/>
    </xf>
    <xf numFmtId="0" fontId="0" fillId="0" borderId="76" xfId="0" applyBorder="1"/>
    <xf numFmtId="0" fontId="61" fillId="8" borderId="0" xfId="0" applyFont="1" applyFill="1" applyAlignment="1">
      <alignment horizontal="center"/>
    </xf>
    <xf numFmtId="0" fontId="0" fillId="0" borderId="130" xfId="0" applyBorder="1" applyAlignment="1">
      <alignment vertical="center"/>
    </xf>
    <xf numFmtId="0" fontId="0" fillId="0" borderId="135" xfId="0" applyBorder="1" applyAlignment="1">
      <alignment vertical="center"/>
    </xf>
    <xf numFmtId="0" fontId="53" fillId="8" borderId="56" xfId="0" applyFont="1" applyFill="1" applyBorder="1" applyAlignment="1">
      <alignment vertical="center" wrapText="1"/>
    </xf>
    <xf numFmtId="0" fontId="0" fillId="0" borderId="56" xfId="0" applyBorder="1"/>
    <xf numFmtId="0" fontId="53" fillId="8" borderId="90" xfId="0" applyFont="1" applyFill="1" applyBorder="1" applyAlignment="1" applyProtection="1">
      <alignment horizontal="center"/>
      <protection locked="0"/>
    </xf>
    <xf numFmtId="0" fontId="53" fillId="8" borderId="76" xfId="0" applyFont="1" applyFill="1" applyBorder="1" applyAlignment="1" applyProtection="1">
      <alignment horizontal="center"/>
      <protection locked="0"/>
    </xf>
    <xf numFmtId="0" fontId="53" fillId="8" borderId="136" xfId="0" applyFont="1" applyFill="1" applyBorder="1" applyAlignment="1" applyProtection="1">
      <alignment horizontal="center"/>
      <protection locked="0"/>
    </xf>
    <xf numFmtId="0" fontId="53" fillId="8" borderId="56" xfId="0" applyFont="1" applyFill="1" applyBorder="1" applyAlignment="1" applyProtection="1">
      <alignment horizontal="center"/>
      <protection locked="0"/>
    </xf>
    <xf numFmtId="0" fontId="53" fillId="8" borderId="0" xfId="0" applyFont="1" applyFill="1" applyAlignment="1" applyProtection="1">
      <alignment horizontal="center"/>
      <protection locked="0"/>
    </xf>
    <xf numFmtId="0" fontId="53" fillId="8" borderId="58" xfId="0" applyFont="1" applyFill="1" applyBorder="1" applyAlignment="1" applyProtection="1">
      <alignment horizontal="center"/>
      <protection locked="0"/>
    </xf>
    <xf numFmtId="0" fontId="53" fillId="8" borderId="137" xfId="0" applyFont="1" applyFill="1" applyBorder="1" applyAlignment="1" applyProtection="1">
      <alignment horizontal="center"/>
      <protection locked="0"/>
    </xf>
    <xf numFmtId="0" fontId="53" fillId="8" borderId="133" xfId="0" applyFont="1" applyFill="1" applyBorder="1" applyAlignment="1" applyProtection="1">
      <alignment horizontal="center"/>
      <protection locked="0"/>
    </xf>
    <xf numFmtId="0" fontId="53" fillId="8" borderId="138" xfId="0" applyFont="1" applyFill="1" applyBorder="1" applyAlignment="1" applyProtection="1">
      <alignment horizontal="center"/>
      <protection locked="0"/>
    </xf>
    <xf numFmtId="0" fontId="42" fillId="8" borderId="0" xfId="0" applyFont="1" applyFill="1" applyAlignment="1">
      <alignment horizontal="center"/>
    </xf>
    <xf numFmtId="0" fontId="42" fillId="8" borderId="0" xfId="0" applyFont="1" applyFill="1" applyAlignment="1">
      <alignment horizontal="center"/>
    </xf>
    <xf numFmtId="0" fontId="3" fillId="37" borderId="145" xfId="0" applyFont="1" applyFill="1" applyBorder="1" applyAlignment="1">
      <alignment vertical="center"/>
    </xf>
    <xf numFmtId="0" fontId="3" fillId="37" borderId="130" xfId="0" applyFont="1" applyFill="1" applyBorder="1" applyAlignment="1">
      <alignment vertical="center"/>
    </xf>
    <xf numFmtId="0" fontId="3" fillId="37" borderId="133" xfId="0" applyFont="1" applyFill="1" applyBorder="1" applyAlignment="1">
      <alignment vertical="center"/>
    </xf>
    <xf numFmtId="0" fontId="0" fillId="22" borderId="130" xfId="0" applyFont="1" applyFill="1" applyBorder="1" applyAlignment="1">
      <alignment vertical="center"/>
    </xf>
    <xf numFmtId="0" fontId="0" fillId="22" borderId="135" xfId="0" applyFont="1" applyFill="1" applyBorder="1" applyAlignment="1">
      <alignment vertical="center"/>
    </xf>
    <xf numFmtId="0" fontId="104" fillId="20" borderId="56" xfId="0" applyFont="1" applyFill="1" applyBorder="1" applyAlignment="1">
      <alignment horizontal="right" vertical="center"/>
    </xf>
    <xf numFmtId="0" fontId="104" fillId="20" borderId="33" xfId="0" applyFont="1" applyFill="1" applyBorder="1" applyAlignment="1">
      <alignment horizontal="right" vertical="center"/>
    </xf>
    <xf numFmtId="0" fontId="104" fillId="20" borderId="58" xfId="0" applyFont="1" applyFill="1" applyBorder="1" applyAlignment="1">
      <alignment horizontal="right" vertical="center"/>
    </xf>
    <xf numFmtId="0" fontId="0" fillId="20" borderId="56" xfId="0" applyFill="1" applyBorder="1" applyAlignment="1">
      <alignment vertical="center"/>
    </xf>
    <xf numFmtId="0" fontId="66" fillId="20" borderId="0" xfId="0" applyFont="1" applyFill="1" applyAlignment="1">
      <alignment vertical="center"/>
    </xf>
    <xf numFmtId="0" fontId="66" fillId="20" borderId="58" xfId="0" applyFont="1" applyFill="1" applyBorder="1" applyAlignment="1">
      <alignment vertical="center"/>
    </xf>
    <xf numFmtId="0" fontId="46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9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22" fillId="4" borderId="0" xfId="0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165" fontId="12" fillId="19" borderId="0" xfId="0" applyNumberFormat="1" applyFont="1" applyFill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168" fontId="5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8" fontId="0" fillId="4" borderId="8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3" borderId="0" xfId="0" applyFill="1" applyProtection="1"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externalLink" Target="externalLinks/externalLink7.xml" /><Relationship Id="rId20" Type="http://schemas.openxmlformats.org/officeDocument/2006/relationships/worksheet" Target="worksheets/sheet19.xml" /><Relationship Id="rId42" Type="http://schemas.openxmlformats.org/officeDocument/2006/relationships/externalLink" Target="externalLinks/externalLink9.xml" /><Relationship Id="rId41" Type="http://schemas.openxmlformats.org/officeDocument/2006/relationships/externalLink" Target="externalLinks/externalLink8.xml" /><Relationship Id="rId22" Type="http://schemas.openxmlformats.org/officeDocument/2006/relationships/worksheet" Target="worksheets/sheet21.xml" /><Relationship Id="rId44" Type="http://schemas.openxmlformats.org/officeDocument/2006/relationships/calcChain" Target="calcChain.xml" /><Relationship Id="rId21" Type="http://schemas.openxmlformats.org/officeDocument/2006/relationships/worksheet" Target="worksheets/sheet20.xml" /><Relationship Id="rId43" Type="http://schemas.openxmlformats.org/officeDocument/2006/relationships/xmlMaps" Target="xmlMaps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worksheet" Target="worksheets/sheet30.xml" /><Relationship Id="rId30" Type="http://schemas.openxmlformats.org/officeDocument/2006/relationships/worksheet" Target="worksheets/sheet29.xml" /><Relationship Id="rId11" Type="http://schemas.openxmlformats.org/officeDocument/2006/relationships/worksheet" Target="worksheets/sheet10.xml" /><Relationship Id="rId33" Type="http://schemas.openxmlformats.org/officeDocument/2006/relationships/sharedStrings" Target="sharedStrings.xml" /><Relationship Id="rId10" Type="http://schemas.openxmlformats.org/officeDocument/2006/relationships/worksheet" Target="worksheets/sheet9.xml" /><Relationship Id="rId32" Type="http://schemas.openxmlformats.org/officeDocument/2006/relationships/styles" Target="styles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2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1.xml" /><Relationship Id="rId15" Type="http://schemas.openxmlformats.org/officeDocument/2006/relationships/worksheet" Target="worksheets/sheet14.xml" /><Relationship Id="rId37" Type="http://schemas.openxmlformats.org/officeDocument/2006/relationships/externalLink" Target="externalLinks/externalLink4.xml" /><Relationship Id="rId14" Type="http://schemas.openxmlformats.org/officeDocument/2006/relationships/worksheet" Target="worksheets/sheet13.xml" /><Relationship Id="rId36" Type="http://schemas.openxmlformats.org/officeDocument/2006/relationships/externalLink" Target="externalLinks/externalLink3.xml" /><Relationship Id="rId17" Type="http://schemas.openxmlformats.org/officeDocument/2006/relationships/worksheet" Target="worksheets/sheet16.xml" /><Relationship Id="rId39" Type="http://schemas.openxmlformats.org/officeDocument/2006/relationships/externalLink" Target="externalLinks/externalLink6.xml" /><Relationship Id="rId16" Type="http://schemas.openxmlformats.org/officeDocument/2006/relationships/worksheet" Target="worksheets/sheet15.xml" /><Relationship Id="rId38" Type="http://schemas.openxmlformats.org/officeDocument/2006/relationships/externalLink" Target="externalLinks/externalLink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6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4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emf" /><Relationship Id="rId2" Type="http://schemas.openxmlformats.org/officeDocument/2006/relationships/image" Target="../media/image5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6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5" name="Obrázek 4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67</xdr:row>
      <xdr:rowOff>38100</xdr:rowOff>
    </xdr:from>
    <xdr:to>
      <xdr:col>0</xdr:col>
      <xdr:colOff>1371600</xdr:colOff>
      <xdr:row>68</xdr:row>
      <xdr:rowOff>28575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877550"/>
          <a:ext cx="1304925" cy="5334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8975" y="38100"/>
          <a:ext cx="50482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58</xdr:row>
      <xdr:rowOff>133350</xdr:rowOff>
    </xdr:from>
    <xdr:to>
      <xdr:col>2</xdr:col>
      <xdr:colOff>1009650</xdr:colOff>
      <xdr:row>59</xdr:row>
      <xdr:rowOff>152400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601200"/>
          <a:ext cx="1276350" cy="4953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17428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56</xdr:row>
      <xdr:rowOff>9525</xdr:rowOff>
    </xdr:from>
    <xdr:to>
      <xdr:col>12</xdr:col>
      <xdr:colOff>123825</xdr:colOff>
      <xdr:row>58</xdr:row>
      <xdr:rowOff>150283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191875"/>
          <a:ext cx="1466850" cy="40957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95250</xdr:colOff>
      <xdr:row>55</xdr:row>
      <xdr:rowOff>152400</xdr:rowOff>
    </xdr:from>
    <xdr:to>
      <xdr:col>12</xdr:col>
      <xdr:colOff>85725</xdr:colOff>
      <xdr:row>58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1134725"/>
          <a:ext cx="1438275" cy="3810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DzPFOB21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TODO/ROZDELANO/DzPUCZ17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DzPUCZ22_xml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2.vml" /><Relationship Id="rId4" Type="http://schemas.openxmlformats.org/officeDocument/2006/relationships/printerSettings" Target="../printerSettings/printerSettings2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comments" Target="../comments30.xml" /><Relationship Id="rId2" Type="http://schemas.openxmlformats.org/officeDocument/2006/relationships/vmlDrawing" Target="../drawings/vmlDrawing13.vml" /><Relationship Id="rId3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03"/>
      <c r="B1" s="303"/>
      <c r="C1" s="303"/>
      <c r="D1" s="304"/>
      <c r="E1" s="303"/>
      <c r="F1" s="303"/>
      <c r="G1" s="303"/>
      <c r="H1" s="303"/>
      <c r="I1" s="303"/>
      <c r="O1" s="305"/>
    </row>
    <row r="2" spans="1:17" ht="12.75" customHeight="1" thickBot="1">
      <c r="A2" s="303"/>
      <c r="B2" s="306" t="s">
        <v>743</v>
      </c>
      <c r="C2" s="307"/>
      <c r="D2" s="308"/>
      <c r="E2" s="309" t="s">
        <v>744</v>
      </c>
      <c r="F2" s="310"/>
      <c r="G2" s="309">
        <f>COUNTIF(H3:H210,"?*")</f>
        <v>202.0</v>
      </c>
      <c r="H2" s="311"/>
      <c r="I2" s="303"/>
      <c r="J2" s="312" t="s">
        <v>745</v>
      </c>
      <c r="M2" s="313" t="s">
        <v>746</v>
      </c>
      <c r="N2" s="314" t="s">
        <v>747</v>
      </c>
      <c r="O2" s="315" t="s">
        <v>748</v>
      </c>
      <c r="P2" s="316"/>
      <c r="Q2" s="312"/>
    </row>
    <row r="3" spans="1:26" ht="12.75" customHeight="1">
      <c r="A3" s="303"/>
      <c r="B3" s="317" t="s">
        <v>749</v>
      </c>
      <c r="C3" s="318">
        <v>451.0</v>
      </c>
      <c r="D3" s="319">
        <f>IF(ISNUMBER(SEARCH(ZAKL_DATA!$B$14,E3)),MAX($D$2:D2)+1,0)</f>
        <v>1.0</v>
      </c>
      <c r="E3" s="320" t="s">
        <v>750</v>
      </c>
      <c r="F3" s="321">
        <v>2001.0</v>
      </c>
      <c r="G3" s="322"/>
      <c r="H3" s="323" t="str">
        <f>IFERROR(VLOOKUP(ROWS($H$3:H3),$D$3:$E$204,2,0),"")</f>
        <v>PRAHA 1</v>
      </c>
      <c r="I3" s="303"/>
      <c r="J3" s="324" t="s">
        <v>751</v>
      </c>
      <c r="K3" s="325" t="s">
        <v>174</v>
      </c>
      <c r="M3" s="326">
        <f>IF(ISNUMBER(SEARCH(ZAKL_DATA!$B$29,N3)),MAX($M$2:M2)+1,0)</f>
        <v>1.0</v>
      </c>
      <c r="N3" s="327" t="s">
        <v>752</v>
      </c>
      <c r="O3" s="328" t="s">
        <v>753</v>
      </c>
      <c r="Q3" s="329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327" t="s">
        <v>752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327" t="s">
        <v>752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327" t="s">
        <v>752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03"/>
      <c r="B4" s="330" t="s">
        <v>754</v>
      </c>
      <c r="C4" s="331">
        <v>452.0</v>
      </c>
      <c r="D4" s="319">
        <f>IF(ISNUMBER(SEARCH(ZAKL_DATA!$B$14,E4)),MAX($D$2:D3)+1,0)</f>
        <v>2.0</v>
      </c>
      <c r="E4" s="332" t="s">
        <v>755</v>
      </c>
      <c r="F4" s="333">
        <v>2002.0</v>
      </c>
      <c r="G4" s="334"/>
      <c r="H4" s="335" t="str">
        <f>IFERROR(VLOOKUP(ROWS($H$3:H4),$D$3:$E$204,2,0),"")</f>
        <v>PRAHA 2</v>
      </c>
      <c r="I4" s="303"/>
      <c r="J4" s="336" t="s">
        <v>756</v>
      </c>
      <c r="K4" s="325" t="s">
        <v>757</v>
      </c>
      <c r="M4" s="326">
        <f>IF(ISNUMBER(SEARCH(ZAKL_DATA!$B$29,N4)),MAX($M$2:M3)+1,0)</f>
        <v>2.0</v>
      </c>
      <c r="N4" s="327" t="s">
        <v>758</v>
      </c>
      <c r="O4" s="328" t="s">
        <v>759</v>
      </c>
      <c r="Q4" s="329" t="str">
        <f>IFERROR(VLOOKUP(ROWS($Q$3:Q4),$M$3:$N$992,2,0),"")</f>
        <v>Lesnictví a těžba dřeva</v>
      </c>
      <c r="R4">
        <f>IF(ISNUMBER(SEARCH('1Př1'!$A$32,N4)),MAX($M$2:M3)+1,0)</f>
        <v>2.0</v>
      </c>
      <c r="S4" s="327" t="s">
        <v>758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327" t="s">
        <v>758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327" t="s">
        <v>758</v>
      </c>
      <c r="Z4" t="str">
        <f>IFERROR(VLOOKUP(ROWS($Z$3:Z4),$X$3:$Y$992,2,0),"")</f>
        <v>Lesnictví a těžba dřeva</v>
      </c>
    </row>
    <row r="5" spans="1:26" ht="12.75" customHeight="1">
      <c r="A5" s="303"/>
      <c r="B5" s="330" t="s">
        <v>760</v>
      </c>
      <c r="C5" s="331">
        <v>453.0</v>
      </c>
      <c r="D5" s="319">
        <f>IF(ISNUMBER(SEARCH(ZAKL_DATA!$B$14,E5)),MAX($D$2:D4)+1,0)</f>
        <v>3.0</v>
      </c>
      <c r="E5" s="332" t="s">
        <v>761</v>
      </c>
      <c r="F5" s="333">
        <v>2003.0</v>
      </c>
      <c r="G5" s="334"/>
      <c r="H5" s="335" t="str">
        <f>IFERROR(VLOOKUP(ROWS($H$3:H5),$D$3:$E$204,2,0),"")</f>
        <v>PRAHA 3</v>
      </c>
      <c r="I5" s="303"/>
      <c r="J5" s="336" t="s">
        <v>762</v>
      </c>
      <c r="K5" s="325" t="s">
        <v>763</v>
      </c>
      <c r="M5" s="326">
        <f>IF(ISNUMBER(SEARCH(ZAKL_DATA!$B$29,N5)),MAX($M$2:M4)+1,0)</f>
        <v>3.0</v>
      </c>
      <c r="N5" s="327" t="s">
        <v>764</v>
      </c>
      <c r="O5" s="328" t="s">
        <v>765</v>
      </c>
      <c r="Q5" s="329" t="str">
        <f>IFERROR(VLOOKUP(ROWS($Q$3:Q5),$M$3:$N$992,2,0),"")</f>
        <v>Rybolov a akvakultura</v>
      </c>
      <c r="R5">
        <f>IF(ISNUMBER(SEARCH('1Př1'!$A$32,N5)),MAX($M$2:M4)+1,0)</f>
        <v>3.0</v>
      </c>
      <c r="S5" s="327" t="s">
        <v>764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327" t="s">
        <v>764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327" t="s">
        <v>764</v>
      </c>
      <c r="Z5" t="str">
        <f>IFERROR(VLOOKUP(ROWS($Z$3:Z5),$X$3:$Y$992,2,0),"")</f>
        <v>Rybolov a akvakultura</v>
      </c>
    </row>
    <row r="6" spans="1:26" ht="12.75" customHeight="1">
      <c r="A6" s="303"/>
      <c r="B6" s="330" t="s">
        <v>766</v>
      </c>
      <c r="C6" s="331">
        <v>454.0</v>
      </c>
      <c r="D6" s="319">
        <f>IF(ISNUMBER(SEARCH(ZAKL_DATA!$B$14,E6)),MAX($D$2:D5)+1,0)</f>
        <v>4.0</v>
      </c>
      <c r="E6" s="332" t="s">
        <v>767</v>
      </c>
      <c r="F6" s="333">
        <v>2004.0</v>
      </c>
      <c r="G6" s="334"/>
      <c r="H6" s="335" t="str">
        <f>IFERROR(VLOOKUP(ROWS($H$3:H6),$D$3:$E$204,2,0),"")</f>
        <v>PRAHA 4</v>
      </c>
      <c r="I6" s="303"/>
      <c r="J6" s="337" t="s">
        <v>768</v>
      </c>
      <c r="K6" s="325" t="s">
        <v>769</v>
      </c>
      <c r="M6" s="326">
        <f>IF(ISNUMBER(SEARCH(ZAKL_DATA!$B$29,N6)),MAX($M$2:M5)+1,0)</f>
        <v>4.0</v>
      </c>
      <c r="N6" s="327" t="s">
        <v>770</v>
      </c>
      <c r="O6" s="328" t="s">
        <v>771</v>
      </c>
      <c r="Q6" s="329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327" t="s">
        <v>770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327" t="s">
        <v>770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327" t="s">
        <v>770</v>
      </c>
      <c r="Z6" t="str">
        <f>IFERROR(VLOOKUP(ROWS($Z$3:Z6),$X$3:$Y$992,2,0),"")</f>
        <v>Těžba a úprava černého a hnědého uhlí</v>
      </c>
    </row>
    <row r="7" spans="1:26" ht="12.75" customHeight="1">
      <c r="A7" s="303"/>
      <c r="B7" s="330" t="s">
        <v>772</v>
      </c>
      <c r="C7" s="331">
        <v>455.0</v>
      </c>
      <c r="D7" s="319">
        <f>IF(ISNUMBER(SEARCH(ZAKL_DATA!$B$14,E7)),MAX($D$2:D6)+1,0)</f>
        <v>5.0</v>
      </c>
      <c r="E7" s="332" t="s">
        <v>773</v>
      </c>
      <c r="F7" s="333">
        <v>2005.0</v>
      </c>
      <c r="G7" s="334"/>
      <c r="H7" s="335" t="str">
        <f>IFERROR(VLOOKUP(ROWS($H$3:H7),$D$3:$E$204,2,0),"")</f>
        <v>PRAHA 5</v>
      </c>
      <c r="I7" s="303"/>
      <c r="J7" s="337" t="s">
        <v>774</v>
      </c>
      <c r="K7" s="325" t="s">
        <v>775</v>
      </c>
      <c r="M7" s="326">
        <f>IF(ISNUMBER(SEARCH(ZAKL_DATA!$B$29,N7)),MAX($M$2:M6)+1,0)</f>
        <v>5.0</v>
      </c>
      <c r="N7" s="327" t="s">
        <v>776</v>
      </c>
      <c r="O7" s="328" t="s">
        <v>777</v>
      </c>
      <c r="Q7" s="329" t="str">
        <f>IFERROR(VLOOKUP(ROWS($Q$3:Q7),$M$3:$N$992,2,0),"")</f>
        <v>Těžba ropy a zemního plynu</v>
      </c>
      <c r="R7">
        <f>IF(ISNUMBER(SEARCH('1Př1'!$A$32,N7)),MAX($M$2:M6)+1,0)</f>
        <v>5.0</v>
      </c>
      <c r="S7" s="327" t="s">
        <v>776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327" t="s">
        <v>776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327" t="s">
        <v>776</v>
      </c>
      <c r="Z7" t="str">
        <f>IFERROR(VLOOKUP(ROWS($Z$3:Z7),$X$3:$Y$992,2,0),"")</f>
        <v>Těžba ropy a zemního plynu</v>
      </c>
    </row>
    <row r="8" spans="1:26" ht="12.75" customHeight="1">
      <c r="A8" s="303"/>
      <c r="B8" s="330" t="s">
        <v>778</v>
      </c>
      <c r="C8" s="331">
        <v>456.0</v>
      </c>
      <c r="D8" s="319">
        <f>IF(ISNUMBER(SEARCH(ZAKL_DATA!$B$14,E8)),MAX($D$2:D7)+1,0)</f>
        <v>6.0</v>
      </c>
      <c r="E8" s="332" t="s">
        <v>779</v>
      </c>
      <c r="F8" s="333">
        <v>2006.0</v>
      </c>
      <c r="G8" s="334"/>
      <c r="H8" s="335" t="str">
        <f>IFERROR(VLOOKUP(ROWS($H$3:H8),$D$3:$E$204,2,0),"")</f>
        <v>PRAHA 6</v>
      </c>
      <c r="I8" s="303"/>
      <c r="J8" s="337" t="s">
        <v>780</v>
      </c>
      <c r="K8" s="325" t="s">
        <v>781</v>
      </c>
      <c r="M8" s="326">
        <f>IF(ISNUMBER(SEARCH(ZAKL_DATA!$B$29,N8)),MAX($M$2:M7)+1,0)</f>
        <v>6.0</v>
      </c>
      <c r="N8" s="327" t="s">
        <v>782</v>
      </c>
      <c r="O8" s="328" t="s">
        <v>783</v>
      </c>
      <c r="Q8" s="329" t="str">
        <f>IFERROR(VLOOKUP(ROWS($Q$3:Q8),$M$3:$N$992,2,0),"")</f>
        <v>Těžba a úprava rud</v>
      </c>
      <c r="R8">
        <f>IF(ISNUMBER(SEARCH('1Př1'!$A$32,N8)),MAX($M$2:M7)+1,0)</f>
        <v>6.0</v>
      </c>
      <c r="S8" s="327" t="s">
        <v>782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327" t="s">
        <v>782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327" t="s">
        <v>782</v>
      </c>
      <c r="Z8" t="str">
        <f>IFERROR(VLOOKUP(ROWS($Z$3:Z8),$X$3:$Y$992,2,0),"")</f>
        <v>Těžba a úprava rud</v>
      </c>
    </row>
    <row r="9" spans="1:26" ht="12.75" customHeight="1">
      <c r="A9" s="303"/>
      <c r="B9" s="330" t="s">
        <v>784</v>
      </c>
      <c r="C9" s="331">
        <v>457.0</v>
      </c>
      <c r="D9" s="319">
        <f>IF(ISNUMBER(SEARCH(ZAKL_DATA!$B$14,E9)),MAX($D$2:D8)+1,0)</f>
        <v>7.0</v>
      </c>
      <c r="E9" s="332" t="s">
        <v>785</v>
      </c>
      <c r="F9" s="333">
        <v>2007.0</v>
      </c>
      <c r="G9" s="334"/>
      <c r="H9" s="335" t="str">
        <f>IFERROR(VLOOKUP(ROWS($H$3:H9),$D$3:$E$204,2,0),"")</f>
        <v>PRAHA 7</v>
      </c>
      <c r="I9" s="303"/>
      <c r="J9" s="337" t="s">
        <v>786</v>
      </c>
      <c r="K9" s="325" t="s">
        <v>787</v>
      </c>
      <c r="M9" s="326">
        <f>IF(ISNUMBER(SEARCH(ZAKL_DATA!$B$29,N9)),MAX($M$2:M8)+1,0)</f>
        <v>7.0</v>
      </c>
      <c r="N9" s="327" t="s">
        <v>788</v>
      </c>
      <c r="O9" s="328" t="s">
        <v>789</v>
      </c>
      <c r="Q9" s="329" t="str">
        <f>IFERROR(VLOOKUP(ROWS($Q$3:Q9),$M$3:$N$992,2,0),"")</f>
        <v>Ostatní těžba a dobývání</v>
      </c>
      <c r="R9">
        <f>IF(ISNUMBER(SEARCH('1Př1'!$A$32,N9)),MAX($M$2:M8)+1,0)</f>
        <v>7.0</v>
      </c>
      <c r="S9" s="327" t="s">
        <v>788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327" t="s">
        <v>788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327" t="s">
        <v>788</v>
      </c>
      <c r="Z9" t="str">
        <f>IFERROR(VLOOKUP(ROWS($Z$3:Z9),$X$3:$Y$992,2,0),"")</f>
        <v>Ostatní těžba a dobývání</v>
      </c>
    </row>
    <row r="10" spans="1:26" ht="12.75" customHeight="1">
      <c r="A10" s="303"/>
      <c r="B10" s="330" t="s">
        <v>790</v>
      </c>
      <c r="C10" s="331">
        <v>458.0</v>
      </c>
      <c r="D10" s="319">
        <f>IF(ISNUMBER(SEARCH(ZAKL_DATA!$B$14,E10)),MAX($D$2:D9)+1,0)</f>
        <v>8.0</v>
      </c>
      <c r="E10" s="332" t="s">
        <v>791</v>
      </c>
      <c r="F10" s="333">
        <v>2008.0</v>
      </c>
      <c r="G10" s="334"/>
      <c r="H10" s="335" t="str">
        <f>IFERROR(VLOOKUP(ROWS($H$3:H10),$D$3:$E$204,2,0),"")</f>
        <v>PRAHA 8</v>
      </c>
      <c r="I10" s="303"/>
      <c r="J10" s="337" t="s">
        <v>792</v>
      </c>
      <c r="K10" s="325" t="s">
        <v>793</v>
      </c>
      <c r="M10" s="326">
        <f>IF(ISNUMBER(SEARCH(ZAKL_DATA!$B$29,N10)),MAX($M$2:M9)+1,0)</f>
        <v>8.0</v>
      </c>
      <c r="N10" s="327" t="s">
        <v>794</v>
      </c>
      <c r="O10" s="328" t="s">
        <v>795</v>
      </c>
      <c r="Q10" s="329" t="str">
        <f>IFERROR(VLOOKUP(ROWS($Q$3:Q10),$M$3:$N$992,2,0),"")</f>
        <v>Podpůrné činnosti při těžbě</v>
      </c>
      <c r="R10">
        <f>IF(ISNUMBER(SEARCH('1Př1'!$A$32,N10)),MAX($M$2:M9)+1,0)</f>
        <v>8.0</v>
      </c>
      <c r="S10" s="327" t="s">
        <v>794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327" t="s">
        <v>794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327" t="s">
        <v>794</v>
      </c>
      <c r="Z10" t="str">
        <f>IFERROR(VLOOKUP(ROWS($Z$3:Z10),$X$3:$Y$992,2,0),"")</f>
        <v>Podpůrné činnosti při těžbě</v>
      </c>
    </row>
    <row r="11" spans="1:26" ht="12.75" customHeight="1">
      <c r="A11" s="303"/>
      <c r="B11" s="330" t="s">
        <v>796</v>
      </c>
      <c r="C11" s="331">
        <v>459.0</v>
      </c>
      <c r="D11" s="319">
        <f>IF(ISNUMBER(SEARCH(ZAKL_DATA!$B$14,E11)),MAX($D$2:D10)+1,0)</f>
        <v>9.0</v>
      </c>
      <c r="E11" s="332" t="s">
        <v>797</v>
      </c>
      <c r="F11" s="333">
        <v>2009.0</v>
      </c>
      <c r="G11" s="334"/>
      <c r="H11" s="335" t="str">
        <f>IFERROR(VLOOKUP(ROWS($H$3:H11),$D$3:$E$204,2,0),"")</f>
        <v>PRAHA 9</v>
      </c>
      <c r="I11" s="303"/>
      <c r="J11" s="337" t="s">
        <v>798</v>
      </c>
      <c r="K11" s="325" t="s">
        <v>799</v>
      </c>
      <c r="M11" s="326">
        <f>IF(ISNUMBER(SEARCH(ZAKL_DATA!$B$29,N11)),MAX($M$2:M10)+1,0)</f>
        <v>9.0</v>
      </c>
      <c r="N11" s="327" t="s">
        <v>800</v>
      </c>
      <c r="O11" s="328" t="s">
        <v>801</v>
      </c>
      <c r="Q11" s="329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327" t="s">
        <v>800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327" t="s">
        <v>800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327" t="s">
        <v>800</v>
      </c>
      <c r="Z11" t="str">
        <f>IFERROR(VLOOKUP(ROWS($Z$3:Z11),$X$3:$Y$992,2,0),"")</f>
        <v>Výroba potravinářských výrobků</v>
      </c>
    </row>
    <row r="12" spans="1:26" ht="12.75" customHeight="1">
      <c r="A12" s="303"/>
      <c r="B12" s="330" t="s">
        <v>802</v>
      </c>
      <c r="C12" s="304">
        <v>460.0</v>
      </c>
      <c r="D12" s="319">
        <f>IF(ISNUMBER(SEARCH(ZAKL_DATA!$B$14,E12)),MAX($D$2:D11)+1,0)</f>
        <v>10.0</v>
      </c>
      <c r="E12" s="332" t="s">
        <v>803</v>
      </c>
      <c r="F12" s="333">
        <v>2010.0</v>
      </c>
      <c r="G12" s="334"/>
      <c r="H12" s="335" t="str">
        <f>IFERROR(VLOOKUP(ROWS($H$3:H12),$D$3:$E$204,2,0),"")</f>
        <v>PRAHA 10</v>
      </c>
      <c r="I12" s="303"/>
      <c r="J12" s="337" t="s">
        <v>804</v>
      </c>
      <c r="K12" s="325" t="s">
        <v>805</v>
      </c>
      <c r="M12" s="326">
        <f>IF(ISNUMBER(SEARCH(ZAKL_DATA!$B$29,N12)),MAX($M$2:M11)+1,0)</f>
        <v>10.0</v>
      </c>
      <c r="N12" s="327" t="s">
        <v>806</v>
      </c>
      <c r="O12" s="328" t="s">
        <v>807</v>
      </c>
      <c r="Q12" s="329" t="str">
        <f>IFERROR(VLOOKUP(ROWS($Q$3:Q12),$M$3:$N$992,2,0),"")</f>
        <v>Výroba nápojů</v>
      </c>
      <c r="R12">
        <f>IF(ISNUMBER(SEARCH('1Př1'!$A$32,N12)),MAX($M$2:M11)+1,0)</f>
        <v>10.0</v>
      </c>
      <c r="S12" s="327" t="s">
        <v>806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327" t="s">
        <v>806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327" t="s">
        <v>806</v>
      </c>
      <c r="Z12" t="str">
        <f>IFERROR(VLOOKUP(ROWS($Z$3:Z12),$X$3:$Y$992,2,0),"")</f>
        <v>Výroba nápojů</v>
      </c>
    </row>
    <row r="13" spans="1:26" ht="12.75" customHeight="1">
      <c r="A13" s="303"/>
      <c r="B13" s="330" t="s">
        <v>808</v>
      </c>
      <c r="C13" s="331">
        <v>461.0</v>
      </c>
      <c r="D13" s="319">
        <f>IF(ISNUMBER(SEARCH(ZAKL_DATA!$B$14,E13)),MAX($D$2:D12)+1,0)</f>
        <v>11.0</v>
      </c>
      <c r="E13" s="332" t="s">
        <v>809</v>
      </c>
      <c r="F13" s="333">
        <v>2011.0</v>
      </c>
      <c r="G13" s="334"/>
      <c r="H13" s="335" t="str">
        <f>IFERROR(VLOOKUP(ROWS($H$3:H13),$D$3:$E$204,2,0),"")</f>
        <v>PRAHA-JIŽNÍ MĚSTO</v>
      </c>
      <c r="I13" s="303"/>
      <c r="J13" s="337" t="s">
        <v>810</v>
      </c>
      <c r="K13" s="325" t="s">
        <v>811</v>
      </c>
      <c r="M13" s="326">
        <f>IF(ISNUMBER(SEARCH(ZAKL_DATA!$B$29,N13)),MAX($M$2:M12)+1,0)</f>
        <v>11.0</v>
      </c>
      <c r="N13" s="327" t="s">
        <v>812</v>
      </c>
      <c r="O13" s="328" t="s">
        <v>813</v>
      </c>
      <c r="Q13" s="329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327" t="s">
        <v>812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327" t="s">
        <v>812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327" t="s">
        <v>812</v>
      </c>
      <c r="Z13" t="str">
        <f>IFERROR(VLOOKUP(ROWS($Z$3:Z13),$X$3:$Y$992,2,0),"")</f>
        <v>Pěstování plodin jiných než trvalých</v>
      </c>
    </row>
    <row r="14" spans="1:26" ht="12.75" customHeight="1">
      <c r="A14" s="303"/>
      <c r="B14" s="330" t="s">
        <v>814</v>
      </c>
      <c r="C14" s="331">
        <v>462.0</v>
      </c>
      <c r="D14" s="319">
        <f>IF(ISNUMBER(SEARCH(ZAKL_DATA!$B$14,E14)),MAX($D$2:D13)+1,0)</f>
        <v>12.0</v>
      </c>
      <c r="E14" s="332" t="s">
        <v>815</v>
      </c>
      <c r="F14" s="333">
        <v>2012.0</v>
      </c>
      <c r="G14" s="334"/>
      <c r="H14" s="335" t="str">
        <f>IFERROR(VLOOKUP(ROWS($H$3:H14),$D$3:$E$204,2,0),"")</f>
        <v>PRAHA-MODŘANY</v>
      </c>
      <c r="I14" s="303"/>
      <c r="J14" s="337" t="s">
        <v>816</v>
      </c>
      <c r="K14" s="325" t="s">
        <v>817</v>
      </c>
      <c r="M14" s="326">
        <f>IF(ISNUMBER(SEARCH(ZAKL_DATA!$B$29,N14)),MAX($M$2:M13)+1,0)</f>
        <v>12.0</v>
      </c>
      <c r="N14" s="327" t="s">
        <v>818</v>
      </c>
      <c r="O14" s="328" t="s">
        <v>819</v>
      </c>
      <c r="Q14" s="329" t="str">
        <f>IFERROR(VLOOKUP(ROWS($Q$3:Q14),$M$3:$N$992,2,0),"")</f>
        <v>Výroba tabákových výrobků</v>
      </c>
      <c r="R14">
        <f>IF(ISNUMBER(SEARCH('1Př1'!$A$32,N14)),MAX($M$2:M13)+1,0)</f>
        <v>12.0</v>
      </c>
      <c r="S14" s="327" t="s">
        <v>818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327" t="s">
        <v>818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327" t="s">
        <v>818</v>
      </c>
      <c r="Z14" t="str">
        <f>IFERROR(VLOOKUP(ROWS($Z$3:Z14),$X$3:$Y$992,2,0),"")</f>
        <v>Výroba tabákových výrobků</v>
      </c>
    </row>
    <row r="15" spans="1:26" ht="12.75" customHeight="1">
      <c r="A15" s="303"/>
      <c r="B15" s="330" t="s">
        <v>820</v>
      </c>
      <c r="C15" s="331">
        <v>463.0</v>
      </c>
      <c r="D15" s="319">
        <f>IF(ISNUMBER(SEARCH(ZAKL_DATA!$B$14,E15)),MAX($D$2:D14)+1,0)</f>
        <v>13.0</v>
      </c>
      <c r="E15" s="332" t="s">
        <v>821</v>
      </c>
      <c r="F15" s="333">
        <v>2101.0</v>
      </c>
      <c r="G15" s="334"/>
      <c r="H15" s="335" t="str">
        <f>IFERROR(VLOOKUP(ROWS($H$3:H15),$D$3:$E$204,2,0),"")</f>
        <v>PRAHA - VÝCHOD</v>
      </c>
      <c r="I15" s="303"/>
      <c r="J15" s="337" t="s">
        <v>822</v>
      </c>
      <c r="K15" s="325" t="s">
        <v>823</v>
      </c>
      <c r="M15" s="326">
        <f>IF(ISNUMBER(SEARCH(ZAKL_DATA!$B$29,N15)),MAX($M$2:M14)+1,0)</f>
        <v>13.0</v>
      </c>
      <c r="N15" s="327" t="s">
        <v>824</v>
      </c>
      <c r="O15" s="328" t="s">
        <v>825</v>
      </c>
      <c r="Q15" s="329" t="str">
        <f>IFERROR(VLOOKUP(ROWS($Q$3:Q15),$M$3:$N$992,2,0),"")</f>
        <v>Pěstování trvalých plodin</v>
      </c>
      <c r="R15">
        <f>IF(ISNUMBER(SEARCH('1Př1'!$A$32,N15)),MAX($M$2:M14)+1,0)</f>
        <v>13.0</v>
      </c>
      <c r="S15" s="327" t="s">
        <v>824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327" t="s">
        <v>824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327" t="s">
        <v>824</v>
      </c>
      <c r="Z15" t="str">
        <f>IFERROR(VLOOKUP(ROWS($Z$3:Z15),$X$3:$Y$992,2,0),"")</f>
        <v>Pěstování trvalých plodin</v>
      </c>
    </row>
    <row r="16" spans="1:26" ht="12.75" customHeight="1">
      <c r="A16" s="303"/>
      <c r="B16" s="330" t="s">
        <v>826</v>
      </c>
      <c r="C16" s="331">
        <v>464.0</v>
      </c>
      <c r="D16" s="319">
        <f>IF(ISNUMBER(SEARCH(ZAKL_DATA!$B$14,E16)),MAX($D$2:D15)+1,0)</f>
        <v>14.0</v>
      </c>
      <c r="E16" s="332" t="s">
        <v>827</v>
      </c>
      <c r="F16" s="333">
        <v>2102.0</v>
      </c>
      <c r="G16" s="334"/>
      <c r="H16" s="335" t="str">
        <f>IFERROR(VLOOKUP(ROWS($H$3:H16),$D$3:$E$204,2,0),"")</f>
        <v>PRAHA ZÁPAD</v>
      </c>
      <c r="I16" s="303"/>
      <c r="J16" s="337" t="s">
        <v>828</v>
      </c>
      <c r="K16" s="325" t="s">
        <v>829</v>
      </c>
      <c r="M16" s="326">
        <f>IF(ISNUMBER(SEARCH(ZAKL_DATA!$B$29,N16)),MAX($M$2:M15)+1,0)</f>
        <v>14.0</v>
      </c>
      <c r="N16" s="327" t="s">
        <v>830</v>
      </c>
      <c r="O16" s="328" t="s">
        <v>831</v>
      </c>
      <c r="Q16" s="329" t="str">
        <f>IFERROR(VLOOKUP(ROWS($Q$3:Q16),$M$3:$N$992,2,0),"")</f>
        <v>Výroba textilií</v>
      </c>
      <c r="R16">
        <f>IF(ISNUMBER(SEARCH('1Př1'!$A$32,N16)),MAX($M$2:M15)+1,0)</f>
        <v>14.0</v>
      </c>
      <c r="S16" s="327" t="s">
        <v>830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327" t="s">
        <v>830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327" t="s">
        <v>830</v>
      </c>
      <c r="Z16" t="str">
        <f>IFERROR(VLOOKUP(ROWS($Z$3:Z16),$X$3:$Y$992,2,0),"")</f>
        <v>Výroba textilií</v>
      </c>
    </row>
    <row r="17" spans="1:26" ht="12.75" customHeight="1" thickBot="1">
      <c r="A17" s="303"/>
      <c r="B17" s="338" t="s">
        <v>832</v>
      </c>
      <c r="C17" s="339">
        <v>13.0</v>
      </c>
      <c r="D17" s="319">
        <f>IF(ISNUMBER(SEARCH(ZAKL_DATA!$B$14,E17)),MAX($D$2:D16)+1,0)</f>
        <v>15.0</v>
      </c>
      <c r="E17" s="332" t="s">
        <v>833</v>
      </c>
      <c r="F17" s="333">
        <v>2103.0</v>
      </c>
      <c r="G17" s="334"/>
      <c r="H17" s="335" t="str">
        <f>IFERROR(VLOOKUP(ROWS($H$3:H17),$D$3:$E$204,2,0),"")</f>
        <v>BENEŠOV</v>
      </c>
      <c r="I17" s="303"/>
      <c r="J17" s="337" t="s">
        <v>834</v>
      </c>
      <c r="K17" s="325" t="s">
        <v>835</v>
      </c>
      <c r="M17" s="326">
        <f>IF(ISNUMBER(SEARCH(ZAKL_DATA!$B$29,N17)),MAX($M$2:M16)+1,0)</f>
        <v>15.0</v>
      </c>
      <c r="N17" s="327" t="s">
        <v>836</v>
      </c>
      <c r="O17" s="328" t="s">
        <v>837</v>
      </c>
      <c r="Q17" s="329" t="str">
        <f>IFERROR(VLOOKUP(ROWS($Q$3:Q17),$M$3:$N$992,2,0),"")</f>
        <v>Množení rostlin</v>
      </c>
      <c r="R17">
        <f>IF(ISNUMBER(SEARCH('1Př1'!$A$32,N17)),MAX($M$2:M16)+1,0)</f>
        <v>15.0</v>
      </c>
      <c r="S17" s="327" t="s">
        <v>836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327" t="s">
        <v>836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327" t="s">
        <v>836</v>
      </c>
      <c r="Z17" t="str">
        <f>IFERROR(VLOOKUP(ROWS($Z$3:Z17),$X$3:$Y$992,2,0),"")</f>
        <v>Množení rostlin</v>
      </c>
    </row>
    <row r="18" spans="1:26" ht="12.75" customHeight="1">
      <c r="A18" s="303"/>
      <c r="B18" s="303"/>
      <c r="C18" s="303"/>
      <c r="D18" s="319">
        <f>IF(ISNUMBER(SEARCH(ZAKL_DATA!$B$14,E18)),MAX($D$2:D17)+1,0)</f>
        <v>16.0</v>
      </c>
      <c r="E18" s="332" t="s">
        <v>838</v>
      </c>
      <c r="F18" s="333">
        <v>2104.0</v>
      </c>
      <c r="G18" s="334"/>
      <c r="H18" s="335" t="str">
        <f>IFERROR(VLOOKUP(ROWS($H$3:H18),$D$3:$E$204,2,0),"")</f>
        <v>BEROUN</v>
      </c>
      <c r="I18" s="303"/>
      <c r="J18" s="337" t="s">
        <v>839</v>
      </c>
      <c r="K18" s="325" t="s">
        <v>840</v>
      </c>
      <c r="M18" s="326">
        <f>IF(ISNUMBER(SEARCH(ZAKL_DATA!$B$29,N18)),MAX($M$2:M17)+1,0)</f>
        <v>16.0</v>
      </c>
      <c r="N18" s="327" t="s">
        <v>841</v>
      </c>
      <c r="O18" s="328" t="s">
        <v>842</v>
      </c>
      <c r="Q18" s="329" t="str">
        <f>IFERROR(VLOOKUP(ROWS($Q$3:Q18),$M$3:$N$992,2,0),"")</f>
        <v>Výroba oděvů</v>
      </c>
      <c r="R18">
        <f>IF(ISNUMBER(SEARCH('1Př1'!$A$32,N18)),MAX($M$2:M17)+1,0)</f>
        <v>16.0</v>
      </c>
      <c r="S18" s="327" t="s">
        <v>841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327" t="s">
        <v>841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327" t="s">
        <v>841</v>
      </c>
      <c r="Z18" t="str">
        <f>IFERROR(VLOOKUP(ROWS($Z$3:Z18),$X$3:$Y$992,2,0),"")</f>
        <v>Výroba oděvů</v>
      </c>
    </row>
    <row r="19" spans="1:26" ht="12.75" customHeight="1">
      <c r="A19" s="303"/>
      <c r="B19" s="303"/>
      <c r="C19" s="303"/>
      <c r="D19" s="319">
        <f>IF(ISNUMBER(SEARCH(ZAKL_DATA!$B$14,E19)),MAX($D$2:D18)+1,0)</f>
        <v>17.0</v>
      </c>
      <c r="E19" s="332" t="s">
        <v>843</v>
      </c>
      <c r="F19" s="333">
        <v>2105.0</v>
      </c>
      <c r="G19" s="334"/>
      <c r="H19" s="335" t="str">
        <f>IFERROR(VLOOKUP(ROWS($H$3:H19),$D$3:$E$204,2,0),"")</f>
        <v>BRANDÝS N.L. - ST.BOL.</v>
      </c>
      <c r="I19" s="303"/>
      <c r="J19" s="337" t="s">
        <v>844</v>
      </c>
      <c r="K19" s="325" t="s">
        <v>845</v>
      </c>
      <c r="M19" s="326">
        <f>IF(ISNUMBER(SEARCH(ZAKL_DATA!$B$29,N19)),MAX($M$2:M18)+1,0)</f>
        <v>17.0</v>
      </c>
      <c r="N19" s="327" t="s">
        <v>846</v>
      </c>
      <c r="O19" s="328" t="s">
        <v>847</v>
      </c>
      <c r="Q19" s="329" t="str">
        <f>IFERROR(VLOOKUP(ROWS($Q$3:Q19),$M$3:$N$992,2,0),"")</f>
        <v>živočišná výroba</v>
      </c>
      <c r="R19">
        <f>IF(ISNUMBER(SEARCH('1Př1'!$A$32,N19)),MAX($M$2:M18)+1,0)</f>
        <v>17.0</v>
      </c>
      <c r="S19" s="327" t="s">
        <v>846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327" t="s">
        <v>846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327" t="s">
        <v>846</v>
      </c>
      <c r="Z19" t="str">
        <f>IFERROR(VLOOKUP(ROWS($Z$3:Z19),$X$3:$Y$992,2,0),"")</f>
        <v>živočišná výroba</v>
      </c>
    </row>
    <row r="20" spans="1:26" ht="12.75" customHeight="1">
      <c r="A20" s="303"/>
      <c r="B20" s="303"/>
      <c r="C20" s="303"/>
      <c r="D20" s="319">
        <f>IF(ISNUMBER(SEARCH(ZAKL_DATA!$B$14,E20)),MAX($D$2:D19)+1,0)</f>
        <v>18.0</v>
      </c>
      <c r="E20" s="332" t="s">
        <v>848</v>
      </c>
      <c r="F20" s="333">
        <v>2106.0</v>
      </c>
      <c r="G20" s="334"/>
      <c r="H20" s="335" t="str">
        <f>IFERROR(VLOOKUP(ROWS($H$3:H20),$D$3:$E$204,2,0),"")</f>
        <v>ČÁSLAV</v>
      </c>
      <c r="I20" s="303"/>
      <c r="J20" s="337" t="s">
        <v>849</v>
      </c>
      <c r="K20" s="325" t="s">
        <v>850</v>
      </c>
      <c r="M20" s="326">
        <f>IF(ISNUMBER(SEARCH(ZAKL_DATA!$B$29,N20)),MAX($M$2:M19)+1,0)</f>
        <v>18.0</v>
      </c>
      <c r="N20" s="327" t="s">
        <v>851</v>
      </c>
      <c r="O20" s="328" t="s">
        <v>852</v>
      </c>
      <c r="Q20" s="329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327" t="s">
        <v>851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327" t="s">
        <v>851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327" t="s">
        <v>851</v>
      </c>
      <c r="Z20" t="str">
        <f>IFERROR(VLOOKUP(ROWS($Z$3:Z20),$X$3:$Y$992,2,0),"")</f>
        <v>Výroba usní a souvisejících výrobků</v>
      </c>
    </row>
    <row r="21" spans="1:26" ht="12.75" customHeight="1">
      <c r="A21" s="303"/>
      <c r="B21" s="303"/>
      <c r="C21" s="303"/>
      <c r="D21" s="319">
        <f>IF(ISNUMBER(SEARCH(ZAKL_DATA!$B$14,E21)),MAX($D$2:D20)+1,0)</f>
        <v>19.0</v>
      </c>
      <c r="E21" s="332" t="s">
        <v>853</v>
      </c>
      <c r="F21" s="333">
        <v>2107.0</v>
      </c>
      <c r="G21" s="334"/>
      <c r="H21" s="335" t="str">
        <f>IFERROR(VLOOKUP(ROWS($H$3:H21),$D$3:$E$204,2,0),"")</f>
        <v>ČESKÝ BROD</v>
      </c>
      <c r="I21" s="303"/>
      <c r="J21" s="337" t="s">
        <v>854</v>
      </c>
      <c r="K21" s="325" t="s">
        <v>855</v>
      </c>
      <c r="M21" s="326">
        <f>IF(ISNUMBER(SEARCH(ZAKL_DATA!$B$29,N21)),MAX($M$2:M20)+1,0)</f>
        <v>19.0</v>
      </c>
      <c r="N21" s="327" t="s">
        <v>856</v>
      </c>
      <c r="O21" s="328" t="s">
        <v>857</v>
      </c>
      <c r="Q21" s="329" t="str">
        <f>IFERROR(VLOOKUP(ROWS($Q$3:Q21),$M$3:$N$992,2,0),"")</f>
        <v>Smíšené hospodářství</v>
      </c>
      <c r="R21">
        <f>IF(ISNUMBER(SEARCH('1Př1'!$A$32,N21)),MAX($M$2:M20)+1,0)</f>
        <v>19.0</v>
      </c>
      <c r="S21" s="327" t="s">
        <v>856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327" t="s">
        <v>856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327" t="s">
        <v>856</v>
      </c>
      <c r="Z21" t="str">
        <f>IFERROR(VLOOKUP(ROWS($Z$3:Z21),$X$3:$Y$992,2,0),"")</f>
        <v>Smíšené hospodářství</v>
      </c>
    </row>
    <row r="22" spans="1:26" ht="12.75" customHeight="1">
      <c r="A22" s="303"/>
      <c r="B22" s="303"/>
      <c r="C22" s="303"/>
      <c r="D22" s="319">
        <f>IF(ISNUMBER(SEARCH(ZAKL_DATA!$B$14,E22)),MAX($D$2:D21)+1,0)</f>
        <v>20.0</v>
      </c>
      <c r="E22" s="332" t="s">
        <v>858</v>
      </c>
      <c r="F22" s="333">
        <v>2108.0</v>
      </c>
      <c r="G22" s="334"/>
      <c r="H22" s="335" t="str">
        <f>IFERROR(VLOOKUP(ROWS($H$3:H22),$D$3:$E$204,2,0),"")</f>
        <v>DOBŘÍŠ</v>
      </c>
      <c r="I22" s="303"/>
      <c r="J22" s="337" t="s">
        <v>859</v>
      </c>
      <c r="K22" s="325" t="s">
        <v>860</v>
      </c>
      <c r="M22" s="326">
        <f>IF(ISNUMBER(SEARCH(ZAKL_DATA!$B$29,N22)),MAX($M$2:M21)+1,0)</f>
        <v>20.0</v>
      </c>
      <c r="N22" s="327" t="s">
        <v>861</v>
      </c>
      <c r="O22" s="328" t="s">
        <v>862</v>
      </c>
      <c r="Q22" s="329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327" t="s">
        <v>861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327" t="s">
        <v>861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327" t="s">
        <v>861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03"/>
      <c r="B23" s="303"/>
      <c r="C23" s="303"/>
      <c r="D23" s="319">
        <f>IF(ISNUMBER(SEARCH(ZAKL_DATA!$B$14,E23)),MAX($D$2:D22)+1,0)</f>
        <v>21.0</v>
      </c>
      <c r="E23" s="332" t="s">
        <v>863</v>
      </c>
      <c r="F23" s="333">
        <v>2109.0</v>
      </c>
      <c r="G23" s="334"/>
      <c r="H23" s="335" t="str">
        <f>IFERROR(VLOOKUP(ROWS($H$3:H23),$D$3:$E$204,2,0),"")</f>
        <v>HOŘOVICE</v>
      </c>
      <c r="I23" s="303"/>
      <c r="J23" s="337" t="s">
        <v>864</v>
      </c>
      <c r="K23" s="325" t="s">
        <v>865</v>
      </c>
      <c r="M23" s="326">
        <f>IF(ISNUMBER(SEARCH(ZAKL_DATA!$B$29,N23)),MAX($M$2:M22)+1,0)</f>
        <v>21.0</v>
      </c>
      <c r="N23" s="327" t="s">
        <v>866</v>
      </c>
      <c r="O23" s="328" t="s">
        <v>867</v>
      </c>
      <c r="Q23" s="329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327" t="s">
        <v>866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327" t="s">
        <v>866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327" t="s">
        <v>866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03"/>
      <c r="B24" s="303"/>
      <c r="C24" s="303"/>
      <c r="D24" s="319">
        <f>IF(ISNUMBER(SEARCH(ZAKL_DATA!$B$14,E24)),MAX($D$2:D23)+1,0)</f>
        <v>22.0</v>
      </c>
      <c r="E24" s="332" t="s">
        <v>868</v>
      </c>
      <c r="F24" s="333">
        <v>2110.0</v>
      </c>
      <c r="G24" s="334"/>
      <c r="H24" s="335" t="str">
        <f>IFERROR(VLOOKUP(ROWS($H$3:H24),$D$3:$E$204,2,0),"")</f>
        <v>KLADNO</v>
      </c>
      <c r="I24" s="303"/>
      <c r="J24" s="337" t="s">
        <v>869</v>
      </c>
      <c r="K24" s="325" t="s">
        <v>870</v>
      </c>
      <c r="M24" s="326">
        <f>IF(ISNUMBER(SEARCH(ZAKL_DATA!$B$29,N24)),MAX($M$2:M23)+1,0)</f>
        <v>22.0</v>
      </c>
      <c r="N24" s="327" t="s">
        <v>871</v>
      </c>
      <c r="O24" s="328" t="s">
        <v>872</v>
      </c>
      <c r="Q24" s="329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327" t="s">
        <v>871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327" t="s">
        <v>871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327" t="s">
        <v>871</v>
      </c>
      <c r="Z24" t="str">
        <f>IFERROR(VLOOKUP(ROWS($Z$3:Z24),$X$3:$Y$992,2,0),"")</f>
        <v>Výroba papíru a výrobků z papíru</v>
      </c>
    </row>
    <row r="25" spans="1:26" ht="12.75" customHeight="1">
      <c r="A25" s="303"/>
      <c r="B25" s="303"/>
      <c r="C25" s="303"/>
      <c r="D25" s="319">
        <f>IF(ISNUMBER(SEARCH(ZAKL_DATA!$B$14,E25)),MAX($D$2:D24)+1,0)</f>
        <v>23.0</v>
      </c>
      <c r="E25" s="332" t="s">
        <v>873</v>
      </c>
      <c r="F25" s="333">
        <v>2111.0</v>
      </c>
      <c r="G25" s="334"/>
      <c r="H25" s="335" t="str">
        <f>IFERROR(VLOOKUP(ROWS($H$3:H25),$D$3:$E$204,2,0),"")</f>
        <v>KOLÍN</v>
      </c>
      <c r="I25" s="303"/>
      <c r="J25" s="337" t="s">
        <v>874</v>
      </c>
      <c r="K25" s="325" t="s">
        <v>875</v>
      </c>
      <c r="M25" s="326">
        <f>IF(ISNUMBER(SEARCH(ZAKL_DATA!$B$29,N25)),MAX($M$2:M24)+1,0)</f>
        <v>23.0</v>
      </c>
      <c r="N25" s="327" t="s">
        <v>876</v>
      </c>
      <c r="O25" s="328" t="s">
        <v>877</v>
      </c>
      <c r="Q25" s="329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327" t="s">
        <v>876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327" t="s">
        <v>876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327" t="s">
        <v>876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03"/>
      <c r="B26" s="303"/>
      <c r="C26" s="303"/>
      <c r="D26" s="319">
        <f>IF(ISNUMBER(SEARCH(ZAKL_DATA!$B$14,E26)),MAX($D$2:D25)+1,0)</f>
        <v>24.0</v>
      </c>
      <c r="E26" s="332" t="s">
        <v>878</v>
      </c>
      <c r="F26" s="333">
        <v>2112.0</v>
      </c>
      <c r="G26" s="334"/>
      <c r="H26" s="335" t="str">
        <f>IFERROR(VLOOKUP(ROWS($H$3:H26),$D$3:$E$204,2,0),"")</f>
        <v>KRALUPY NAD VLTAVOU</v>
      </c>
      <c r="I26" s="303"/>
      <c r="J26" s="337" t="s">
        <v>879</v>
      </c>
      <c r="K26" s="325" t="s">
        <v>880</v>
      </c>
      <c r="M26" s="326">
        <f>IF(ISNUMBER(SEARCH(ZAKL_DATA!$B$29,N26)),MAX($M$2:M25)+1,0)</f>
        <v>24.0</v>
      </c>
      <c r="N26" s="327" t="s">
        <v>881</v>
      </c>
      <c r="O26" s="328" t="s">
        <v>882</v>
      </c>
      <c r="Q26" s="329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327" t="s">
        <v>881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327" t="s">
        <v>881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327" t="s">
        <v>881</v>
      </c>
      <c r="Z26" t="str">
        <f>IFERROR(VLOOKUP(ROWS($Z$3:Z26),$X$3:$Y$992,2,0),"")</f>
        <v>Tisk a rozmnožování nahraných nosičů</v>
      </c>
    </row>
    <row r="27" spans="1:26" ht="12.75" customHeight="1">
      <c r="A27" s="303"/>
      <c r="B27" s="303"/>
      <c r="C27" s="303"/>
      <c r="D27" s="319">
        <f>IF(ISNUMBER(SEARCH(ZAKL_DATA!$B$14,E27)),MAX($D$2:D26)+1,0)</f>
        <v>25.0</v>
      </c>
      <c r="E27" s="332" t="s">
        <v>883</v>
      </c>
      <c r="F27" s="333">
        <v>2113.0</v>
      </c>
      <c r="G27" s="334"/>
      <c r="H27" s="335" t="str">
        <f>IFERROR(VLOOKUP(ROWS($H$3:H27),$D$3:$E$204,2,0),"")</f>
        <v>KUTNÁ HORA</v>
      </c>
      <c r="I27" s="303"/>
      <c r="J27" s="337" t="s">
        <v>884</v>
      </c>
      <c r="K27" s="325" t="s">
        <v>885</v>
      </c>
      <c r="M27" s="326">
        <f>IF(ISNUMBER(SEARCH(ZAKL_DATA!$B$29,N27)),MAX($M$2:M26)+1,0)</f>
        <v>25.0</v>
      </c>
      <c r="N27" s="327" t="s">
        <v>886</v>
      </c>
      <c r="O27" s="328" t="s">
        <v>887</v>
      </c>
      <c r="Q27" s="329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327" t="s">
        <v>886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327" t="s">
        <v>886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327" t="s">
        <v>886</v>
      </c>
      <c r="Z27" t="str">
        <f>IFERROR(VLOOKUP(ROWS($Z$3:Z27),$X$3:$Y$992,2,0),"")</f>
        <v>Výroba koksu a rafinovaných ropných produktů</v>
      </c>
    </row>
    <row r="28" spans="1:26" ht="12.75" customHeight="1">
      <c r="A28" s="303"/>
      <c r="B28" s="303"/>
      <c r="C28" s="303"/>
      <c r="D28" s="319">
        <f>IF(ISNUMBER(SEARCH(ZAKL_DATA!$B$14,E28)),MAX($D$2:D27)+1,0)</f>
        <v>26.0</v>
      </c>
      <c r="E28" s="332" t="s">
        <v>888</v>
      </c>
      <c r="F28" s="333">
        <v>2114.0</v>
      </c>
      <c r="G28" s="334"/>
      <c r="H28" s="335" t="str">
        <f>IFERROR(VLOOKUP(ROWS($H$3:H28),$D$3:$E$204,2,0),"")</f>
        <v>MĚLNÍK</v>
      </c>
      <c r="I28" s="303"/>
      <c r="J28" s="337" t="s">
        <v>889</v>
      </c>
      <c r="K28" s="325" t="s">
        <v>890</v>
      </c>
      <c r="M28" s="326">
        <f>IF(ISNUMBER(SEARCH(ZAKL_DATA!$B$29,N28)),MAX($M$2:M27)+1,0)</f>
        <v>26.0</v>
      </c>
      <c r="N28" s="327" t="s">
        <v>891</v>
      </c>
      <c r="O28" s="328" t="s">
        <v>892</v>
      </c>
      <c r="Q28" s="329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327" t="s">
        <v>891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327" t="s">
        <v>891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327" t="s">
        <v>891</v>
      </c>
      <c r="Z28" t="str">
        <f>IFERROR(VLOOKUP(ROWS($Z$3:Z28),$X$3:$Y$992,2,0),"")</f>
        <v>Výroba chemických látek a chemických přípravků</v>
      </c>
    </row>
    <row r="29" spans="1:26" ht="12.75" customHeight="1">
      <c r="A29" s="303"/>
      <c r="B29" s="303"/>
      <c r="C29" s="303"/>
      <c r="D29" s="319">
        <f>IF(ISNUMBER(SEARCH(ZAKL_DATA!$B$14,E29)),MAX($D$2:D28)+1,0)</f>
        <v>27.0</v>
      </c>
      <c r="E29" s="332" t="s">
        <v>893</v>
      </c>
      <c r="F29" s="333">
        <v>2115.0</v>
      </c>
      <c r="G29" s="334"/>
      <c r="H29" s="335" t="str">
        <f>IFERROR(VLOOKUP(ROWS($H$3:H29),$D$3:$E$204,2,0),"")</f>
        <v>MLADÁ BOLESLAV</v>
      </c>
      <c r="I29" s="303"/>
      <c r="J29" s="337" t="s">
        <v>894</v>
      </c>
      <c r="K29" s="325" t="s">
        <v>895</v>
      </c>
      <c r="M29" s="326">
        <f>IF(ISNUMBER(SEARCH(ZAKL_DATA!$B$29,N29)),MAX($M$2:M28)+1,0)</f>
        <v>27.0</v>
      </c>
      <c r="N29" s="327" t="s">
        <v>896</v>
      </c>
      <c r="O29" s="328" t="s">
        <v>897</v>
      </c>
      <c r="Q29" s="329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327" t="s">
        <v>896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327" t="s">
        <v>896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327" t="s">
        <v>896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03"/>
      <c r="B30" s="303"/>
      <c r="C30" s="303"/>
      <c r="D30" s="319">
        <f>IF(ISNUMBER(SEARCH(ZAKL_DATA!$B$14,E30)),MAX($D$2:D29)+1,0)</f>
        <v>28.0</v>
      </c>
      <c r="E30" s="332" t="s">
        <v>898</v>
      </c>
      <c r="F30" s="333">
        <v>2116.0</v>
      </c>
      <c r="G30" s="334"/>
      <c r="H30" s="335" t="str">
        <f>IFERROR(VLOOKUP(ROWS($H$3:H30),$D$3:$E$204,2,0),"")</f>
        <v>MNICHOVO HRADIŠTĚ</v>
      </c>
      <c r="I30" s="303"/>
      <c r="J30" s="337" t="s">
        <v>899</v>
      </c>
      <c r="K30" s="325" t="s">
        <v>900</v>
      </c>
      <c r="M30" s="326">
        <f>IF(ISNUMBER(SEARCH(ZAKL_DATA!$B$29,N30)),MAX($M$2:M29)+1,0)</f>
        <v>28.0</v>
      </c>
      <c r="N30" s="327" t="s">
        <v>901</v>
      </c>
      <c r="O30" s="328" t="s">
        <v>902</v>
      </c>
      <c r="Q30" s="329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327" t="s">
        <v>901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327" t="s">
        <v>901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327" t="s">
        <v>901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03"/>
      <c r="B31" s="303"/>
      <c r="C31" s="303"/>
      <c r="D31" s="319">
        <f>IF(ISNUMBER(SEARCH(ZAKL_DATA!$B$14,E31)),MAX($D$2:D30)+1,0)</f>
        <v>29.0</v>
      </c>
      <c r="E31" s="332" t="s">
        <v>903</v>
      </c>
      <c r="F31" s="333">
        <v>2117.0</v>
      </c>
      <c r="G31" s="334"/>
      <c r="H31" s="335" t="str">
        <f>IFERROR(VLOOKUP(ROWS($H$3:H31),$D$3:$E$204,2,0),"")</f>
        <v>NERATOVICE</v>
      </c>
      <c r="I31" s="303"/>
      <c r="J31" s="337" t="s">
        <v>904</v>
      </c>
      <c r="K31" s="325" t="s">
        <v>905</v>
      </c>
      <c r="M31" s="326">
        <f>IF(ISNUMBER(SEARCH(ZAKL_DATA!$B$29,N31)),MAX($M$2:M30)+1,0)</f>
        <v>29.0</v>
      </c>
      <c r="N31" s="327" t="s">
        <v>906</v>
      </c>
      <c r="O31" s="328" t="s">
        <v>907</v>
      </c>
      <c r="Q31" s="329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327" t="s">
        <v>906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327" t="s">
        <v>906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327" t="s">
        <v>906</v>
      </c>
      <c r="Z31" t="str">
        <f>IFERROR(VLOOKUP(ROWS($Z$3:Z31),$X$3:$Y$992,2,0),"")</f>
        <v>Výroba pryžových a plastových výrobků</v>
      </c>
    </row>
    <row r="32" spans="1:26" ht="12.75" customHeight="1">
      <c r="A32" s="303"/>
      <c r="B32" s="303"/>
      <c r="C32" s="303"/>
      <c r="D32" s="319">
        <f>IF(ISNUMBER(SEARCH(ZAKL_DATA!$B$14,E32)),MAX($D$2:D31)+1,0)</f>
        <v>30.0</v>
      </c>
      <c r="E32" s="332" t="s">
        <v>908</v>
      </c>
      <c r="F32" s="333">
        <v>2118.0</v>
      </c>
      <c r="G32" s="334"/>
      <c r="H32" s="335" t="str">
        <f>IFERROR(VLOOKUP(ROWS($H$3:H32),$D$3:$E$204,2,0),"")</f>
        <v>NYMBURK</v>
      </c>
      <c r="I32" s="303"/>
      <c r="J32" s="337" t="s">
        <v>909</v>
      </c>
      <c r="K32" s="325" t="s">
        <v>910</v>
      </c>
      <c r="M32" s="326">
        <f>IF(ISNUMBER(SEARCH(ZAKL_DATA!$B$29,N32)),MAX($M$2:M31)+1,0)</f>
        <v>30.0</v>
      </c>
      <c r="N32" s="327" t="s">
        <v>911</v>
      </c>
      <c r="O32" s="328" t="s">
        <v>912</v>
      </c>
      <c r="Q32" s="329" t="str">
        <f>IFERROR(VLOOKUP(ROWS($Q$3:Q32),$M$3:$N$992,2,0),"")</f>
        <v>Těžba dřeva</v>
      </c>
      <c r="R32">
        <f>IF(ISNUMBER(SEARCH('1Př1'!$A$32,N32)),MAX($M$2:M31)+1,0)</f>
        <v>30.0</v>
      </c>
      <c r="S32" s="327" t="s">
        <v>911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327" t="s">
        <v>911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327" t="s">
        <v>911</v>
      </c>
      <c r="Z32" t="str">
        <f>IFERROR(VLOOKUP(ROWS($Z$3:Z32),$X$3:$Y$992,2,0),"")</f>
        <v>Těžba dřeva</v>
      </c>
    </row>
    <row r="33" spans="1:26" ht="12.75" customHeight="1">
      <c r="A33" s="303"/>
      <c r="B33" s="303"/>
      <c r="C33" s="303"/>
      <c r="D33" s="319">
        <f>IF(ISNUMBER(SEARCH(ZAKL_DATA!$B$14,E33)),MAX($D$2:D32)+1,0)</f>
        <v>31.0</v>
      </c>
      <c r="E33" s="332" t="s">
        <v>913</v>
      </c>
      <c r="F33" s="333">
        <v>2119.0</v>
      </c>
      <c r="G33" s="334"/>
      <c r="H33" s="335" t="str">
        <f>IFERROR(VLOOKUP(ROWS($H$3:H33),$D$3:$E$204,2,0),"")</f>
        <v>PODĚBRADY</v>
      </c>
      <c r="I33" s="303"/>
      <c r="J33" s="337" t="s">
        <v>914</v>
      </c>
      <c r="K33" s="325" t="s">
        <v>915</v>
      </c>
      <c r="M33" s="326">
        <f>IF(ISNUMBER(SEARCH(ZAKL_DATA!$B$29,N33)),MAX($M$2:M32)+1,0)</f>
        <v>31.0</v>
      </c>
      <c r="N33" s="327" t="s">
        <v>916</v>
      </c>
      <c r="O33" s="328" t="s">
        <v>917</v>
      </c>
      <c r="Q33" s="329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327" t="s">
        <v>916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327" t="s">
        <v>916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327" t="s">
        <v>916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03"/>
      <c r="B34" s="303"/>
      <c r="C34" s="303"/>
      <c r="D34" s="319">
        <f>IF(ISNUMBER(SEARCH(ZAKL_DATA!$B$14,E34)),MAX($D$2:D33)+1,0)</f>
        <v>32.0</v>
      </c>
      <c r="E34" s="332" t="s">
        <v>918</v>
      </c>
      <c r="F34" s="333">
        <v>2120.0</v>
      </c>
      <c r="G34" s="334"/>
      <c r="H34" s="335" t="str">
        <f>IFERROR(VLOOKUP(ROWS($H$3:H34),$D$3:$E$204,2,0),"")</f>
        <v>PŘÍBRAM</v>
      </c>
      <c r="I34" s="303"/>
      <c r="J34" s="337" t="s">
        <v>919</v>
      </c>
      <c r="K34" s="325" t="s">
        <v>920</v>
      </c>
      <c r="M34" s="326">
        <f>IF(ISNUMBER(SEARCH(ZAKL_DATA!$B$29,N34)),MAX($M$2:M33)+1,0)</f>
        <v>32.0</v>
      </c>
      <c r="N34" s="327" t="s">
        <v>921</v>
      </c>
      <c r="O34" s="328" t="s">
        <v>922</v>
      </c>
      <c r="Q34" s="329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327" t="s">
        <v>921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327" t="s">
        <v>921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327" t="s">
        <v>921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03"/>
      <c r="B35" s="303"/>
      <c r="C35" s="303"/>
      <c r="D35" s="319">
        <f>IF(ISNUMBER(SEARCH(ZAKL_DATA!$B$14,E35)),MAX($D$2:D34)+1,0)</f>
        <v>33.0</v>
      </c>
      <c r="E35" s="332" t="s">
        <v>923</v>
      </c>
      <c r="F35" s="333">
        <v>2121.0</v>
      </c>
      <c r="G35" s="334"/>
      <c r="H35" s="335" t="str">
        <f>IFERROR(VLOOKUP(ROWS($H$3:H35),$D$3:$E$204,2,0),"")</f>
        <v>RAKOVNÍK</v>
      </c>
      <c r="I35" s="303"/>
      <c r="J35" s="337" t="s">
        <v>924</v>
      </c>
      <c r="K35" s="325" t="s">
        <v>925</v>
      </c>
      <c r="M35" s="326">
        <f>IF(ISNUMBER(SEARCH(ZAKL_DATA!$B$29,N35)),MAX($M$2:M34)+1,0)</f>
        <v>33.0</v>
      </c>
      <c r="N35" s="327" t="s">
        <v>926</v>
      </c>
      <c r="O35" s="328" t="s">
        <v>927</v>
      </c>
      <c r="Q35" s="329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327" t="s">
        <v>926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327" t="s">
        <v>926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327" t="s">
        <v>926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03"/>
      <c r="B36" s="303"/>
      <c r="C36" s="303"/>
      <c r="D36" s="319">
        <f>IF(ISNUMBER(SEARCH(ZAKL_DATA!$B$14,E36)),MAX($D$2:D35)+1,0)</f>
        <v>34.0</v>
      </c>
      <c r="E36" s="332" t="s">
        <v>928</v>
      </c>
      <c r="F36" s="333">
        <v>2122.0</v>
      </c>
      <c r="G36" s="334"/>
      <c r="H36" s="335" t="str">
        <f>IFERROR(VLOOKUP(ROWS($H$3:H36),$D$3:$E$204,2,0),"")</f>
        <v>ŘÍČANY</v>
      </c>
      <c r="I36" s="303"/>
      <c r="J36" s="337" t="s">
        <v>929</v>
      </c>
      <c r="K36" s="325" t="s">
        <v>930</v>
      </c>
      <c r="M36" s="326">
        <f>IF(ISNUMBER(SEARCH(ZAKL_DATA!$B$29,N36)),MAX($M$2:M35)+1,0)</f>
        <v>34.0</v>
      </c>
      <c r="N36" s="327" t="s">
        <v>931</v>
      </c>
      <c r="O36" s="328" t="s">
        <v>932</v>
      </c>
      <c r="Q36" s="329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327" t="s">
        <v>931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327" t="s">
        <v>931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327" t="s">
        <v>931</v>
      </c>
      <c r="Z36" t="str">
        <f>IFERROR(VLOOKUP(ROWS($Z$3:Z36),$X$3:$Y$992,2,0),"")</f>
        <v>Podpůrné činnosti pro lesnictví</v>
      </c>
    </row>
    <row r="37" spans="1:26" ht="12.75" customHeight="1">
      <c r="A37" s="303"/>
      <c r="B37" s="303"/>
      <c r="C37" s="303"/>
      <c r="D37" s="319">
        <f>IF(ISNUMBER(SEARCH(ZAKL_DATA!$B$14,E37)),MAX($D$2:D36)+1,0)</f>
        <v>35.0</v>
      </c>
      <c r="E37" s="332" t="s">
        <v>933</v>
      </c>
      <c r="F37" s="333">
        <v>2123.0</v>
      </c>
      <c r="G37" s="334"/>
      <c r="H37" s="335" t="str">
        <f>IFERROR(VLOOKUP(ROWS($H$3:H37),$D$3:$E$204,2,0),"")</f>
        <v>SEDLČANY</v>
      </c>
      <c r="I37" s="303"/>
      <c r="J37" s="337" t="s">
        <v>934</v>
      </c>
      <c r="K37" s="325" t="s">
        <v>935</v>
      </c>
      <c r="M37" s="326">
        <f>IF(ISNUMBER(SEARCH(ZAKL_DATA!$B$29,N37)),MAX($M$2:M36)+1,0)</f>
        <v>35.0</v>
      </c>
      <c r="N37" s="327" t="s">
        <v>936</v>
      </c>
      <c r="O37" s="328" t="s">
        <v>937</v>
      </c>
      <c r="Q37" s="329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327" t="s">
        <v>936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327" t="s">
        <v>936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327" t="s">
        <v>936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03"/>
      <c r="B38" s="303"/>
      <c r="C38" s="303"/>
      <c r="D38" s="319">
        <f>IF(ISNUMBER(SEARCH(ZAKL_DATA!$B$14,E38)),MAX($D$2:D37)+1,0)</f>
        <v>36.0</v>
      </c>
      <c r="E38" s="332" t="s">
        <v>938</v>
      </c>
      <c r="F38" s="333">
        <v>2124.0</v>
      </c>
      <c r="G38" s="334"/>
      <c r="H38" s="335" t="str">
        <f>IFERROR(VLOOKUP(ROWS($H$3:H38),$D$3:$E$204,2,0),"")</f>
        <v>SLANÝ</v>
      </c>
      <c r="I38" s="303"/>
      <c r="J38" s="337" t="s">
        <v>939</v>
      </c>
      <c r="K38" s="325" t="s">
        <v>940</v>
      </c>
      <c r="M38" s="326">
        <f>IF(ISNUMBER(SEARCH(ZAKL_DATA!$B$29,N38)),MAX($M$2:M37)+1,0)</f>
        <v>36.0</v>
      </c>
      <c r="N38" s="327" t="s">
        <v>941</v>
      </c>
      <c r="O38" s="328" t="s">
        <v>942</v>
      </c>
      <c r="Q38" s="329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327" t="s">
        <v>941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327" t="s">
        <v>941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327" t="s">
        <v>941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03"/>
      <c r="B39" s="303"/>
      <c r="C39" s="303"/>
      <c r="D39" s="319">
        <f>IF(ISNUMBER(SEARCH(ZAKL_DATA!$B$14,E39)),MAX($D$2:D38)+1,0)</f>
        <v>37.0</v>
      </c>
      <c r="E39" s="332" t="s">
        <v>943</v>
      </c>
      <c r="F39" s="333">
        <v>2125.0</v>
      </c>
      <c r="G39" s="334"/>
      <c r="H39" s="335" t="str">
        <f>IFERROR(VLOOKUP(ROWS($H$3:H39),$D$3:$E$204,2,0),"")</f>
        <v>VLAŠIM</v>
      </c>
      <c r="I39" s="303"/>
      <c r="J39" s="337" t="s">
        <v>944</v>
      </c>
      <c r="K39" s="325" t="s">
        <v>945</v>
      </c>
      <c r="M39" s="326">
        <f>IF(ISNUMBER(SEARCH(ZAKL_DATA!$B$29,N39)),MAX($M$2:M38)+1,0)</f>
        <v>37.0</v>
      </c>
      <c r="N39" s="327" t="s">
        <v>946</v>
      </c>
      <c r="O39" s="328" t="s">
        <v>947</v>
      </c>
      <c r="Q39" s="329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327" t="s">
        <v>946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327" t="s">
        <v>946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327" t="s">
        <v>946</v>
      </c>
      <c r="Z39" t="str">
        <f>IFERROR(VLOOKUP(ROWS($Z$3:Z39),$X$3:$Y$992,2,0),"")</f>
        <v>Výroba elektrických zařízení</v>
      </c>
    </row>
    <row r="40" spans="1:26" ht="12.75" customHeight="1">
      <c r="A40" s="303"/>
      <c r="B40" s="303"/>
      <c r="C40" s="303"/>
      <c r="D40" s="319">
        <f>IF(ISNUMBER(SEARCH(ZAKL_DATA!$B$14,E40)),MAX($D$2:D39)+1,0)</f>
        <v>38.0</v>
      </c>
      <c r="E40" s="332" t="s">
        <v>948</v>
      </c>
      <c r="F40" s="333">
        <v>2126.0</v>
      </c>
      <c r="G40" s="334"/>
      <c r="H40" s="335" t="str">
        <f>IFERROR(VLOOKUP(ROWS($H$3:H40),$D$3:$E$204,2,0),"")</f>
        <v>VOTICE</v>
      </c>
      <c r="I40" s="303"/>
      <c r="J40" s="337" t="s">
        <v>949</v>
      </c>
      <c r="K40" s="325" t="s">
        <v>950</v>
      </c>
      <c r="M40" s="326">
        <f>IF(ISNUMBER(SEARCH(ZAKL_DATA!$B$29,N40)),MAX($M$2:M39)+1,0)</f>
        <v>38.0</v>
      </c>
      <c r="N40" s="327" t="s">
        <v>951</v>
      </c>
      <c r="O40" s="328" t="s">
        <v>952</v>
      </c>
      <c r="Q40" s="329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327" t="s">
        <v>951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327" t="s">
        <v>951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327" t="s">
        <v>951</v>
      </c>
      <c r="Z40" t="str">
        <f>IFERROR(VLOOKUP(ROWS($Z$3:Z40),$X$3:$Y$992,2,0),"")</f>
        <v>Výroba strojů a zařízení j. n.</v>
      </c>
    </row>
    <row r="41" spans="1:26" ht="12.75" customHeight="1">
      <c r="A41" s="303"/>
      <c r="B41" s="303"/>
      <c r="C41" s="303"/>
      <c r="D41" s="319">
        <f>IF(ISNUMBER(SEARCH(ZAKL_DATA!$B$14,E41)),MAX($D$2:D40)+1,0)</f>
        <v>39.0</v>
      </c>
      <c r="E41" s="332" t="s">
        <v>953</v>
      </c>
      <c r="F41" s="333">
        <v>2201.0</v>
      </c>
      <c r="G41" s="334"/>
      <c r="H41" s="335" t="str">
        <f>IFERROR(VLOOKUP(ROWS($H$3:H41),$D$3:$E$204,2,0),"")</f>
        <v>ČESKÉ BUDĚJOVICE</v>
      </c>
      <c r="I41" s="303"/>
      <c r="J41" s="337" t="s">
        <v>954</v>
      </c>
      <c r="K41" s="325" t="s">
        <v>955</v>
      </c>
      <c r="M41" s="326">
        <f>IF(ISNUMBER(SEARCH(ZAKL_DATA!$B$29,N41)),MAX($M$2:M40)+1,0)</f>
        <v>39.0</v>
      </c>
      <c r="N41" s="327" t="s">
        <v>956</v>
      </c>
      <c r="O41" s="328" t="s">
        <v>957</v>
      </c>
      <c r="Q41" s="329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327" t="s">
        <v>956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327" t="s">
        <v>956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327" t="s">
        <v>956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03"/>
      <c r="B42" s="303"/>
      <c r="C42" s="303"/>
      <c r="D42" s="319">
        <f>IF(ISNUMBER(SEARCH(ZAKL_DATA!$B$14,E42)),MAX($D$2:D41)+1,0)</f>
        <v>40.0</v>
      </c>
      <c r="E42" s="332" t="s">
        <v>958</v>
      </c>
      <c r="F42" s="333">
        <v>2202.0</v>
      </c>
      <c r="G42" s="334"/>
      <c r="H42" s="335" t="str">
        <f>IFERROR(VLOOKUP(ROWS($H$3:H42),$D$3:$E$204,2,0),"")</f>
        <v>BLATNÁ</v>
      </c>
      <c r="I42" s="303"/>
      <c r="J42" s="337" t="s">
        <v>959</v>
      </c>
      <c r="K42" s="325" t="s">
        <v>960</v>
      </c>
      <c r="M42" s="326">
        <f>IF(ISNUMBER(SEARCH(ZAKL_DATA!$B$29,N42)),MAX($M$2:M41)+1,0)</f>
        <v>40.0</v>
      </c>
      <c r="N42" s="327" t="s">
        <v>961</v>
      </c>
      <c r="O42" s="328" t="s">
        <v>962</v>
      </c>
      <c r="Q42" s="329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327" t="s">
        <v>961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327" t="s">
        <v>961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327" t="s">
        <v>961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03"/>
      <c r="B43" s="303"/>
      <c r="C43" s="303"/>
      <c r="D43" s="319">
        <f>IF(ISNUMBER(SEARCH(ZAKL_DATA!$B$14,E43)),MAX($D$2:D42)+1,0)</f>
        <v>41.0</v>
      </c>
      <c r="E43" s="332" t="s">
        <v>963</v>
      </c>
      <c r="F43" s="333">
        <v>2203.0</v>
      </c>
      <c r="G43" s="334"/>
      <c r="H43" s="335" t="str">
        <f>IFERROR(VLOOKUP(ROWS($H$3:H43),$D$3:$E$204,2,0),"")</f>
        <v>ČESKÝ KRUMLOV</v>
      </c>
      <c r="I43" s="303"/>
      <c r="J43" s="337" t="s">
        <v>964</v>
      </c>
      <c r="K43" s="325" t="s">
        <v>965</v>
      </c>
      <c r="M43" s="326">
        <f>IF(ISNUMBER(SEARCH(ZAKL_DATA!$B$29,N43)),MAX($M$2:M42)+1,0)</f>
        <v>41.0</v>
      </c>
      <c r="N43" s="327" t="s">
        <v>966</v>
      </c>
      <c r="O43" s="328" t="s">
        <v>967</v>
      </c>
      <c r="Q43" s="329" t="str">
        <f>IFERROR(VLOOKUP(ROWS($Q$3:Q43),$M$3:$N$992,2,0),"")</f>
        <v>Výroba nábytku</v>
      </c>
      <c r="R43">
        <f>IF(ISNUMBER(SEARCH('1Př1'!$A$32,N43)),MAX($M$2:M42)+1,0)</f>
        <v>41.0</v>
      </c>
      <c r="S43" s="327" t="s">
        <v>966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327" t="s">
        <v>966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327" t="s">
        <v>966</v>
      </c>
      <c r="Z43" t="str">
        <f>IFERROR(VLOOKUP(ROWS($Z$3:Z43),$X$3:$Y$992,2,0),"")</f>
        <v>Výroba nábytku</v>
      </c>
    </row>
    <row r="44" spans="1:26" ht="12.75" customHeight="1">
      <c r="A44" s="303"/>
      <c r="B44" s="303"/>
      <c r="C44" s="303"/>
      <c r="D44" s="319">
        <f>IF(ISNUMBER(SEARCH(ZAKL_DATA!$B$14,E44)),MAX($D$2:D43)+1,0)</f>
        <v>42.0</v>
      </c>
      <c r="E44" s="332" t="s">
        <v>968</v>
      </c>
      <c r="F44" s="333">
        <v>2204.0</v>
      </c>
      <c r="G44" s="334"/>
      <c r="H44" s="335" t="str">
        <f>IFERROR(VLOOKUP(ROWS($H$3:H44),$D$3:$E$204,2,0),"")</f>
        <v>DAČICE</v>
      </c>
      <c r="I44" s="303"/>
      <c r="J44" s="337" t="s">
        <v>969</v>
      </c>
      <c r="K44" s="325" t="s">
        <v>970</v>
      </c>
      <c r="M44" s="326">
        <f>IF(ISNUMBER(SEARCH(ZAKL_DATA!$B$29,N44)),MAX($M$2:M43)+1,0)</f>
        <v>42.0</v>
      </c>
      <c r="N44" s="327" t="s">
        <v>971</v>
      </c>
      <c r="O44" s="328" t="s">
        <v>972</v>
      </c>
      <c r="Q44" s="329" t="str">
        <f>IFERROR(VLOOKUP(ROWS($Q$3:Q44),$M$3:$N$992,2,0),"")</f>
        <v>Rybolov</v>
      </c>
      <c r="R44">
        <f>IF(ISNUMBER(SEARCH('1Př1'!$A$32,N44)),MAX($M$2:M43)+1,0)</f>
        <v>42.0</v>
      </c>
      <c r="S44" s="327" t="s">
        <v>971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327" t="s">
        <v>971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327" t="s">
        <v>971</v>
      </c>
      <c r="Z44" t="str">
        <f>IFERROR(VLOOKUP(ROWS($Z$3:Z44),$X$3:$Y$992,2,0),"")</f>
        <v>Rybolov</v>
      </c>
    </row>
    <row r="45" spans="1:26" ht="12.75" customHeight="1">
      <c r="A45" s="303"/>
      <c r="B45" s="303"/>
      <c r="C45" s="303"/>
      <c r="D45" s="319">
        <f>IF(ISNUMBER(SEARCH(ZAKL_DATA!$B$14,E45)),MAX($D$2:D44)+1,0)</f>
        <v>43.0</v>
      </c>
      <c r="E45" s="332" t="s">
        <v>973</v>
      </c>
      <c r="F45" s="333">
        <v>2205.0</v>
      </c>
      <c r="G45" s="334"/>
      <c r="H45" s="335" t="str">
        <f>IFERROR(VLOOKUP(ROWS($H$3:H45),$D$3:$E$204,2,0),"")</f>
        <v>JINDŘICHŮV HRADEC</v>
      </c>
      <c r="I45" s="303"/>
      <c r="J45" s="336" t="s">
        <v>974</v>
      </c>
      <c r="K45" s="325" t="s">
        <v>975</v>
      </c>
      <c r="M45" s="326">
        <f>IF(ISNUMBER(SEARCH(ZAKL_DATA!$B$29,N45)),MAX($M$2:M44)+1,0)</f>
        <v>43.0</v>
      </c>
      <c r="N45" s="327" t="s">
        <v>976</v>
      </c>
      <c r="O45" s="328" t="s">
        <v>977</v>
      </c>
      <c r="Q45" s="329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327" t="s">
        <v>976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327" t="s">
        <v>976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327" t="s">
        <v>976</v>
      </c>
      <c r="Z45" t="str">
        <f>IFERROR(VLOOKUP(ROWS($Z$3:Z45),$X$3:$Y$992,2,0),"")</f>
        <v>Ostatní zpracovatelský průmysl</v>
      </c>
    </row>
    <row r="46" spans="1:26" ht="12.75" customHeight="1">
      <c r="A46" s="303"/>
      <c r="B46" s="303"/>
      <c r="C46" s="303"/>
      <c r="D46" s="319">
        <f>IF(ISNUMBER(SEARCH(ZAKL_DATA!$B$14,E46)),MAX($D$2:D45)+1,0)</f>
        <v>44.0</v>
      </c>
      <c r="E46" s="332" t="s">
        <v>978</v>
      </c>
      <c r="F46" s="333">
        <v>2206.0</v>
      </c>
      <c r="G46" s="334"/>
      <c r="H46" s="335" t="str">
        <f>IFERROR(VLOOKUP(ROWS($H$3:H46),$D$3:$E$204,2,0),"")</f>
        <v>KAPLICE</v>
      </c>
      <c r="I46" s="303"/>
      <c r="J46" s="337" t="s">
        <v>979</v>
      </c>
      <c r="K46" s="325" t="s">
        <v>174</v>
      </c>
      <c r="M46" s="326">
        <f>IF(ISNUMBER(SEARCH(ZAKL_DATA!$B$29,N46)),MAX($M$2:M45)+1,0)</f>
        <v>44.0</v>
      </c>
      <c r="N46" s="327" t="s">
        <v>980</v>
      </c>
      <c r="O46" s="328" t="s">
        <v>981</v>
      </c>
      <c r="Q46" s="329" t="str">
        <f>IFERROR(VLOOKUP(ROWS($Q$3:Q46),$M$3:$N$992,2,0),"")</f>
        <v>Akvakultura</v>
      </c>
      <c r="R46">
        <f>IF(ISNUMBER(SEARCH('1Př1'!$A$32,N46)),MAX($M$2:M45)+1,0)</f>
        <v>44.0</v>
      </c>
      <c r="S46" s="327" t="s">
        <v>980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327" t="s">
        <v>980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327" t="s">
        <v>980</v>
      </c>
      <c r="Z46" t="str">
        <f>IFERROR(VLOOKUP(ROWS($Z$3:Z46),$X$3:$Y$992,2,0),"")</f>
        <v>Akvakultura</v>
      </c>
    </row>
    <row r="47" spans="1:26" ht="12.75" customHeight="1">
      <c r="A47" s="303"/>
      <c r="B47" s="303"/>
      <c r="C47" s="303"/>
      <c r="D47" s="319">
        <f>IF(ISNUMBER(SEARCH(ZAKL_DATA!$B$14,E47)),MAX($D$2:D46)+1,0)</f>
        <v>45.0</v>
      </c>
      <c r="E47" s="332" t="s">
        <v>982</v>
      </c>
      <c r="F47" s="333">
        <v>2207.0</v>
      </c>
      <c r="G47" s="334"/>
      <c r="H47" s="335" t="str">
        <f>IFERROR(VLOOKUP(ROWS($H$3:H47),$D$3:$E$204,2,0),"")</f>
        <v>MILEVSKO</v>
      </c>
      <c r="I47" s="303"/>
      <c r="J47" s="337" t="s">
        <v>983</v>
      </c>
      <c r="K47" s="325" t="s">
        <v>984</v>
      </c>
      <c r="M47" s="326">
        <f>IF(ISNUMBER(SEARCH(ZAKL_DATA!$B$29,N47)),MAX($M$2:M46)+1,0)</f>
        <v>45.0</v>
      </c>
      <c r="N47" s="327" t="s">
        <v>985</v>
      </c>
      <c r="O47" s="328" t="s">
        <v>986</v>
      </c>
      <c r="Q47" s="329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327" t="s">
        <v>985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327" t="s">
        <v>985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327" t="s">
        <v>985</v>
      </c>
      <c r="Z47" t="str">
        <f>IFERROR(VLOOKUP(ROWS($Z$3:Z47),$X$3:$Y$992,2,0),"")</f>
        <v>Opravy a instalace strojů a zařízení</v>
      </c>
    </row>
    <row r="48" spans="1:26" ht="12.75" customHeight="1">
      <c r="A48" s="303"/>
      <c r="B48" s="303"/>
      <c r="C48" s="303"/>
      <c r="D48" s="319">
        <f>IF(ISNUMBER(SEARCH(ZAKL_DATA!$B$14,E48)),MAX($D$2:D47)+1,0)</f>
        <v>46.0</v>
      </c>
      <c r="E48" s="332" t="s">
        <v>987</v>
      </c>
      <c r="F48" s="333">
        <v>2208.0</v>
      </c>
      <c r="G48" s="334"/>
      <c r="H48" s="335" t="str">
        <f>IFERROR(VLOOKUP(ROWS($H$3:H48),$D$3:$E$204,2,0),"")</f>
        <v>PÍSEK</v>
      </c>
      <c r="I48" s="303"/>
      <c r="J48" s="337" t="s">
        <v>988</v>
      </c>
      <c r="K48" s="325" t="s">
        <v>989</v>
      </c>
      <c r="M48" s="326">
        <f>IF(ISNUMBER(SEARCH(ZAKL_DATA!$B$29,N48)),MAX($M$2:M47)+1,0)</f>
        <v>46.0</v>
      </c>
      <c r="N48" s="327" t="s">
        <v>990</v>
      </c>
      <c r="O48" s="328" t="s">
        <v>991</v>
      </c>
      <c r="Q48" s="329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327" t="s">
        <v>990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327" t="s">
        <v>990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327" t="s">
        <v>990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03"/>
      <c r="B49" s="303"/>
      <c r="C49" s="303"/>
      <c r="D49" s="319">
        <f>IF(ISNUMBER(SEARCH(ZAKL_DATA!$B$14,E49)),MAX($D$2:D48)+1,0)</f>
        <v>47.0</v>
      </c>
      <c r="E49" s="332" t="s">
        <v>992</v>
      </c>
      <c r="F49" s="333">
        <v>2209.0</v>
      </c>
      <c r="G49" s="334"/>
      <c r="H49" s="335" t="str">
        <f>IFERROR(VLOOKUP(ROWS($H$3:H49),$D$3:$E$204,2,0),"")</f>
        <v>PRACHATICE</v>
      </c>
      <c r="I49" s="303"/>
      <c r="J49" s="337" t="s">
        <v>993</v>
      </c>
      <c r="K49" s="325" t="s">
        <v>994</v>
      </c>
      <c r="M49" s="326">
        <f>IF(ISNUMBER(SEARCH(ZAKL_DATA!$B$29,N49)),MAX($M$2:M48)+1,0)</f>
        <v>47.0</v>
      </c>
      <c r="N49" s="327" t="s">
        <v>995</v>
      </c>
      <c r="O49" s="328" t="s">
        <v>996</v>
      </c>
      <c r="Q49" s="329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327" t="s">
        <v>995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327" t="s">
        <v>995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327" t="s">
        <v>995</v>
      </c>
      <c r="Z49" t="str">
        <f>IFERROR(VLOOKUP(ROWS($Z$3:Z49),$X$3:$Y$992,2,0),"")</f>
        <v>Shromažďování, úprava a rozvod vody</v>
      </c>
    </row>
    <row r="50" spans="1:26" ht="12.75" customHeight="1">
      <c r="A50" s="303"/>
      <c r="B50" s="303"/>
      <c r="C50" s="303"/>
      <c r="D50" s="319">
        <f>IF(ISNUMBER(SEARCH(ZAKL_DATA!$B$14,E50)),MAX($D$2:D49)+1,0)</f>
        <v>48.0</v>
      </c>
      <c r="E50" s="332" t="s">
        <v>997</v>
      </c>
      <c r="F50" s="333">
        <v>2210.0</v>
      </c>
      <c r="G50" s="334"/>
      <c r="H50" s="335" t="str">
        <f>IFERROR(VLOOKUP(ROWS($H$3:H50),$D$3:$E$204,2,0),"")</f>
        <v>SOBĚSLAV</v>
      </c>
      <c r="I50" s="303"/>
      <c r="J50" s="337" t="s">
        <v>998</v>
      </c>
      <c r="K50" s="325" t="s">
        <v>999</v>
      </c>
      <c r="M50" s="326">
        <f>IF(ISNUMBER(SEARCH(ZAKL_DATA!$B$29,N50)),MAX($M$2:M49)+1,0)</f>
        <v>48.0</v>
      </c>
      <c r="N50" s="327" t="s">
        <v>1000</v>
      </c>
      <c r="O50" s="328" t="s">
        <v>1001</v>
      </c>
      <c r="Q50" s="329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327" t="s">
        <v>1000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327" t="s">
        <v>1000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327" t="s">
        <v>1000</v>
      </c>
      <c r="Z50" t="str">
        <f>IFERROR(VLOOKUP(ROWS($Z$3:Z50),$X$3:$Y$992,2,0),"")</f>
        <v>Činnosti související s odpadními vodami</v>
      </c>
    </row>
    <row r="51" spans="1:26" ht="12.75" customHeight="1">
      <c r="A51" s="303"/>
      <c r="B51" s="303"/>
      <c r="C51" s="303"/>
      <c r="D51" s="319">
        <f>IF(ISNUMBER(SEARCH(ZAKL_DATA!$B$14,E51)),MAX($D$2:D50)+1,0)</f>
        <v>49.0</v>
      </c>
      <c r="E51" s="332" t="s">
        <v>1002</v>
      </c>
      <c r="F51" s="333">
        <v>2211.0</v>
      </c>
      <c r="G51" s="334"/>
      <c r="H51" s="335" t="str">
        <f>IFERROR(VLOOKUP(ROWS($H$3:H51),$D$3:$E$204,2,0),"")</f>
        <v>STRAKONICE</v>
      </c>
      <c r="I51" s="303"/>
      <c r="J51" s="337" t="s">
        <v>1003</v>
      </c>
      <c r="K51" s="325" t="s">
        <v>1004</v>
      </c>
      <c r="M51" s="326">
        <f>IF(ISNUMBER(SEARCH(ZAKL_DATA!$B$29,N51)),MAX($M$2:M50)+1,0)</f>
        <v>49.0</v>
      </c>
      <c r="N51" s="327" t="s">
        <v>1005</v>
      </c>
      <c r="O51" s="328" t="s">
        <v>1006</v>
      </c>
      <c r="Q51" s="329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327" t="s">
        <v>1005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327" t="s">
        <v>1005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327" t="s">
        <v>1005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03"/>
      <c r="B52" s="303"/>
      <c r="C52" s="303"/>
      <c r="D52" s="319">
        <f>IF(ISNUMBER(SEARCH(ZAKL_DATA!$B$14,E52)),MAX($D$2:D51)+1,0)</f>
        <v>50.0</v>
      </c>
      <c r="E52" s="332" t="s">
        <v>1007</v>
      </c>
      <c r="F52" s="333">
        <v>2212.0</v>
      </c>
      <c r="G52" s="334"/>
      <c r="H52" s="335" t="str">
        <f>IFERROR(VLOOKUP(ROWS($H$3:H52),$D$3:$E$204,2,0),"")</f>
        <v>TÁBOR</v>
      </c>
      <c r="I52" s="303"/>
      <c r="J52" s="337" t="s">
        <v>1008</v>
      </c>
      <c r="K52" s="325" t="s">
        <v>1009</v>
      </c>
      <c r="M52" s="326">
        <f>IF(ISNUMBER(SEARCH(ZAKL_DATA!$B$29,N52)),MAX($M$2:M51)+1,0)</f>
        <v>50.0</v>
      </c>
      <c r="N52" s="327" t="s">
        <v>1010</v>
      </c>
      <c r="O52" s="328" t="s">
        <v>1011</v>
      </c>
      <c r="Q52" s="329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327" t="s">
        <v>1010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327" t="s">
        <v>1010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327" t="s">
        <v>1010</v>
      </c>
      <c r="Z52" t="str">
        <f>IFERROR(VLOOKUP(ROWS($Z$3:Z52),$X$3:$Y$992,2,0),"")</f>
        <v>Sanace a jiné činnosti související s odpady</v>
      </c>
    </row>
    <row r="53" spans="1:26" ht="12.75" customHeight="1">
      <c r="A53" s="303"/>
      <c r="B53" s="303"/>
      <c r="C53" s="303"/>
      <c r="D53" s="319">
        <f>IF(ISNUMBER(SEARCH(ZAKL_DATA!$B$14,E53)),MAX($D$2:D52)+1,0)</f>
        <v>51.0</v>
      </c>
      <c r="E53" s="332" t="s">
        <v>1012</v>
      </c>
      <c r="F53" s="333">
        <v>2213.0</v>
      </c>
      <c r="G53" s="334"/>
      <c r="H53" s="335" t="str">
        <f>IFERROR(VLOOKUP(ROWS($H$3:H53),$D$3:$E$204,2,0),"")</f>
        <v>TRHOVÉ SVINY</v>
      </c>
      <c r="I53" s="303"/>
      <c r="J53" s="337" t="s">
        <v>1013</v>
      </c>
      <c r="K53" s="325" t="s">
        <v>1014</v>
      </c>
      <c r="M53" s="326">
        <f>IF(ISNUMBER(SEARCH(ZAKL_DATA!$B$29,N53)),MAX($M$2:M52)+1,0)</f>
        <v>51.0</v>
      </c>
      <c r="N53" s="327" t="s">
        <v>1015</v>
      </c>
      <c r="O53" s="328" t="s">
        <v>1016</v>
      </c>
      <c r="Q53" s="329" t="str">
        <f>IFERROR(VLOOKUP(ROWS($Q$3:Q53),$M$3:$N$992,2,0),"")</f>
        <v>Výstavba budov</v>
      </c>
      <c r="R53">
        <f>IF(ISNUMBER(SEARCH('1Př1'!$A$32,N53)),MAX($M$2:M52)+1,0)</f>
        <v>51.0</v>
      </c>
      <c r="S53" s="327" t="s">
        <v>1015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327" t="s">
        <v>1015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327" t="s">
        <v>1015</v>
      </c>
      <c r="Z53" t="str">
        <f>IFERROR(VLOOKUP(ROWS($Z$3:Z53),$X$3:$Y$992,2,0),"")</f>
        <v>Výstavba budov</v>
      </c>
    </row>
    <row r="54" spans="1:26" ht="12.75" customHeight="1">
      <c r="A54" s="303"/>
      <c r="B54" s="303"/>
      <c r="C54" s="303"/>
      <c r="D54" s="319">
        <f>IF(ISNUMBER(SEARCH(ZAKL_DATA!$B$14,E54)),MAX($D$2:D53)+1,0)</f>
        <v>52.0</v>
      </c>
      <c r="E54" s="332" t="s">
        <v>1017</v>
      </c>
      <c r="F54" s="333">
        <v>2214.0</v>
      </c>
      <c r="G54" s="334"/>
      <c r="H54" s="335" t="str">
        <f>IFERROR(VLOOKUP(ROWS($H$3:H54),$D$3:$E$204,2,0),"")</f>
        <v>TŘEBOŇ</v>
      </c>
      <c r="I54" s="303"/>
      <c r="J54" s="337" t="s">
        <v>1018</v>
      </c>
      <c r="K54" s="325" t="s">
        <v>1019</v>
      </c>
      <c r="M54" s="326">
        <f>IF(ISNUMBER(SEARCH(ZAKL_DATA!$B$29,N54)),MAX($M$2:M53)+1,0)</f>
        <v>52.0</v>
      </c>
      <c r="N54" s="327" t="s">
        <v>1020</v>
      </c>
      <c r="O54" s="328" t="s">
        <v>1021</v>
      </c>
      <c r="Q54" s="329" t="str">
        <f>IFERROR(VLOOKUP(ROWS($Q$3:Q54),$M$3:$N$992,2,0),"")</f>
        <v>Inženýrské stavitelství</v>
      </c>
      <c r="R54">
        <f>IF(ISNUMBER(SEARCH('1Př1'!$A$32,N54)),MAX($M$2:M53)+1,0)</f>
        <v>52.0</v>
      </c>
      <c r="S54" s="327" t="s">
        <v>1020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327" t="s">
        <v>1020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327" t="s">
        <v>1020</v>
      </c>
      <c r="Z54" t="str">
        <f>IFERROR(VLOOKUP(ROWS($Z$3:Z54),$X$3:$Y$992,2,0),"")</f>
        <v>Inženýrské stavitelství</v>
      </c>
    </row>
    <row r="55" spans="1:26" ht="12.75" customHeight="1">
      <c r="A55" s="303"/>
      <c r="B55" s="303"/>
      <c r="C55" s="303"/>
      <c r="D55" s="319">
        <f>IF(ISNUMBER(SEARCH(ZAKL_DATA!$B$14,E55)),MAX($D$2:D54)+1,0)</f>
        <v>53.0</v>
      </c>
      <c r="E55" s="332" t="s">
        <v>1022</v>
      </c>
      <c r="F55" s="333">
        <v>2215.0</v>
      </c>
      <c r="G55" s="334"/>
      <c r="H55" s="335" t="str">
        <f>IFERROR(VLOOKUP(ROWS($H$3:H55),$D$3:$E$204,2,0),"")</f>
        <v>TÝN NAD VLTAVOU</v>
      </c>
      <c r="I55" s="303"/>
      <c r="J55" s="337" t="s">
        <v>1023</v>
      </c>
      <c r="K55" s="325" t="s">
        <v>1024</v>
      </c>
      <c r="M55" s="326">
        <f>IF(ISNUMBER(SEARCH(ZAKL_DATA!$B$29,N55)),MAX($M$2:M54)+1,0)</f>
        <v>53.0</v>
      </c>
      <c r="N55" s="327" t="s">
        <v>1025</v>
      </c>
      <c r="O55" s="328" t="s">
        <v>1026</v>
      </c>
      <c r="Q55" s="329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327" t="s">
        <v>1025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327" t="s">
        <v>1025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327" t="s">
        <v>1025</v>
      </c>
      <c r="Z55" t="str">
        <f>IFERROR(VLOOKUP(ROWS($Z$3:Z55),$X$3:$Y$992,2,0),"")</f>
        <v>Specializované stavební činnosti</v>
      </c>
    </row>
    <row r="56" spans="1:26" ht="12.75" customHeight="1">
      <c r="A56" s="303"/>
      <c r="B56" s="303"/>
      <c r="C56" s="303"/>
      <c r="D56" s="319">
        <f>IF(ISNUMBER(SEARCH(ZAKL_DATA!$B$14,E56)),MAX($D$2:D55)+1,0)</f>
        <v>54.0</v>
      </c>
      <c r="E56" s="332" t="s">
        <v>1027</v>
      </c>
      <c r="F56" s="333">
        <v>2216.0</v>
      </c>
      <c r="G56" s="334"/>
      <c r="H56" s="335" t="str">
        <f>IFERROR(VLOOKUP(ROWS($H$3:H56),$D$3:$E$204,2,0),"")</f>
        <v>VIMPERK</v>
      </c>
      <c r="I56" s="303"/>
      <c r="J56" s="337" t="s">
        <v>1028</v>
      </c>
      <c r="K56" s="325" t="s">
        <v>1029</v>
      </c>
      <c r="M56" s="326">
        <f>IF(ISNUMBER(SEARCH(ZAKL_DATA!$B$29,N56)),MAX($M$2:M55)+1,0)</f>
        <v>54.0</v>
      </c>
      <c r="N56" s="327" t="s">
        <v>1030</v>
      </c>
      <c r="O56" s="328" t="s">
        <v>1031</v>
      </c>
      <c r="Q56" s="329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327" t="s">
        <v>1030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327" t="s">
        <v>1030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327" t="s">
        <v>1030</v>
      </c>
      <c r="Z56" t="str">
        <f>IFERROR(VLOOKUP(ROWS($Z$3:Z56),$X$3:$Y$992,2,0),"")</f>
        <v>Velkoobchod, maloobchod a opravy motorových vozidel</v>
      </c>
    </row>
    <row r="57" spans="1:26" ht="12.75" customHeight="1">
      <c r="A57" s="303"/>
      <c r="B57" s="303"/>
      <c r="C57" s="303"/>
      <c r="D57" s="319">
        <f>IF(ISNUMBER(SEARCH(ZAKL_DATA!$B$14,E57)),MAX($D$2:D56)+1,0)</f>
        <v>55.0</v>
      </c>
      <c r="E57" s="332" t="s">
        <v>1032</v>
      </c>
      <c r="F57" s="333">
        <v>2217.0</v>
      </c>
      <c r="G57" s="334"/>
      <c r="H57" s="335" t="str">
        <f>IFERROR(VLOOKUP(ROWS($H$3:H57),$D$3:$E$204,2,0),"")</f>
        <v>VODŇANY</v>
      </c>
      <c r="I57" s="303"/>
      <c r="J57" s="337" t="s">
        <v>1033</v>
      </c>
      <c r="K57" s="325" t="s">
        <v>1034</v>
      </c>
      <c r="M57" s="326">
        <f>IF(ISNUMBER(SEARCH(ZAKL_DATA!$B$29,N57)),MAX($M$2:M56)+1,0)</f>
        <v>55.0</v>
      </c>
      <c r="N57" s="327" t="s">
        <v>1035</v>
      </c>
      <c r="O57" s="328" t="s">
        <v>1036</v>
      </c>
      <c r="Q57" s="329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327" t="s">
        <v>1035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327" t="s">
        <v>1035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327" t="s">
        <v>1035</v>
      </c>
      <c r="Z57" t="str">
        <f>IFERROR(VLOOKUP(ROWS($Z$3:Z57),$X$3:$Y$992,2,0),"")</f>
        <v>Velkoobchod, kromě motorových vozidel</v>
      </c>
    </row>
    <row r="58" spans="1:26" ht="12.75" customHeight="1">
      <c r="A58" s="303"/>
      <c r="B58" s="303"/>
      <c r="C58" s="303"/>
      <c r="D58" s="319">
        <f>IF(ISNUMBER(SEARCH(ZAKL_DATA!$B$14,E58)),MAX($D$2:D57)+1,0)</f>
        <v>56.0</v>
      </c>
      <c r="E58" s="332" t="s">
        <v>1037</v>
      </c>
      <c r="F58" s="333">
        <v>2301.0</v>
      </c>
      <c r="G58" s="334"/>
      <c r="H58" s="335" t="str">
        <f>IFERROR(VLOOKUP(ROWS($H$3:H58),$D$3:$E$204,2,0),"")</f>
        <v>PLZEŇ</v>
      </c>
      <c r="I58" s="303"/>
      <c r="J58" s="337" t="s">
        <v>1038</v>
      </c>
      <c r="K58" s="325" t="s">
        <v>1039</v>
      </c>
      <c r="M58" s="326">
        <f>IF(ISNUMBER(SEARCH(ZAKL_DATA!$B$29,N58)),MAX($M$2:M57)+1,0)</f>
        <v>56.0</v>
      </c>
      <c r="N58" s="327" t="s">
        <v>1040</v>
      </c>
      <c r="O58" s="328" t="s">
        <v>1041</v>
      </c>
      <c r="Q58" s="329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327" t="s">
        <v>1040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327" t="s">
        <v>1040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327" t="s">
        <v>1040</v>
      </c>
      <c r="Z58" t="str">
        <f>IFERROR(VLOOKUP(ROWS($Z$3:Z58),$X$3:$Y$992,2,0),"")</f>
        <v>Maloobchod, kromě motorových vozidel</v>
      </c>
    </row>
    <row r="59" spans="1:26" ht="12.75" customHeight="1">
      <c r="A59" s="303"/>
      <c r="B59" s="303"/>
      <c r="C59" s="303"/>
      <c r="D59" s="319">
        <f>IF(ISNUMBER(SEARCH(ZAKL_DATA!$B$14,E59)),MAX($D$2:D58)+1,0)</f>
        <v>57.0</v>
      </c>
      <c r="E59" s="332" t="s">
        <v>1042</v>
      </c>
      <c r="F59" s="333">
        <v>2302.0</v>
      </c>
      <c r="G59" s="334"/>
      <c r="H59" s="335" t="str">
        <f>IFERROR(VLOOKUP(ROWS($H$3:H59),$D$3:$E$204,2,0),"")</f>
        <v>PLZEŇ-SEVER</v>
      </c>
      <c r="I59" s="303"/>
      <c r="J59" s="336" t="s">
        <v>1043</v>
      </c>
      <c r="K59" s="325" t="s">
        <v>1044</v>
      </c>
      <c r="M59" s="326">
        <f>IF(ISNUMBER(SEARCH(ZAKL_DATA!$B$29,N59)),MAX($M$2:M58)+1,0)</f>
        <v>57.0</v>
      </c>
      <c r="N59" s="327" t="s">
        <v>1045</v>
      </c>
      <c r="O59" s="328" t="s">
        <v>1046</v>
      </c>
      <c r="Q59" s="329" t="str">
        <f>IFERROR(VLOOKUP(ROWS($Q$3:Q59),$M$3:$N$992,2,0),"")</f>
        <v>Pozemní a potrubní doprava</v>
      </c>
      <c r="R59">
        <f>IF(ISNUMBER(SEARCH('1Př1'!$A$32,N59)),MAX($M$2:M58)+1,0)</f>
        <v>57.0</v>
      </c>
      <c r="S59" s="327" t="s">
        <v>1045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327" t="s">
        <v>1045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327" t="s">
        <v>1045</v>
      </c>
      <c r="Z59" t="str">
        <f>IFERROR(VLOOKUP(ROWS($Z$3:Z59),$X$3:$Y$992,2,0),"")</f>
        <v>Pozemní a potrubní doprava</v>
      </c>
    </row>
    <row r="60" spans="1:26" ht="12.75" customHeight="1">
      <c r="A60" s="303"/>
      <c r="B60" s="303"/>
      <c r="C60" s="303"/>
      <c r="D60" s="319">
        <f>IF(ISNUMBER(SEARCH(ZAKL_DATA!$B$14,E60)),MAX($D$2:D59)+1,0)</f>
        <v>58.0</v>
      </c>
      <c r="E60" s="332" t="s">
        <v>1047</v>
      </c>
      <c r="F60" s="333">
        <v>2303.0</v>
      </c>
      <c r="G60" s="334"/>
      <c r="H60" s="335" t="str">
        <f>IFERROR(VLOOKUP(ROWS($H$3:H60),$D$3:$E$204,2,0),"")</f>
        <v>PLZEŇ-JIH</v>
      </c>
      <c r="I60" s="303"/>
      <c r="J60" s="337" t="s">
        <v>1048</v>
      </c>
      <c r="K60" s="325" t="s">
        <v>1049</v>
      </c>
      <c r="M60" s="326">
        <f>IF(ISNUMBER(SEARCH(ZAKL_DATA!$B$29,N60)),MAX($M$2:M59)+1,0)</f>
        <v>58.0</v>
      </c>
      <c r="N60" s="327" t="s">
        <v>1050</v>
      </c>
      <c r="O60" s="328" t="s">
        <v>1051</v>
      </c>
      <c r="Q60" s="329" t="str">
        <f>IFERROR(VLOOKUP(ROWS($Q$3:Q60),$M$3:$N$992,2,0),"")</f>
        <v>Vodní doprava</v>
      </c>
      <c r="R60">
        <f>IF(ISNUMBER(SEARCH('1Př1'!$A$32,N60)),MAX($M$2:M59)+1,0)</f>
        <v>58.0</v>
      </c>
      <c r="S60" s="327" t="s">
        <v>1050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327" t="s">
        <v>1050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327" t="s">
        <v>1050</v>
      </c>
      <c r="Z60" t="str">
        <f>IFERROR(VLOOKUP(ROWS($Z$3:Z60),$X$3:$Y$992,2,0),"")</f>
        <v>Vodní doprava</v>
      </c>
    </row>
    <row r="61" spans="1:26" ht="12.75" customHeight="1">
      <c r="A61" s="303"/>
      <c r="B61" s="303"/>
      <c r="C61" s="303"/>
      <c r="D61" s="319">
        <f>IF(ISNUMBER(SEARCH(ZAKL_DATA!$B$14,E61)),MAX($D$2:D60)+1,0)</f>
        <v>59.0</v>
      </c>
      <c r="E61" s="332" t="s">
        <v>1052</v>
      </c>
      <c r="F61" s="333">
        <v>2304.0</v>
      </c>
      <c r="G61" s="334"/>
      <c r="H61" s="335" t="str">
        <f>IFERROR(VLOOKUP(ROWS($H$3:H61),$D$3:$E$204,2,0),"")</f>
        <v>BLOVICE</v>
      </c>
      <c r="I61" s="303"/>
      <c r="J61" s="337" t="s">
        <v>1053</v>
      </c>
      <c r="K61" s="325" t="s">
        <v>1054</v>
      </c>
      <c r="M61" s="326">
        <f>IF(ISNUMBER(SEARCH(ZAKL_DATA!$B$29,N61)),MAX($M$2:M60)+1,0)</f>
        <v>59.0</v>
      </c>
      <c r="N61" s="327" t="s">
        <v>1055</v>
      </c>
      <c r="O61" s="328" t="s">
        <v>1056</v>
      </c>
      <c r="Q61" s="329" t="str">
        <f>IFERROR(VLOOKUP(ROWS($Q$3:Q61),$M$3:$N$992,2,0),"")</f>
        <v>Letecká doprava</v>
      </c>
      <c r="R61">
        <f>IF(ISNUMBER(SEARCH('1Př1'!$A$32,N61)),MAX($M$2:M60)+1,0)</f>
        <v>59.0</v>
      </c>
      <c r="S61" s="327" t="s">
        <v>1055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327" t="s">
        <v>1055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327" t="s">
        <v>1055</v>
      </c>
      <c r="Z61" t="str">
        <f>IFERROR(VLOOKUP(ROWS($Z$3:Z61),$X$3:$Y$992,2,0),"")</f>
        <v>Letecká doprava</v>
      </c>
    </row>
    <row r="62" spans="1:26" ht="12.75" customHeight="1">
      <c r="A62" s="303"/>
      <c r="B62" s="303"/>
      <c r="C62" s="303"/>
      <c r="D62" s="319">
        <f>IF(ISNUMBER(SEARCH(ZAKL_DATA!$B$14,E62)),MAX($D$2:D61)+1,0)</f>
        <v>60.0</v>
      </c>
      <c r="E62" s="332" t="s">
        <v>1057</v>
      </c>
      <c r="F62" s="333">
        <v>2305.0</v>
      </c>
      <c r="G62" s="334"/>
      <c r="H62" s="335" t="str">
        <f>IFERROR(VLOOKUP(ROWS($H$3:H62),$D$3:$E$204,2,0),"")</f>
        <v>DOMAŽLICE</v>
      </c>
      <c r="I62" s="303"/>
      <c r="J62" s="337" t="s">
        <v>1058</v>
      </c>
      <c r="K62" s="325" t="s">
        <v>1059</v>
      </c>
      <c r="M62" s="326">
        <f>IF(ISNUMBER(SEARCH(ZAKL_DATA!$B$29,N62)),MAX($M$2:M61)+1,0)</f>
        <v>60.0</v>
      </c>
      <c r="N62" s="327" t="s">
        <v>1060</v>
      </c>
      <c r="O62" s="328" t="s">
        <v>1061</v>
      </c>
      <c r="Q62" s="329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327" t="s">
        <v>1060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327" t="s">
        <v>1060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327" t="s">
        <v>1060</v>
      </c>
      <c r="Z62" t="str">
        <f>IFERROR(VLOOKUP(ROWS($Z$3:Z62),$X$3:$Y$992,2,0),"")</f>
        <v>Těžba a úprava černého uhlí</v>
      </c>
    </row>
    <row r="63" spans="1:26" ht="12.75" customHeight="1">
      <c r="A63" s="303"/>
      <c r="B63" s="303"/>
      <c r="C63" s="303"/>
      <c r="D63" s="319">
        <f>IF(ISNUMBER(SEARCH(ZAKL_DATA!$B$14,E63)),MAX($D$2:D62)+1,0)</f>
        <v>61.0</v>
      </c>
      <c r="E63" s="332" t="s">
        <v>1062</v>
      </c>
      <c r="F63" s="333">
        <v>2306.0</v>
      </c>
      <c r="G63" s="334"/>
      <c r="H63" s="335" t="str">
        <f>IFERROR(VLOOKUP(ROWS($H$3:H63),$D$3:$E$204,2,0),"")</f>
        <v>HORAŽĎOVICE</v>
      </c>
      <c r="I63" s="303"/>
      <c r="J63" s="337" t="s">
        <v>1063</v>
      </c>
      <c r="K63" s="325" t="s">
        <v>1064</v>
      </c>
      <c r="M63" s="326">
        <f>IF(ISNUMBER(SEARCH(ZAKL_DATA!$B$29,N63)),MAX($M$2:M62)+1,0)</f>
        <v>61.0</v>
      </c>
      <c r="N63" s="327" t="s">
        <v>1065</v>
      </c>
      <c r="O63" s="328" t="s">
        <v>1066</v>
      </c>
      <c r="Q63" s="329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327" t="s">
        <v>1065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327" t="s">
        <v>1065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327" t="s">
        <v>1065</v>
      </c>
      <c r="Z63" t="str">
        <f>IFERROR(VLOOKUP(ROWS($Z$3:Z63),$X$3:$Y$992,2,0),"")</f>
        <v>Skladování a vedlejší činnosti v dopravě</v>
      </c>
    </row>
    <row r="64" spans="1:26" ht="12.75" customHeight="1">
      <c r="A64" s="303"/>
      <c r="B64" s="303"/>
      <c r="C64" s="303"/>
      <c r="D64" s="319">
        <f>IF(ISNUMBER(SEARCH(ZAKL_DATA!$B$14,E64)),MAX($D$2:D63)+1,0)</f>
        <v>62.0</v>
      </c>
      <c r="E64" s="332" t="s">
        <v>1067</v>
      </c>
      <c r="F64" s="333">
        <v>2307.0</v>
      </c>
      <c r="G64" s="334"/>
      <c r="H64" s="335" t="str">
        <f>IFERROR(VLOOKUP(ROWS($H$3:H64),$D$3:$E$204,2,0),"")</f>
        <v>HORŠOVSKÝ TÝN</v>
      </c>
      <c r="I64" s="303"/>
      <c r="J64" s="337" t="s">
        <v>1068</v>
      </c>
      <c r="K64" s="325" t="s">
        <v>1069</v>
      </c>
      <c r="M64" s="326">
        <f>IF(ISNUMBER(SEARCH(ZAKL_DATA!$B$29,N64)),MAX($M$2:M63)+1,0)</f>
        <v>62.0</v>
      </c>
      <c r="N64" s="327" t="s">
        <v>1070</v>
      </c>
      <c r="O64" s="328" t="s">
        <v>1071</v>
      </c>
      <c r="Q64" s="329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327" t="s">
        <v>1070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327" t="s">
        <v>1070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327" t="s">
        <v>1070</v>
      </c>
      <c r="Z64" t="str">
        <f>IFERROR(VLOOKUP(ROWS($Z$3:Z64),$X$3:$Y$992,2,0),"")</f>
        <v>Těžba a úprava hnědého uhlí</v>
      </c>
    </row>
    <row r="65" spans="1:26" ht="12.75" customHeight="1">
      <c r="A65" s="303"/>
      <c r="B65" s="303"/>
      <c r="C65" s="303"/>
      <c r="D65" s="319">
        <f>IF(ISNUMBER(SEARCH(ZAKL_DATA!$B$14,E65)),MAX($D$2:D64)+1,0)</f>
        <v>63.0</v>
      </c>
      <c r="E65" s="332" t="s">
        <v>1072</v>
      </c>
      <c r="F65" s="333">
        <v>2308.0</v>
      </c>
      <c r="G65" s="334"/>
      <c r="H65" s="335" t="str">
        <f>IFERROR(VLOOKUP(ROWS($H$3:H65),$D$3:$E$204,2,0),"")</f>
        <v>KLATOVY</v>
      </c>
      <c r="I65" s="303"/>
      <c r="J65" s="337" t="s">
        <v>1073</v>
      </c>
      <c r="K65" s="325" t="s">
        <v>746</v>
      </c>
      <c r="M65" s="326">
        <f>IF(ISNUMBER(SEARCH(ZAKL_DATA!$B$29,N65)),MAX($M$2:M64)+1,0)</f>
        <v>63.0</v>
      </c>
      <c r="N65" s="327" t="s">
        <v>1074</v>
      </c>
      <c r="O65" s="328" t="s">
        <v>1075</v>
      </c>
      <c r="Q65" s="329" t="str">
        <f>IFERROR(VLOOKUP(ROWS($Q$3:Q65),$M$3:$N$992,2,0),"")</f>
        <v>Poštovní a kurýrní činnosti</v>
      </c>
      <c r="R65">
        <f>IF(ISNUMBER(SEARCH('1Př1'!$A$32,N65)),MAX($M$2:M64)+1,0)</f>
        <v>63.0</v>
      </c>
      <c r="S65" s="327" t="s">
        <v>1074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327" t="s">
        <v>1074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327" t="s">
        <v>1074</v>
      </c>
      <c r="Z65" t="str">
        <f>IFERROR(VLOOKUP(ROWS($Z$3:Z65),$X$3:$Y$992,2,0),"")</f>
        <v>Poštovní a kurýrní činnosti</v>
      </c>
    </row>
    <row r="66" spans="1:26" ht="12.75" customHeight="1">
      <c r="A66" s="303"/>
      <c r="B66" s="303"/>
      <c r="C66" s="303"/>
      <c r="D66" s="319">
        <f>IF(ISNUMBER(SEARCH(ZAKL_DATA!$B$14,E66)),MAX($D$2:D65)+1,0)</f>
        <v>64.0</v>
      </c>
      <c r="E66" s="332" t="s">
        <v>1076</v>
      </c>
      <c r="F66" s="333">
        <v>2309.0</v>
      </c>
      <c r="G66" s="334"/>
      <c r="H66" s="335" t="str">
        <f>IFERROR(VLOOKUP(ROWS($H$3:H66),$D$3:$E$204,2,0),"")</f>
        <v>KRALOVICE</v>
      </c>
      <c r="I66" s="303"/>
      <c r="J66" s="337" t="s">
        <v>1077</v>
      </c>
      <c r="K66" s="325" t="s">
        <v>1078</v>
      </c>
      <c r="M66" s="326">
        <f>IF(ISNUMBER(SEARCH(ZAKL_DATA!$B$29,N66)),MAX($M$2:M65)+1,0)</f>
        <v>64.0</v>
      </c>
      <c r="N66" s="327" t="s">
        <v>1079</v>
      </c>
      <c r="O66" s="328" t="s">
        <v>1080</v>
      </c>
      <c r="Q66" s="329" t="str">
        <f>IFERROR(VLOOKUP(ROWS($Q$3:Q66),$M$3:$N$992,2,0),"")</f>
        <v>Ubytování</v>
      </c>
      <c r="R66">
        <f>IF(ISNUMBER(SEARCH('1Př1'!$A$32,N66)),MAX($M$2:M65)+1,0)</f>
        <v>64.0</v>
      </c>
      <c r="S66" s="327" t="s">
        <v>1079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327" t="s">
        <v>1079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327" t="s">
        <v>1079</v>
      </c>
      <c r="Z66" t="str">
        <f>IFERROR(VLOOKUP(ROWS($Z$3:Z66),$X$3:$Y$992,2,0),"")</f>
        <v>Ubytování</v>
      </c>
    </row>
    <row r="67" spans="1:26" ht="12.75" customHeight="1">
      <c r="A67" s="303"/>
      <c r="B67" s="303"/>
      <c r="C67" s="303"/>
      <c r="D67" s="319">
        <f>IF(ISNUMBER(SEARCH(ZAKL_DATA!$B$14,E67)),MAX($D$2:D66)+1,0)</f>
        <v>65.0</v>
      </c>
      <c r="E67" s="332" t="s">
        <v>1081</v>
      </c>
      <c r="F67" s="333">
        <v>2310.0</v>
      </c>
      <c r="G67" s="334"/>
      <c r="H67" s="335" t="str">
        <f>IFERROR(VLOOKUP(ROWS($H$3:H67),$D$3:$E$204,2,0),"")</f>
        <v>NEPOMUK</v>
      </c>
      <c r="I67" s="303"/>
      <c r="J67" s="337" t="s">
        <v>1082</v>
      </c>
      <c r="K67" s="325" t="s">
        <v>1083</v>
      </c>
      <c r="M67" s="326">
        <f>IF(ISNUMBER(SEARCH(ZAKL_DATA!$B$29,N67)),MAX($M$2:M66)+1,0)</f>
        <v>65.0</v>
      </c>
      <c r="N67" s="327" t="s">
        <v>1084</v>
      </c>
      <c r="O67" s="328" t="s">
        <v>1085</v>
      </c>
      <c r="Q67" s="329" t="str">
        <f>IFERROR(VLOOKUP(ROWS($Q$3:Q67),$M$3:$N$992,2,0),"")</f>
        <v>Stravování a pohostinství</v>
      </c>
      <c r="R67">
        <f>IF(ISNUMBER(SEARCH('1Př1'!$A$32,N67)),MAX($M$2:M66)+1,0)</f>
        <v>65.0</v>
      </c>
      <c r="S67" s="327" t="s">
        <v>1084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327" t="s">
        <v>1084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327" t="s">
        <v>1084</v>
      </c>
      <c r="Z67" t="str">
        <f>IFERROR(VLOOKUP(ROWS($Z$3:Z67),$X$3:$Y$992,2,0),"")</f>
        <v>Stravování a pohostinství</v>
      </c>
    </row>
    <row r="68" spans="1:26" ht="12.75" customHeight="1">
      <c r="A68" s="303"/>
      <c r="B68" s="303"/>
      <c r="C68" s="303"/>
      <c r="D68" s="319">
        <f>IF(ISNUMBER(SEARCH(ZAKL_DATA!$B$14,E68)),MAX($D$2:D67)+1,0)</f>
        <v>66.0</v>
      </c>
      <c r="E68" s="332" t="s">
        <v>1086</v>
      </c>
      <c r="F68" s="333">
        <v>2311.0</v>
      </c>
      <c r="G68" s="334"/>
      <c r="H68" s="335" t="str">
        <f>IFERROR(VLOOKUP(ROWS($H$3:H68),$D$3:$E$204,2,0),"")</f>
        <v>PŘEŠTICE</v>
      </c>
      <c r="I68" s="303"/>
      <c r="J68" s="337" t="s">
        <v>1087</v>
      </c>
      <c r="K68" s="325" t="s">
        <v>1088</v>
      </c>
      <c r="M68" s="326">
        <f>IF(ISNUMBER(SEARCH(ZAKL_DATA!$B$29,N68)),MAX($M$2:M67)+1,0)</f>
        <v>66.0</v>
      </c>
      <c r="N68" s="327" t="s">
        <v>1089</v>
      </c>
      <c r="O68" s="328" t="s">
        <v>1090</v>
      </c>
      <c r="Q68" s="329" t="str">
        <f>IFERROR(VLOOKUP(ROWS($Q$3:Q68),$M$3:$N$992,2,0),"")</f>
        <v>Vydavatelské činnosti</v>
      </c>
      <c r="R68">
        <f>IF(ISNUMBER(SEARCH('1Př1'!$A$32,N68)),MAX($M$2:M67)+1,0)</f>
        <v>66.0</v>
      </c>
      <c r="S68" s="327" t="s">
        <v>1089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327" t="s">
        <v>1089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327" t="s">
        <v>1089</v>
      </c>
      <c r="Z68" t="str">
        <f>IFERROR(VLOOKUP(ROWS($Z$3:Z68),$X$3:$Y$992,2,0),"")</f>
        <v>Vydavatelské činnosti</v>
      </c>
    </row>
    <row r="69" spans="1:26" ht="12.75" customHeight="1">
      <c r="A69" s="303"/>
      <c r="B69" s="303"/>
      <c r="C69" s="303"/>
      <c r="D69" s="319">
        <f>IF(ISNUMBER(SEARCH(ZAKL_DATA!$B$14,E69)),MAX($D$2:D68)+1,0)</f>
        <v>67.0</v>
      </c>
      <c r="E69" s="332" t="s">
        <v>1091</v>
      </c>
      <c r="F69" s="333">
        <v>2312.0</v>
      </c>
      <c r="G69" s="334"/>
      <c r="H69" s="335" t="str">
        <f>IFERROR(VLOOKUP(ROWS($H$3:H69),$D$3:$E$204,2,0),"")</f>
        <v>ROKYCANY</v>
      </c>
      <c r="I69" s="303"/>
      <c r="J69" s="337" t="s">
        <v>1092</v>
      </c>
      <c r="K69" s="325" t="s">
        <v>1093</v>
      </c>
      <c r="M69" s="326">
        <f>IF(ISNUMBER(SEARCH(ZAKL_DATA!$B$29,N69)),MAX($M$2:M68)+1,0)</f>
        <v>67.0</v>
      </c>
      <c r="N69" s="327" t="s">
        <v>1094</v>
      </c>
      <c r="O69" s="328" t="s">
        <v>1095</v>
      </c>
      <c r="Q69" s="329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327" t="s">
        <v>1094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327" t="s">
        <v>1094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327" t="s">
        <v>1094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03"/>
      <c r="B70" s="303"/>
      <c r="C70" s="303"/>
      <c r="D70" s="319">
        <f>IF(ISNUMBER(SEARCH(ZAKL_DATA!$B$14,E70)),MAX($D$2:D69)+1,0)</f>
        <v>68.0</v>
      </c>
      <c r="E70" s="332" t="s">
        <v>1096</v>
      </c>
      <c r="F70" s="333">
        <v>2313.0</v>
      </c>
      <c r="G70" s="334"/>
      <c r="H70" s="335" t="str">
        <f>IFERROR(VLOOKUP(ROWS($H$3:H70),$D$3:$E$204,2,0),"")</f>
        <v>TACHOV</v>
      </c>
      <c r="I70" s="303"/>
      <c r="J70" s="337" t="s">
        <v>1097</v>
      </c>
      <c r="K70" s="325" t="s">
        <v>1098</v>
      </c>
      <c r="M70" s="326">
        <f>IF(ISNUMBER(SEARCH(ZAKL_DATA!$B$29,N70)),MAX($M$2:M69)+1,0)</f>
        <v>68.0</v>
      </c>
      <c r="N70" s="327" t="s">
        <v>1099</v>
      </c>
      <c r="O70" s="328" t="s">
        <v>1100</v>
      </c>
      <c r="Q70" s="329" t="str">
        <f>IFERROR(VLOOKUP(ROWS($Q$3:Q70),$M$3:$N$992,2,0),"")</f>
        <v>Tvorba programů a vysílání</v>
      </c>
      <c r="R70">
        <f>IF(ISNUMBER(SEARCH('1Př1'!$A$32,N70)),MAX($M$2:M69)+1,0)</f>
        <v>68.0</v>
      </c>
      <c r="S70" s="327" t="s">
        <v>1099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327" t="s">
        <v>1099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327" t="s">
        <v>1099</v>
      </c>
      <c r="Z70" t="str">
        <f>IFERROR(VLOOKUP(ROWS($Z$3:Z70),$X$3:$Y$992,2,0),"")</f>
        <v>Tvorba programů a vysílání</v>
      </c>
    </row>
    <row r="71" spans="1:26" ht="12.75" customHeight="1">
      <c r="A71" s="303"/>
      <c r="B71" s="303"/>
      <c r="C71" s="303"/>
      <c r="D71" s="319">
        <f>IF(ISNUMBER(SEARCH(ZAKL_DATA!$B$14,E71)),MAX($D$2:D70)+1,0)</f>
        <v>69.0</v>
      </c>
      <c r="E71" s="332" t="s">
        <v>1101</v>
      </c>
      <c r="F71" s="333">
        <v>2314.0</v>
      </c>
      <c r="G71" s="334"/>
      <c r="H71" s="335" t="str">
        <f>IFERROR(VLOOKUP(ROWS($H$3:H71),$D$3:$E$204,2,0),"")</f>
        <v>STŘÍBRO</v>
      </c>
      <c r="I71" s="303"/>
      <c r="J71" s="337" t="s">
        <v>1102</v>
      </c>
      <c r="K71" s="325" t="s">
        <v>1103</v>
      </c>
      <c r="M71" s="326">
        <f>IF(ISNUMBER(SEARCH(ZAKL_DATA!$B$29,N71)),MAX($M$2:M70)+1,0)</f>
        <v>69.0</v>
      </c>
      <c r="N71" s="327" t="s">
        <v>1104</v>
      </c>
      <c r="O71" s="328" t="s">
        <v>1105</v>
      </c>
      <c r="Q71" s="329" t="str">
        <f>IFERROR(VLOOKUP(ROWS($Q$3:Q71),$M$3:$N$992,2,0),"")</f>
        <v>Telekomunikační činnosti</v>
      </c>
      <c r="R71">
        <f>IF(ISNUMBER(SEARCH('1Př1'!$A$32,N71)),MAX($M$2:M70)+1,0)</f>
        <v>69.0</v>
      </c>
      <c r="S71" s="327" t="s">
        <v>1104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327" t="s">
        <v>1104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327" t="s">
        <v>1104</v>
      </c>
      <c r="Z71" t="str">
        <f>IFERROR(VLOOKUP(ROWS($Z$3:Z71),$X$3:$Y$992,2,0),"")</f>
        <v>Telekomunikační činnosti</v>
      </c>
    </row>
    <row r="72" spans="1:26" ht="12.75" customHeight="1">
      <c r="A72" s="303"/>
      <c r="B72" s="303"/>
      <c r="C72" s="303"/>
      <c r="D72" s="319">
        <f>IF(ISNUMBER(SEARCH(ZAKL_DATA!$B$14,E72)),MAX($D$2:D71)+1,0)</f>
        <v>70.0</v>
      </c>
      <c r="E72" s="332" t="s">
        <v>1106</v>
      </c>
      <c r="F72" s="333">
        <v>2315.0</v>
      </c>
      <c r="G72" s="334"/>
      <c r="H72" s="335" t="str">
        <f>IFERROR(VLOOKUP(ROWS($H$3:H72),$D$3:$E$204,2,0),"")</f>
        <v>SUŠICE</v>
      </c>
      <c r="I72" s="303"/>
      <c r="J72" s="337" t="s">
        <v>1107</v>
      </c>
      <c r="K72" s="325" t="s">
        <v>1108</v>
      </c>
      <c r="M72" s="326">
        <f>IF(ISNUMBER(SEARCH(ZAKL_DATA!$B$29,N72)),MAX($M$2:M71)+1,0)</f>
        <v>70.0</v>
      </c>
      <c r="N72" s="327" t="s">
        <v>1109</v>
      </c>
      <c r="O72" s="328" t="s">
        <v>1110</v>
      </c>
      <c r="Q72" s="329" t="str">
        <f>IFERROR(VLOOKUP(ROWS($Q$3:Q72),$M$3:$N$992,2,0),"")</f>
        <v>Těžba ropy</v>
      </c>
      <c r="R72">
        <f>IF(ISNUMBER(SEARCH('1Př1'!$A$32,N72)),MAX($M$2:M71)+1,0)</f>
        <v>70.0</v>
      </c>
      <c r="S72" s="327" t="s">
        <v>1109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327" t="s">
        <v>1109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327" t="s">
        <v>1109</v>
      </c>
      <c r="Z72" t="str">
        <f>IFERROR(VLOOKUP(ROWS($Z$3:Z72),$X$3:$Y$992,2,0),"")</f>
        <v>Těžba ropy</v>
      </c>
    </row>
    <row r="73" spans="1:26" ht="12.75" customHeight="1">
      <c r="A73" s="303"/>
      <c r="B73" s="303"/>
      <c r="C73" s="303"/>
      <c r="D73" s="319">
        <f>IF(ISNUMBER(SEARCH(ZAKL_DATA!$B$14,E73)),MAX($D$2:D72)+1,0)</f>
        <v>71.0</v>
      </c>
      <c r="E73" s="332" t="s">
        <v>1111</v>
      </c>
      <c r="F73" s="333">
        <v>2401.0</v>
      </c>
      <c r="G73" s="334"/>
      <c r="H73" s="335" t="str">
        <f>IFERROR(VLOOKUP(ROWS($H$3:H73),$D$3:$E$204,2,0),"")</f>
        <v>KARLOVY VARY</v>
      </c>
      <c r="I73" s="303"/>
      <c r="J73" s="337" t="s">
        <v>1112</v>
      </c>
      <c r="K73" s="325" t="s">
        <v>1113</v>
      </c>
      <c r="M73" s="326">
        <f>IF(ISNUMBER(SEARCH(ZAKL_DATA!$B$29,N73)),MAX($M$2:M72)+1,0)</f>
        <v>71.0</v>
      </c>
      <c r="N73" s="327" t="s">
        <v>1114</v>
      </c>
      <c r="O73" s="328" t="s">
        <v>1115</v>
      </c>
      <c r="Q73" s="329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327" t="s">
        <v>1114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327" t="s">
        <v>1114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327" t="s">
        <v>1114</v>
      </c>
      <c r="Z73" t="str">
        <f>IFERROR(VLOOKUP(ROWS($Z$3:Z73),$X$3:$Y$992,2,0),"")</f>
        <v>Činnosti v oblasti informačních technologií</v>
      </c>
    </row>
    <row r="74" spans="1:26" ht="12.75" customHeight="1">
      <c r="A74" s="303"/>
      <c r="B74" s="303"/>
      <c r="C74" s="303"/>
      <c r="D74" s="319">
        <f>IF(ISNUMBER(SEARCH(ZAKL_DATA!$B$14,E74)),MAX($D$2:D73)+1,0)</f>
        <v>72.0</v>
      </c>
      <c r="E74" s="332" t="s">
        <v>1116</v>
      </c>
      <c r="F74" s="333">
        <v>2402.0</v>
      </c>
      <c r="G74" s="334"/>
      <c r="H74" s="335" t="str">
        <f>IFERROR(VLOOKUP(ROWS($H$3:H74),$D$3:$E$204,2,0),"")</f>
        <v>AŠ</v>
      </c>
      <c r="I74" s="303"/>
      <c r="J74" s="337" t="s">
        <v>1117</v>
      </c>
      <c r="K74" s="325" t="s">
        <v>1118</v>
      </c>
      <c r="M74" s="326">
        <f>IF(ISNUMBER(SEARCH(ZAKL_DATA!$B$29,N74)),MAX($M$2:M73)+1,0)</f>
        <v>72.0</v>
      </c>
      <c r="N74" s="327" t="s">
        <v>1119</v>
      </c>
      <c r="O74" s="328" t="s">
        <v>1120</v>
      </c>
      <c r="Q74" s="329" t="str">
        <f>IFERROR(VLOOKUP(ROWS($Q$3:Q74),$M$3:$N$992,2,0),"")</f>
        <v>Těžba zemního plynu</v>
      </c>
      <c r="R74">
        <f>IF(ISNUMBER(SEARCH('1Př1'!$A$32,N74)),MAX($M$2:M73)+1,0)</f>
        <v>72.0</v>
      </c>
      <c r="S74" s="327" t="s">
        <v>1119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327" t="s">
        <v>1119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327" t="s">
        <v>1119</v>
      </c>
      <c r="Z74" t="str">
        <f>IFERROR(VLOOKUP(ROWS($Z$3:Z74),$X$3:$Y$992,2,0),"")</f>
        <v>Těžba zemního plynu</v>
      </c>
    </row>
    <row r="75" spans="1:26" ht="12.75" customHeight="1">
      <c r="A75" s="303"/>
      <c r="B75" s="303"/>
      <c r="C75" s="303"/>
      <c r="D75" s="319">
        <f>IF(ISNUMBER(SEARCH(ZAKL_DATA!$B$14,E75)),MAX($D$2:D74)+1,0)</f>
        <v>73.0</v>
      </c>
      <c r="E75" s="332" t="s">
        <v>1121</v>
      </c>
      <c r="F75" s="333">
        <v>2403.0</v>
      </c>
      <c r="G75" s="334"/>
      <c r="H75" s="335" t="str">
        <f>IFERROR(VLOOKUP(ROWS($H$3:H75),$D$3:$E$204,2,0),"")</f>
        <v>CHEB</v>
      </c>
      <c r="I75" s="303"/>
      <c r="J75" s="337" t="s">
        <v>1122</v>
      </c>
      <c r="K75" s="325" t="s">
        <v>1123</v>
      </c>
      <c r="M75" s="326">
        <f>IF(ISNUMBER(SEARCH(ZAKL_DATA!$B$29,N75)),MAX($M$2:M74)+1,0)</f>
        <v>73.0</v>
      </c>
      <c r="N75" s="327" t="s">
        <v>1124</v>
      </c>
      <c r="O75" s="328" t="s">
        <v>1125</v>
      </c>
      <c r="Q75" s="329" t="str">
        <f>IFERROR(VLOOKUP(ROWS($Q$3:Q75),$M$3:$N$992,2,0),"")</f>
        <v>Informační činnosti</v>
      </c>
      <c r="R75">
        <f>IF(ISNUMBER(SEARCH('1Př1'!$A$32,N75)),MAX($M$2:M74)+1,0)</f>
        <v>73.0</v>
      </c>
      <c r="S75" s="327" t="s">
        <v>1124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327" t="s">
        <v>1124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327" t="s">
        <v>1124</v>
      </c>
      <c r="Z75" t="str">
        <f>IFERROR(VLOOKUP(ROWS($Z$3:Z75),$X$3:$Y$992,2,0),"")</f>
        <v>Informační činnosti</v>
      </c>
    </row>
    <row r="76" spans="1:26" ht="12.75" customHeight="1">
      <c r="A76" s="303"/>
      <c r="B76" s="303"/>
      <c r="C76" s="303"/>
      <c r="D76" s="319">
        <f>IF(ISNUMBER(SEARCH(ZAKL_DATA!$B$14,E76)),MAX($D$2:D75)+1,0)</f>
        <v>74.0</v>
      </c>
      <c r="E76" s="332" t="s">
        <v>1126</v>
      </c>
      <c r="F76" s="333">
        <v>2404.0</v>
      </c>
      <c r="G76" s="334"/>
      <c r="H76" s="335" t="str">
        <f>IFERROR(VLOOKUP(ROWS($H$3:H76),$D$3:$E$204,2,0),"")</f>
        <v>KRASLICE</v>
      </c>
      <c r="I76" s="303"/>
      <c r="J76" s="337" t="s">
        <v>1127</v>
      </c>
      <c r="K76" s="325" t="s">
        <v>1128</v>
      </c>
      <c r="M76" s="326">
        <f>IF(ISNUMBER(SEARCH(ZAKL_DATA!$B$29,N76)),MAX($M$2:M75)+1,0)</f>
        <v>74.0</v>
      </c>
      <c r="N76" s="327" t="s">
        <v>1129</v>
      </c>
      <c r="O76" s="328" t="s">
        <v>1130</v>
      </c>
      <c r="Q76" s="329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327" t="s">
        <v>1129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327" t="s">
        <v>1129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327" t="s">
        <v>1129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03"/>
      <c r="B77" s="303"/>
      <c r="C77" s="303"/>
      <c r="D77" s="319">
        <f>IF(ISNUMBER(SEARCH(ZAKL_DATA!$B$14,E77)),MAX($D$2:D76)+1,0)</f>
        <v>75.0</v>
      </c>
      <c r="E77" s="332" t="s">
        <v>1131</v>
      </c>
      <c r="F77" s="333">
        <v>2405.0</v>
      </c>
      <c r="G77" s="334"/>
      <c r="H77" s="335" t="str">
        <f>IFERROR(VLOOKUP(ROWS($H$3:H77),$D$3:$E$204,2,0),"")</f>
        <v>MARIÁNSKÉ LÁZNĚ</v>
      </c>
      <c r="I77" s="303"/>
      <c r="J77" s="337" t="s">
        <v>1132</v>
      </c>
      <c r="K77" s="325" t="s">
        <v>1133</v>
      </c>
      <c r="M77" s="326">
        <f>IF(ISNUMBER(SEARCH(ZAKL_DATA!$B$29,N77)),MAX($M$2:M76)+1,0)</f>
        <v>75.0</v>
      </c>
      <c r="N77" s="327" t="s">
        <v>1134</v>
      </c>
      <c r="O77" s="328" t="s">
        <v>1135</v>
      </c>
      <c r="Q77" s="329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327" t="s">
        <v>1134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327" t="s">
        <v>1134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327" t="s">
        <v>1134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03"/>
      <c r="B78" s="303"/>
      <c r="C78" s="303"/>
      <c r="D78" s="319">
        <f>IF(ISNUMBER(SEARCH(ZAKL_DATA!$B$14,E78)),MAX($D$2:D77)+1,0)</f>
        <v>76.0</v>
      </c>
      <c r="E78" s="332" t="s">
        <v>1136</v>
      </c>
      <c r="F78" s="333">
        <v>2406.0</v>
      </c>
      <c r="G78" s="334"/>
      <c r="H78" s="335" t="str">
        <f>IFERROR(VLOOKUP(ROWS($H$3:H78),$D$3:$E$204,2,0),"")</f>
        <v>OSTROV NAD OHŘÍ</v>
      </c>
      <c r="I78" s="303"/>
      <c r="J78" s="337" t="s">
        <v>1137</v>
      </c>
      <c r="K78" s="325" t="s">
        <v>1138</v>
      </c>
      <c r="M78" s="326">
        <f>IF(ISNUMBER(SEARCH(ZAKL_DATA!$B$29,N78)),MAX($M$2:M77)+1,0)</f>
        <v>76.0</v>
      </c>
      <c r="N78" s="327" t="s">
        <v>1139</v>
      </c>
      <c r="O78" s="328" t="s">
        <v>1140</v>
      </c>
      <c r="Q78" s="329" t="str">
        <f>IFERROR(VLOOKUP(ROWS($Q$3:Q78),$M$3:$N$992,2,0),"")</f>
        <v>Ostatní finanční činnosti</v>
      </c>
      <c r="R78">
        <f>IF(ISNUMBER(SEARCH('1Př1'!$A$32,N78)),MAX($M$2:M77)+1,0)</f>
        <v>76.0</v>
      </c>
      <c r="S78" s="327" t="s">
        <v>1139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327" t="s">
        <v>1139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327" t="s">
        <v>1139</v>
      </c>
      <c r="Z78" t="str">
        <f>IFERROR(VLOOKUP(ROWS($Z$3:Z78),$X$3:$Y$992,2,0),"")</f>
        <v>Ostatní finanční činnosti</v>
      </c>
    </row>
    <row r="79" spans="1:26" ht="12.75" customHeight="1">
      <c r="A79" s="303"/>
      <c r="B79" s="303"/>
      <c r="C79" s="303"/>
      <c r="D79" s="319">
        <f>IF(ISNUMBER(SEARCH(ZAKL_DATA!$B$14,E79)),MAX($D$2:D78)+1,0)</f>
        <v>77.0</v>
      </c>
      <c r="E79" s="332" t="s">
        <v>1141</v>
      </c>
      <c r="F79" s="333">
        <v>2407.0</v>
      </c>
      <c r="G79" s="334"/>
      <c r="H79" s="335" t="str">
        <f>IFERROR(VLOOKUP(ROWS($H$3:H79),$D$3:$E$204,2,0),"")</f>
        <v>SOKOLOV</v>
      </c>
      <c r="I79" s="303"/>
      <c r="J79" s="337" t="s">
        <v>1142</v>
      </c>
      <c r="K79" s="325" t="s">
        <v>1143</v>
      </c>
      <c r="M79" s="326">
        <f>IF(ISNUMBER(SEARCH(ZAKL_DATA!$B$29,N79)),MAX($M$2:M78)+1,0)</f>
        <v>77.0</v>
      </c>
      <c r="N79" s="327" t="s">
        <v>1144</v>
      </c>
      <c r="O79" s="328" t="s">
        <v>1145</v>
      </c>
      <c r="Q79" s="329" t="str">
        <f>IFERROR(VLOOKUP(ROWS($Q$3:Q79),$M$3:$N$992,2,0),"")</f>
        <v>Činnosti v oblasti nemovitostí</v>
      </c>
      <c r="R79">
        <f>IF(ISNUMBER(SEARCH('1Př1'!$A$32,N79)),MAX($M$2:M78)+1,0)</f>
        <v>77.0</v>
      </c>
      <c r="S79" s="327" t="s">
        <v>1144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327" t="s">
        <v>1144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327" t="s">
        <v>1144</v>
      </c>
      <c r="Z79" t="str">
        <f>IFERROR(VLOOKUP(ROWS($Z$3:Z79),$X$3:$Y$992,2,0),"")</f>
        <v>Činnosti v oblasti nemovitostí</v>
      </c>
    </row>
    <row r="80" spans="1:26" ht="12.75" customHeight="1">
      <c r="A80" s="303"/>
      <c r="B80" s="303"/>
      <c r="C80" s="303"/>
      <c r="D80" s="319">
        <f>IF(ISNUMBER(SEARCH(ZAKL_DATA!$B$14,E80)),MAX($D$2:D79)+1,0)</f>
        <v>78.0</v>
      </c>
      <c r="E80" s="332" t="s">
        <v>1146</v>
      </c>
      <c r="F80" s="333">
        <v>2501.0</v>
      </c>
      <c r="G80" s="334"/>
      <c r="H80" s="335" t="str">
        <f>IFERROR(VLOOKUP(ROWS($H$3:H80),$D$3:$E$204,2,0),"")</f>
        <v>ÚSTÍ NAD LABEM</v>
      </c>
      <c r="I80" s="303"/>
      <c r="J80" s="337" t="s">
        <v>1147</v>
      </c>
      <c r="K80" s="325" t="s">
        <v>1148</v>
      </c>
      <c r="M80" s="326">
        <f>IF(ISNUMBER(SEARCH(ZAKL_DATA!$B$29,N80)),MAX($M$2:M79)+1,0)</f>
        <v>78.0</v>
      </c>
      <c r="N80" s="327" t="s">
        <v>1149</v>
      </c>
      <c r="O80" s="328" t="s">
        <v>1150</v>
      </c>
      <c r="Q80" s="329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327" t="s">
        <v>1149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327" t="s">
        <v>1149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327" t="s">
        <v>1149</v>
      </c>
      <c r="Z80" t="str">
        <f>IFERROR(VLOOKUP(ROWS($Z$3:Z80),$X$3:$Y$992,2,0),"")</f>
        <v>Právní a účetnické činnosti</v>
      </c>
    </row>
    <row r="81" spans="1:26" ht="12.75" customHeight="1">
      <c r="A81" s="303"/>
      <c r="B81" s="303"/>
      <c r="C81" s="303"/>
      <c r="D81" s="319">
        <f>IF(ISNUMBER(SEARCH(ZAKL_DATA!$B$14,E81)),MAX($D$2:D80)+1,0)</f>
        <v>79.0</v>
      </c>
      <c r="E81" s="332" t="s">
        <v>1151</v>
      </c>
      <c r="F81" s="333">
        <v>2502.0</v>
      </c>
      <c r="G81" s="334"/>
      <c r="H81" s="335" t="str">
        <f>IFERROR(VLOOKUP(ROWS($H$3:H81),$D$3:$E$204,2,0),"")</f>
        <v>BÍLINA</v>
      </c>
      <c r="I81" s="303"/>
      <c r="J81" s="337" t="s">
        <v>1152</v>
      </c>
      <c r="K81" s="325" t="s">
        <v>1153</v>
      </c>
      <c r="M81" s="326">
        <f>IF(ISNUMBER(SEARCH(ZAKL_DATA!$B$29,N81)),MAX($M$2:M80)+1,0)</f>
        <v>79.0</v>
      </c>
      <c r="N81" s="327" t="s">
        <v>1154</v>
      </c>
      <c r="O81" s="328" t="s">
        <v>1155</v>
      </c>
      <c r="Q81" s="329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327" t="s">
        <v>1154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327" t="s">
        <v>1154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327" t="s">
        <v>1154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03"/>
      <c r="B82" s="303"/>
      <c r="C82" s="303"/>
      <c r="D82" s="319">
        <f>IF(ISNUMBER(SEARCH(ZAKL_DATA!$B$14,E82)),MAX($D$2:D81)+1,0)</f>
        <v>80.0</v>
      </c>
      <c r="E82" s="332" t="s">
        <v>1156</v>
      </c>
      <c r="F82" s="333">
        <v>2503.0</v>
      </c>
      <c r="G82" s="334"/>
      <c r="H82" s="335" t="str">
        <f>IFERROR(VLOOKUP(ROWS($H$3:H82),$D$3:$E$204,2,0),"")</f>
        <v>DĚČÍN</v>
      </c>
      <c r="I82" s="303"/>
      <c r="J82" s="337" t="s">
        <v>1157</v>
      </c>
      <c r="K82" s="325" t="s">
        <v>1158</v>
      </c>
      <c r="M82" s="326">
        <f>IF(ISNUMBER(SEARCH(ZAKL_DATA!$B$29,N82)),MAX($M$2:M81)+1,0)</f>
        <v>80.0</v>
      </c>
      <c r="N82" s="327" t="s">
        <v>1159</v>
      </c>
      <c r="O82" s="328" t="s">
        <v>1160</v>
      </c>
      <c r="Q82" s="329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327" t="s">
        <v>1159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327" t="s">
        <v>1159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327" t="s">
        <v>1159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03"/>
      <c r="B83" s="303"/>
      <c r="C83" s="303"/>
      <c r="D83" s="319">
        <f>IF(ISNUMBER(SEARCH(ZAKL_DATA!$B$14,E83)),MAX($D$2:D82)+1,0)</f>
        <v>81.0</v>
      </c>
      <c r="E83" s="332" t="s">
        <v>1161</v>
      </c>
      <c r="F83" s="333">
        <v>2504.0</v>
      </c>
      <c r="G83" s="334"/>
      <c r="H83" s="335" t="str">
        <f>IFERROR(VLOOKUP(ROWS($H$3:H83),$D$3:$E$204,2,0),"")</f>
        <v>CHOMUTOV</v>
      </c>
      <c r="I83" s="303"/>
      <c r="J83" s="337" t="s">
        <v>1162</v>
      </c>
      <c r="K83" s="325" t="s">
        <v>1163</v>
      </c>
      <c r="M83" s="326">
        <f>IF(ISNUMBER(SEARCH(ZAKL_DATA!$B$29,N83)),MAX($M$2:M82)+1,0)</f>
        <v>81.0</v>
      </c>
      <c r="N83" s="327" t="s">
        <v>1164</v>
      </c>
      <c r="O83" s="328" t="s">
        <v>1165</v>
      </c>
      <c r="Q83" s="329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327" t="s">
        <v>1164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327" t="s">
        <v>1164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327" t="s">
        <v>1164</v>
      </c>
      <c r="Z83" t="str">
        <f>IFERROR(VLOOKUP(ROWS($Z$3:Z83),$X$3:$Y$992,2,0),"")</f>
        <v>Těžba a úprava železných rud</v>
      </c>
    </row>
    <row r="84" spans="1:26" ht="12.75" customHeight="1">
      <c r="A84" s="303"/>
      <c r="B84" s="303"/>
      <c r="C84" s="303"/>
      <c r="D84" s="319">
        <f>IF(ISNUMBER(SEARCH(ZAKL_DATA!$B$14,E84)),MAX($D$2:D83)+1,0)</f>
        <v>82.0</v>
      </c>
      <c r="E84" s="332" t="s">
        <v>1166</v>
      </c>
      <c r="F84" s="333">
        <v>2505.0</v>
      </c>
      <c r="G84" s="334"/>
      <c r="H84" s="335" t="str">
        <f>IFERROR(VLOOKUP(ROWS($H$3:H84),$D$3:$E$204,2,0),"")</f>
        <v>KADAŇ</v>
      </c>
      <c r="I84" s="303"/>
      <c r="J84" s="340" t="s">
        <v>1167</v>
      </c>
      <c r="K84" s="341" t="s">
        <v>1168</v>
      </c>
      <c r="M84" s="326">
        <f>IF(ISNUMBER(SEARCH(ZAKL_DATA!$B$29,N84)),MAX($M$2:M83)+1,0)</f>
        <v>82.0</v>
      </c>
      <c r="N84" s="327" t="s">
        <v>1169</v>
      </c>
      <c r="O84" s="328" t="s">
        <v>1170</v>
      </c>
      <c r="Q84" s="329" t="str">
        <f>IFERROR(VLOOKUP(ROWS($Q$3:Q84),$M$3:$N$992,2,0),"")</f>
        <v>Výzkum a vývoj</v>
      </c>
      <c r="R84">
        <f>IF(ISNUMBER(SEARCH('1Př1'!$A$32,N84)),MAX($M$2:M83)+1,0)</f>
        <v>82.0</v>
      </c>
      <c r="S84" s="327" t="s">
        <v>1169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327" t="s">
        <v>1169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327" t="s">
        <v>1169</v>
      </c>
      <c r="Z84" t="str">
        <f>IFERROR(VLOOKUP(ROWS($Z$3:Z84),$X$3:$Y$992,2,0),"")</f>
        <v>Výzkum a vývoj</v>
      </c>
    </row>
    <row r="85" spans="1:26" ht="12.75" customHeight="1">
      <c r="A85" s="303"/>
      <c r="B85" s="303"/>
      <c r="C85" s="303"/>
      <c r="D85" s="319">
        <f>IF(ISNUMBER(SEARCH(ZAKL_DATA!$B$14,E85)),MAX($D$2:D84)+1,0)</f>
        <v>83.0</v>
      </c>
      <c r="E85" s="332" t="s">
        <v>1171</v>
      </c>
      <c r="F85" s="333">
        <v>2506.0</v>
      </c>
      <c r="G85" s="334"/>
      <c r="H85" s="335" t="str">
        <f>IFERROR(VLOOKUP(ROWS($H$3:H85),$D$3:$E$204,2,0),"")</f>
        <v>LIBOCHOVICE</v>
      </c>
      <c r="I85" s="303"/>
      <c r="J85" s="337" t="s">
        <v>1172</v>
      </c>
      <c r="K85" s="325" t="s">
        <v>1173</v>
      </c>
      <c r="M85" s="326">
        <f>IF(ISNUMBER(SEARCH(ZAKL_DATA!$B$29,N85)),MAX($M$2:M84)+1,0)</f>
        <v>83.0</v>
      </c>
      <c r="N85" s="327" t="s">
        <v>1174</v>
      </c>
      <c r="O85" s="328" t="s">
        <v>1175</v>
      </c>
      <c r="Q85" s="329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327" t="s">
        <v>1174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327" t="s">
        <v>1174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327" t="s">
        <v>1174</v>
      </c>
      <c r="Z85" t="str">
        <f>IFERROR(VLOOKUP(ROWS($Z$3:Z85),$X$3:$Y$992,2,0),"")</f>
        <v>Těžba a úprava neželezných rud</v>
      </c>
    </row>
    <row r="86" spans="1:26" ht="12.75" customHeight="1">
      <c r="A86" s="303"/>
      <c r="B86" s="303"/>
      <c r="C86" s="303"/>
      <c r="D86" s="319">
        <f>IF(ISNUMBER(SEARCH(ZAKL_DATA!$B$14,E86)),MAX($D$2:D85)+1,0)</f>
        <v>84.0</v>
      </c>
      <c r="E86" s="332" t="s">
        <v>1176</v>
      </c>
      <c r="F86" s="333">
        <v>2507.0</v>
      </c>
      <c r="G86" s="334"/>
      <c r="H86" s="335" t="str">
        <f>IFERROR(VLOOKUP(ROWS($H$3:H86),$D$3:$E$204,2,0),"")</f>
        <v>LITOMĚŘICE</v>
      </c>
      <c r="I86" s="303"/>
      <c r="J86" s="337" t="s">
        <v>1177</v>
      </c>
      <c r="K86" s="325" t="s">
        <v>1178</v>
      </c>
      <c r="M86" s="326">
        <f>IF(ISNUMBER(SEARCH(ZAKL_DATA!$B$29,N86)),MAX($M$2:M85)+1,0)</f>
        <v>84.0</v>
      </c>
      <c r="N86" s="327" t="s">
        <v>1179</v>
      </c>
      <c r="O86" s="328" t="s">
        <v>1180</v>
      </c>
      <c r="Q86" s="329" t="str">
        <f>IFERROR(VLOOKUP(ROWS($Q$3:Q86),$M$3:$N$992,2,0),"")</f>
        <v>Reklama a průzkum trhu</v>
      </c>
      <c r="R86">
        <f>IF(ISNUMBER(SEARCH('1Př1'!$A$32,N86)),MAX($M$2:M85)+1,0)</f>
        <v>84.0</v>
      </c>
      <c r="S86" s="327" t="s">
        <v>1179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327" t="s">
        <v>1179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327" t="s">
        <v>1179</v>
      </c>
      <c r="Z86" t="str">
        <f>IFERROR(VLOOKUP(ROWS($Z$3:Z86),$X$3:$Y$992,2,0),"")</f>
        <v>Reklama a průzkum trhu</v>
      </c>
    </row>
    <row r="87" spans="1:26" ht="12.75" customHeight="1">
      <c r="A87" s="303"/>
      <c r="B87" s="303"/>
      <c r="C87" s="303"/>
      <c r="D87" s="319">
        <f>IF(ISNUMBER(SEARCH(ZAKL_DATA!$B$14,E87)),MAX($D$2:D86)+1,0)</f>
        <v>85.0</v>
      </c>
      <c r="E87" s="332" t="s">
        <v>1181</v>
      </c>
      <c r="F87" s="333">
        <v>2508.0</v>
      </c>
      <c r="G87" s="334"/>
      <c r="H87" s="335" t="str">
        <f>IFERROR(VLOOKUP(ROWS($H$3:H87),$D$3:$E$204,2,0),"")</f>
        <v>LITVÍNOV</v>
      </c>
      <c r="I87" s="303"/>
      <c r="J87" s="337" t="s">
        <v>1182</v>
      </c>
      <c r="K87" s="325" t="s">
        <v>1183</v>
      </c>
      <c r="M87" s="326">
        <f>IF(ISNUMBER(SEARCH(ZAKL_DATA!$B$29,N87)),MAX($M$2:M86)+1,0)</f>
        <v>85.0</v>
      </c>
      <c r="N87" s="327" t="s">
        <v>1184</v>
      </c>
      <c r="O87" s="328" t="s">
        <v>1185</v>
      </c>
      <c r="Q87" s="329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327" t="s">
        <v>1184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327" t="s">
        <v>1184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327" t="s">
        <v>1184</v>
      </c>
      <c r="Z87" t="str">
        <f>IFERROR(VLOOKUP(ROWS($Z$3:Z87),$X$3:$Y$992,2,0),"")</f>
        <v>Ostatní profesní, vědecké a technické činnosti</v>
      </c>
    </row>
    <row r="88" spans="1:26" ht="12.75" customHeight="1">
      <c r="A88" s="303"/>
      <c r="B88" s="303"/>
      <c r="C88" s="303"/>
      <c r="D88" s="319">
        <f>IF(ISNUMBER(SEARCH(ZAKL_DATA!$B$14,E88)),MAX($D$2:D87)+1,0)</f>
        <v>86.0</v>
      </c>
      <c r="E88" s="332" t="s">
        <v>1186</v>
      </c>
      <c r="F88" s="333">
        <v>2509.0</v>
      </c>
      <c r="G88" s="334"/>
      <c r="H88" s="335" t="str">
        <f>IFERROR(VLOOKUP(ROWS($H$3:H88),$D$3:$E$204,2,0),"")</f>
        <v>LOUNY</v>
      </c>
      <c r="I88" s="303"/>
      <c r="J88" s="337" t="s">
        <v>1187</v>
      </c>
      <c r="K88" s="325" t="s">
        <v>1188</v>
      </c>
      <c r="M88" s="326">
        <f>IF(ISNUMBER(SEARCH(ZAKL_DATA!$B$29,N88)),MAX($M$2:M87)+1,0)</f>
        <v>86.0</v>
      </c>
      <c r="N88" s="327" t="s">
        <v>1189</v>
      </c>
      <c r="O88" s="328" t="s">
        <v>1190</v>
      </c>
      <c r="Q88" s="329" t="str">
        <f>IFERROR(VLOOKUP(ROWS($Q$3:Q88),$M$3:$N$992,2,0),"")</f>
        <v>Veterinární činnosti</v>
      </c>
      <c r="R88">
        <f>IF(ISNUMBER(SEARCH('1Př1'!$A$32,N88)),MAX($M$2:M87)+1,0)</f>
        <v>86.0</v>
      </c>
      <c r="S88" s="327" t="s">
        <v>1189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327" t="s">
        <v>1189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327" t="s">
        <v>1189</v>
      </c>
      <c r="Z88" t="str">
        <f>IFERROR(VLOOKUP(ROWS($Z$3:Z88),$X$3:$Y$992,2,0),"")</f>
        <v>Veterinární činnosti</v>
      </c>
    </row>
    <row r="89" spans="1:26" ht="12.75" customHeight="1">
      <c r="A89" s="303"/>
      <c r="B89" s="303"/>
      <c r="C89" s="303"/>
      <c r="D89" s="319">
        <f>IF(ISNUMBER(SEARCH(ZAKL_DATA!$B$14,E89)),MAX($D$2:D88)+1,0)</f>
        <v>87.0</v>
      </c>
      <c r="E89" s="332" t="s">
        <v>1191</v>
      </c>
      <c r="F89" s="333">
        <v>2510.0</v>
      </c>
      <c r="G89" s="334"/>
      <c r="H89" s="335" t="str">
        <f>IFERROR(VLOOKUP(ROWS($H$3:H89),$D$3:$E$204,2,0),"")</f>
        <v>MOST</v>
      </c>
      <c r="I89" s="303"/>
      <c r="J89" s="337" t="s">
        <v>1192</v>
      </c>
      <c r="K89" s="325" t="s">
        <v>1193</v>
      </c>
      <c r="M89" s="326">
        <f>IF(ISNUMBER(SEARCH(ZAKL_DATA!$B$29,N89)),MAX($M$2:M88)+1,0)</f>
        <v>87.0</v>
      </c>
      <c r="N89" s="327" t="s">
        <v>1194</v>
      </c>
      <c r="O89" s="328" t="s">
        <v>1195</v>
      </c>
      <c r="Q89" s="329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327" t="s">
        <v>1194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327" t="s">
        <v>1194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327" t="s">
        <v>1194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03"/>
      <c r="B90" s="303"/>
      <c r="C90" s="303"/>
      <c r="D90" s="319">
        <f>IF(ISNUMBER(SEARCH(ZAKL_DATA!$B$14,E90)),MAX($D$2:D89)+1,0)</f>
        <v>88.0</v>
      </c>
      <c r="E90" s="332" t="s">
        <v>1196</v>
      </c>
      <c r="F90" s="333">
        <v>2511.0</v>
      </c>
      <c r="G90" s="334"/>
      <c r="H90" s="335" t="str">
        <f>IFERROR(VLOOKUP(ROWS($H$3:H90),$D$3:$E$204,2,0),"")</f>
        <v>PODBOŘANY</v>
      </c>
      <c r="I90" s="303"/>
      <c r="J90" s="337" t="s">
        <v>1197</v>
      </c>
      <c r="K90" s="325" t="s">
        <v>1198</v>
      </c>
      <c r="M90" s="326">
        <f>IF(ISNUMBER(SEARCH(ZAKL_DATA!$B$29,N90)),MAX($M$2:M89)+1,0)</f>
        <v>88.0</v>
      </c>
      <c r="N90" s="327" t="s">
        <v>1199</v>
      </c>
      <c r="O90" s="328" t="s">
        <v>1200</v>
      </c>
      <c r="Q90" s="329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327" t="s">
        <v>1199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327" t="s">
        <v>1199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327" t="s">
        <v>1199</v>
      </c>
      <c r="Z90" t="str">
        <f>IFERROR(VLOOKUP(ROWS($Z$3:Z90),$X$3:$Y$992,2,0),"")</f>
        <v>Činnosti související se zaměstnáním</v>
      </c>
    </row>
    <row r="91" spans="1:26" ht="12.75" customHeight="1">
      <c r="A91" s="303"/>
      <c r="B91" s="303"/>
      <c r="C91" s="303"/>
      <c r="D91" s="319">
        <f>IF(ISNUMBER(SEARCH(ZAKL_DATA!$B$14,E91)),MAX($D$2:D90)+1,0)</f>
        <v>89.0</v>
      </c>
      <c r="E91" s="332" t="s">
        <v>1201</v>
      </c>
      <c r="F91" s="333">
        <v>2512.0</v>
      </c>
      <c r="G91" s="334"/>
      <c r="H91" s="335" t="str">
        <f>IFERROR(VLOOKUP(ROWS($H$3:H91),$D$3:$E$204,2,0),"")</f>
        <v>ROUDNICE NAD LABEM</v>
      </c>
      <c r="I91" s="303"/>
      <c r="J91" s="337" t="s">
        <v>1202</v>
      </c>
      <c r="K91" s="325" t="s">
        <v>1203</v>
      </c>
      <c r="M91" s="326">
        <f>IF(ISNUMBER(SEARCH(ZAKL_DATA!$B$29,N91)),MAX($M$2:M90)+1,0)</f>
        <v>89.0</v>
      </c>
      <c r="N91" s="327" t="s">
        <v>1204</v>
      </c>
      <c r="O91" s="328" t="s">
        <v>1205</v>
      </c>
      <c r="Q91" s="329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327" t="s">
        <v>1204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327" t="s">
        <v>1204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327" t="s">
        <v>1204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03"/>
      <c r="B92" s="303"/>
      <c r="C92" s="303"/>
      <c r="D92" s="319">
        <f>IF(ISNUMBER(SEARCH(ZAKL_DATA!$B$14,E92)),MAX($D$2:D91)+1,0)</f>
        <v>90.0</v>
      </c>
      <c r="E92" s="332" t="s">
        <v>1206</v>
      </c>
      <c r="F92" s="333">
        <v>2513.0</v>
      </c>
      <c r="G92" s="334"/>
      <c r="H92" s="335" t="str">
        <f>IFERROR(VLOOKUP(ROWS($H$3:H92),$D$3:$E$204,2,0),"")</f>
        <v>RUMBURK</v>
      </c>
      <c r="I92" s="303"/>
      <c r="J92" s="337" t="s">
        <v>1207</v>
      </c>
      <c r="K92" s="325" t="s">
        <v>1208</v>
      </c>
      <c r="M92" s="326">
        <f>IF(ISNUMBER(SEARCH(ZAKL_DATA!$B$29,N92)),MAX($M$2:M91)+1,0)</f>
        <v>90.0</v>
      </c>
      <c r="N92" s="327" t="s">
        <v>1209</v>
      </c>
      <c r="O92" s="328" t="s">
        <v>1210</v>
      </c>
      <c r="Q92" s="329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327" t="s">
        <v>1209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327" t="s">
        <v>1209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327" t="s">
        <v>1209</v>
      </c>
      <c r="Z92" t="str">
        <f>IFERROR(VLOOKUP(ROWS($Z$3:Z92),$X$3:$Y$992,2,0),"")</f>
        <v>Bezpečnostní a pátrací činnosti</v>
      </c>
    </row>
    <row r="93" spans="1:26" ht="12.75" customHeight="1">
      <c r="A93" s="303"/>
      <c r="B93" s="303"/>
      <c r="C93" s="303"/>
      <c r="D93" s="319">
        <f>IF(ISNUMBER(SEARCH(ZAKL_DATA!$B$14,E93)),MAX($D$2:D92)+1,0)</f>
        <v>91.0</v>
      </c>
      <c r="E93" s="332" t="s">
        <v>1211</v>
      </c>
      <c r="F93" s="333">
        <v>2514.0</v>
      </c>
      <c r="G93" s="334"/>
      <c r="H93" s="335" t="str">
        <f>IFERROR(VLOOKUP(ROWS($H$3:H93),$D$3:$E$204,2,0),"")</f>
        <v>TEPLICE</v>
      </c>
      <c r="I93" s="303"/>
      <c r="J93" s="337" t="s">
        <v>1212</v>
      </c>
      <c r="K93" s="325" t="s">
        <v>1213</v>
      </c>
      <c r="M93" s="326">
        <f>IF(ISNUMBER(SEARCH(ZAKL_DATA!$B$29,N93)),MAX($M$2:M92)+1,0)</f>
        <v>91.0</v>
      </c>
      <c r="N93" s="327" t="s">
        <v>1214</v>
      </c>
      <c r="O93" s="328" t="s">
        <v>1215</v>
      </c>
      <c r="Q93" s="329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327" t="s">
        <v>1214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327" t="s">
        <v>1214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327" t="s">
        <v>1214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03"/>
      <c r="B94" s="303"/>
      <c r="C94" s="303"/>
      <c r="D94" s="319">
        <f>IF(ISNUMBER(SEARCH(ZAKL_DATA!$B$14,E94)),MAX($D$2:D93)+1,0)</f>
        <v>92.0</v>
      </c>
      <c r="E94" s="332" t="s">
        <v>1216</v>
      </c>
      <c r="F94" s="333">
        <v>2515.0</v>
      </c>
      <c r="G94" s="334"/>
      <c r="H94" s="335" t="str">
        <f>IFERROR(VLOOKUP(ROWS($H$3:H94),$D$3:$E$204,2,0),"")</f>
        <v>ŽATEC</v>
      </c>
      <c r="I94" s="303"/>
      <c r="J94" s="337" t="s">
        <v>1217</v>
      </c>
      <c r="K94" s="325" t="s">
        <v>1218</v>
      </c>
      <c r="M94" s="326">
        <f>IF(ISNUMBER(SEARCH(ZAKL_DATA!$B$29,N94)),MAX($M$2:M93)+1,0)</f>
        <v>92.0</v>
      </c>
      <c r="N94" s="327" t="s">
        <v>1219</v>
      </c>
      <c r="O94" s="328" t="s">
        <v>1220</v>
      </c>
      <c r="Q94" s="329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327" t="s">
        <v>1219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327" t="s">
        <v>1219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327" t="s">
        <v>1219</v>
      </c>
      <c r="Z94" t="str">
        <f>IFERROR(VLOOKUP(ROWS($Z$3:Z94),$X$3:$Y$992,2,0),"")</f>
        <v>Dobývání kamene, písků a jílů</v>
      </c>
    </row>
    <row r="95" spans="1:26" ht="12.75" customHeight="1">
      <c r="A95" s="303"/>
      <c r="B95" s="303"/>
      <c r="C95" s="303"/>
      <c r="D95" s="319">
        <f>IF(ISNUMBER(SEARCH(ZAKL_DATA!$B$14,E95)),MAX($D$2:D94)+1,0)</f>
        <v>93.0</v>
      </c>
      <c r="E95" s="332" t="s">
        <v>1221</v>
      </c>
      <c r="F95" s="333">
        <v>2601.0</v>
      </c>
      <c r="G95" s="334"/>
      <c r="H95" s="335" t="str">
        <f>IFERROR(VLOOKUP(ROWS($H$3:H95),$D$3:$E$204,2,0),"")</f>
        <v>LIBEREC</v>
      </c>
      <c r="I95" s="303"/>
      <c r="J95" s="337" t="s">
        <v>1222</v>
      </c>
      <c r="K95" s="325" t="s">
        <v>1223</v>
      </c>
      <c r="M95" s="326">
        <f>IF(ISNUMBER(SEARCH(ZAKL_DATA!$B$29,N95)),MAX($M$2:M94)+1,0)</f>
        <v>93.0</v>
      </c>
      <c r="N95" s="327" t="s">
        <v>1224</v>
      </c>
      <c r="O95" s="328" t="s">
        <v>1225</v>
      </c>
      <c r="Q95" s="329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327" t="s">
        <v>1224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327" t="s">
        <v>1224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327" t="s">
        <v>1224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03"/>
      <c r="B96" s="303"/>
      <c r="C96" s="303"/>
      <c r="D96" s="319">
        <f>IF(ISNUMBER(SEARCH(ZAKL_DATA!$B$14,E96)),MAX($D$2:D95)+1,0)</f>
        <v>94.0</v>
      </c>
      <c r="E96" s="332" t="s">
        <v>1226</v>
      </c>
      <c r="F96" s="333">
        <v>2602.0</v>
      </c>
      <c r="G96" s="334"/>
      <c r="H96" s="335" t="str">
        <f>IFERROR(VLOOKUP(ROWS($H$3:H96),$D$3:$E$204,2,0),"")</f>
        <v>ČESKÁ LÍPA</v>
      </c>
      <c r="I96" s="303"/>
      <c r="J96" s="337" t="s">
        <v>1227</v>
      </c>
      <c r="K96" s="325" t="s">
        <v>1228</v>
      </c>
      <c r="M96" s="326">
        <f>IF(ISNUMBER(SEARCH(ZAKL_DATA!$B$29,N96)),MAX($M$2:M95)+1,0)</f>
        <v>94.0</v>
      </c>
      <c r="N96" s="327" t="s">
        <v>1229</v>
      </c>
      <c r="O96" s="328" t="s">
        <v>1230</v>
      </c>
      <c r="Q96" s="329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327" t="s">
        <v>1229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327" t="s">
        <v>1229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327" t="s">
        <v>1229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03"/>
      <c r="B97" s="303"/>
      <c r="C97" s="303"/>
      <c r="D97" s="319">
        <f>IF(ISNUMBER(SEARCH(ZAKL_DATA!$B$14,E97)),MAX($D$2:D96)+1,0)</f>
        <v>95.0</v>
      </c>
      <c r="E97" s="332" t="s">
        <v>1231</v>
      </c>
      <c r="F97" s="333">
        <v>2603.0</v>
      </c>
      <c r="G97" s="334"/>
      <c r="H97" s="335" t="str">
        <f>IFERROR(VLOOKUP(ROWS($H$3:H97),$D$3:$E$204,2,0),"")</f>
        <v>FRÝDLANT</v>
      </c>
      <c r="I97" s="303"/>
      <c r="J97" s="337" t="s">
        <v>1232</v>
      </c>
      <c r="K97" s="325" t="s">
        <v>1233</v>
      </c>
      <c r="M97" s="326">
        <f>IF(ISNUMBER(SEARCH(ZAKL_DATA!$B$29,N97)),MAX($M$2:M96)+1,0)</f>
        <v>95.0</v>
      </c>
      <c r="N97" s="327" t="s">
        <v>1234</v>
      </c>
      <c r="O97" s="328" t="s">
        <v>1235</v>
      </c>
      <c r="Q97" s="329" t="str">
        <f>IFERROR(VLOOKUP(ROWS($Q$3:Q97),$M$3:$N$992,2,0),"")</f>
        <v>Vzdělávání</v>
      </c>
      <c r="R97">
        <f>IF(ISNUMBER(SEARCH('1Př1'!$A$32,N97)),MAX($M$2:M96)+1,0)</f>
        <v>95.0</v>
      </c>
      <c r="S97" s="327" t="s">
        <v>1234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327" t="s">
        <v>1234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327" t="s">
        <v>1234</v>
      </c>
      <c r="Z97" t="str">
        <f>IFERROR(VLOOKUP(ROWS($Z$3:Z97),$X$3:$Y$992,2,0),"")</f>
        <v>Vzdělávání</v>
      </c>
    </row>
    <row r="98" spans="1:26" ht="12.75" customHeight="1">
      <c r="A98" s="303"/>
      <c r="B98" s="303"/>
      <c r="C98" s="303"/>
      <c r="D98" s="319">
        <f>IF(ISNUMBER(SEARCH(ZAKL_DATA!$B$14,E98)),MAX($D$2:D97)+1,0)</f>
        <v>96.0</v>
      </c>
      <c r="E98" s="332" t="s">
        <v>1236</v>
      </c>
      <c r="F98" s="333">
        <v>2604.0</v>
      </c>
      <c r="G98" s="334"/>
      <c r="H98" s="335" t="str">
        <f>IFERROR(VLOOKUP(ROWS($H$3:H98),$D$3:$E$204,2,0),"")</f>
        <v>JABLONEC NAD NISOU</v>
      </c>
      <c r="I98" s="303"/>
      <c r="J98" s="337" t="s">
        <v>1237</v>
      </c>
      <c r="K98" s="325" t="s">
        <v>1238</v>
      </c>
      <c r="M98" s="326">
        <f>IF(ISNUMBER(SEARCH(ZAKL_DATA!$B$29,N98)),MAX($M$2:M97)+1,0)</f>
        <v>96.0</v>
      </c>
      <c r="N98" s="327" t="s">
        <v>1239</v>
      </c>
      <c r="O98" s="328" t="s">
        <v>1240</v>
      </c>
      <c r="Q98" s="329" t="str">
        <f>IFERROR(VLOOKUP(ROWS($Q$3:Q98),$M$3:$N$992,2,0),"")</f>
        <v>Zdravotní péče</v>
      </c>
      <c r="R98">
        <f>IF(ISNUMBER(SEARCH('1Př1'!$A$32,N98)),MAX($M$2:M97)+1,0)</f>
        <v>96.0</v>
      </c>
      <c r="S98" s="327" t="s">
        <v>1239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327" t="s">
        <v>1239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327" t="s">
        <v>1239</v>
      </c>
      <c r="Z98" t="str">
        <f>IFERROR(VLOOKUP(ROWS($Z$3:Z98),$X$3:$Y$992,2,0),"")</f>
        <v>Zdravotní péče</v>
      </c>
    </row>
    <row r="99" spans="1:26" ht="12.75" customHeight="1">
      <c r="A99" s="303"/>
      <c r="B99" s="303"/>
      <c r="C99" s="303"/>
      <c r="D99" s="319">
        <f>IF(ISNUMBER(SEARCH(ZAKL_DATA!$B$14,E99)),MAX($D$2:D98)+1,0)</f>
        <v>97.0</v>
      </c>
      <c r="E99" s="332" t="s">
        <v>1241</v>
      </c>
      <c r="F99" s="333">
        <v>2605.0</v>
      </c>
      <c r="G99" s="334"/>
      <c r="H99" s="335" t="str">
        <f>IFERROR(VLOOKUP(ROWS($H$3:H99),$D$3:$E$204,2,0),"")</f>
        <v>JILEMNICE</v>
      </c>
      <c r="I99" s="303"/>
      <c r="J99" s="337" t="s">
        <v>1242</v>
      </c>
      <c r="K99" s="325" t="s">
        <v>1243</v>
      </c>
      <c r="M99" s="326">
        <f>IF(ISNUMBER(SEARCH(ZAKL_DATA!$B$29,N99)),MAX($M$2:M98)+1,0)</f>
        <v>97.0</v>
      </c>
      <c r="N99" s="327" t="s">
        <v>1244</v>
      </c>
      <c r="O99" s="328" t="s">
        <v>1245</v>
      </c>
      <c r="Q99" s="329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327" t="s">
        <v>1244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327" t="s">
        <v>1244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327" t="s">
        <v>1244</v>
      </c>
      <c r="Z99" t="str">
        <f>IFERROR(VLOOKUP(ROWS($Z$3:Z99),$X$3:$Y$992,2,0),"")</f>
        <v>Pobytové služby sociální péče</v>
      </c>
    </row>
    <row r="100" spans="1:26" ht="12.75" customHeight="1">
      <c r="A100" s="303"/>
      <c r="B100" s="303"/>
      <c r="C100" s="303"/>
      <c r="D100" s="319">
        <f>IF(ISNUMBER(SEARCH(ZAKL_DATA!$B$14,E100)),MAX($D$2:D99)+1,0)</f>
        <v>98.0</v>
      </c>
      <c r="E100" s="332" t="s">
        <v>1246</v>
      </c>
      <c r="F100" s="333">
        <v>2606.0</v>
      </c>
      <c r="G100" s="334"/>
      <c r="H100" s="335" t="str">
        <f>IFERROR(VLOOKUP(ROWS($H$3:H100),$D$3:$E$204,2,0),"")</f>
        <v>NOVÝ BOR</v>
      </c>
      <c r="I100" s="303"/>
      <c r="J100" s="337" t="s">
        <v>1247</v>
      </c>
      <c r="K100" s="325" t="s">
        <v>1248</v>
      </c>
      <c r="M100" s="326">
        <f>IF(ISNUMBER(SEARCH(ZAKL_DATA!$B$29,N100)),MAX($M$2:M99)+1,0)</f>
        <v>98.0</v>
      </c>
      <c r="N100" s="327" t="s">
        <v>1249</v>
      </c>
      <c r="O100" s="328" t="s">
        <v>1250</v>
      </c>
      <c r="Q100" s="329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327" t="s">
        <v>1249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327" t="s">
        <v>1249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327" t="s">
        <v>1249</v>
      </c>
      <c r="Z100" t="str">
        <f>IFERROR(VLOOKUP(ROWS($Z$3:Z100),$X$3:$Y$992,2,0),"")</f>
        <v>Ambulantní nebo terénní sociální služby</v>
      </c>
    </row>
    <row r="101" spans="1:26" ht="12.75" customHeight="1">
      <c r="A101" s="303"/>
      <c r="B101" s="303"/>
      <c r="C101" s="303"/>
      <c r="D101" s="319">
        <f>IF(ISNUMBER(SEARCH(ZAKL_DATA!$B$14,E101)),MAX($D$2:D100)+1,0)</f>
        <v>99.0</v>
      </c>
      <c r="E101" s="332" t="s">
        <v>1251</v>
      </c>
      <c r="F101" s="333">
        <v>2607.0</v>
      </c>
      <c r="G101" s="334"/>
      <c r="H101" s="335" t="str">
        <f>IFERROR(VLOOKUP(ROWS($H$3:H101),$D$3:$E$204,2,0),"")</f>
        <v>SEMILY</v>
      </c>
      <c r="I101" s="303"/>
      <c r="J101" s="337" t="s">
        <v>1252</v>
      </c>
      <c r="K101" s="325" t="s">
        <v>1253</v>
      </c>
      <c r="M101" s="326">
        <f>IF(ISNUMBER(SEARCH(ZAKL_DATA!$B$29,N101)),MAX($M$2:M100)+1,0)</f>
        <v>99.0</v>
      </c>
      <c r="N101" s="327" t="s">
        <v>1254</v>
      </c>
      <c r="O101" s="328" t="s">
        <v>1255</v>
      </c>
      <c r="Q101" s="329" t="str">
        <f>IFERROR(VLOOKUP(ROWS($Q$3:Q101),$M$3:$N$992,2,0),"")</f>
        <v>Těžba a dobývání j. n.</v>
      </c>
      <c r="R101">
        <f>IF(ISNUMBER(SEARCH('1Př1'!$A$32,N101)),MAX($M$2:M100)+1,0)</f>
        <v>99.0</v>
      </c>
      <c r="S101" s="327" t="s">
        <v>1254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327" t="s">
        <v>1254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327" t="s">
        <v>1254</v>
      </c>
      <c r="Z101" t="str">
        <f>IFERROR(VLOOKUP(ROWS($Z$3:Z101),$X$3:$Y$992,2,0),"")</f>
        <v>Těžba a dobývání j. n.</v>
      </c>
    </row>
    <row r="102" spans="1:26" ht="12.75" customHeight="1">
      <c r="A102" s="303"/>
      <c r="B102" s="303"/>
      <c r="C102" s="303"/>
      <c r="D102" s="319">
        <f>IF(ISNUMBER(SEARCH(ZAKL_DATA!$B$14,E102)),MAX($D$2:D101)+1,0)</f>
        <v>100.0</v>
      </c>
      <c r="E102" s="332" t="s">
        <v>1256</v>
      </c>
      <c r="F102" s="333">
        <v>2608.0</v>
      </c>
      <c r="G102" s="334"/>
      <c r="H102" s="335" t="str">
        <f>IFERROR(VLOOKUP(ROWS($H$3:H102),$D$3:$E$204,2,0),"")</f>
        <v>TANVALD</v>
      </c>
      <c r="I102" s="303"/>
      <c r="J102" s="337" t="s">
        <v>1257</v>
      </c>
      <c r="K102" s="325" t="s">
        <v>1258</v>
      </c>
      <c r="M102" s="326">
        <f>IF(ISNUMBER(SEARCH(ZAKL_DATA!$B$29,N102)),MAX($M$2:M101)+1,0)</f>
        <v>100.0</v>
      </c>
      <c r="N102" s="327" t="s">
        <v>1259</v>
      </c>
      <c r="O102" s="328" t="s">
        <v>1260</v>
      </c>
      <c r="Q102" s="329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327" t="s">
        <v>1259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327" t="s">
        <v>1259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327" t="s">
        <v>1259</v>
      </c>
      <c r="Z102" t="str">
        <f>IFERROR(VLOOKUP(ROWS($Z$3:Z102),$X$3:$Y$992,2,0),"")</f>
        <v>Tvůrčí, umělecké a zábavní činnosti</v>
      </c>
    </row>
    <row r="103" spans="1:26" ht="12.75" customHeight="1">
      <c r="A103" s="303"/>
      <c r="B103" s="303"/>
      <c r="C103" s="303"/>
      <c r="D103" s="319">
        <f>IF(ISNUMBER(SEARCH(ZAKL_DATA!$B$14,E103)),MAX($D$2:D102)+1,0)</f>
        <v>101.0</v>
      </c>
      <c r="E103" s="332" t="s">
        <v>1261</v>
      </c>
      <c r="F103" s="333">
        <v>2609.0</v>
      </c>
      <c r="G103" s="334"/>
      <c r="H103" s="335" t="str">
        <f>IFERROR(VLOOKUP(ROWS($H$3:H103),$D$3:$E$204,2,0),"")</f>
        <v>TURNOV</v>
      </c>
      <c r="I103" s="303"/>
      <c r="J103" s="337" t="s">
        <v>1262</v>
      </c>
      <c r="K103" s="325" t="s">
        <v>1263</v>
      </c>
      <c r="M103" s="326">
        <f>IF(ISNUMBER(SEARCH(ZAKL_DATA!$B$29,N103)),MAX($M$2:M102)+1,0)</f>
        <v>101.0</v>
      </c>
      <c r="N103" s="327" t="s">
        <v>1264</v>
      </c>
      <c r="O103" s="328" t="s">
        <v>1265</v>
      </c>
      <c r="Q103" s="329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327" t="s">
        <v>1264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327" t="s">
        <v>1264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327" t="s">
        <v>1264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03"/>
      <c r="B104" s="303"/>
      <c r="C104" s="303"/>
      <c r="D104" s="319">
        <f>IF(ISNUMBER(SEARCH(ZAKL_DATA!$B$14,E104)),MAX($D$2:D103)+1,0)</f>
        <v>102.0</v>
      </c>
      <c r="E104" s="332" t="s">
        <v>1266</v>
      </c>
      <c r="F104" s="333">
        <v>2610.0</v>
      </c>
      <c r="G104" s="334"/>
      <c r="H104" s="335" t="str">
        <f>IFERROR(VLOOKUP(ROWS($H$3:H104),$D$3:$E$204,2,0),"")</f>
        <v>ŽELEZNÝ BROD</v>
      </c>
      <c r="I104" s="303"/>
      <c r="J104" s="337" t="s">
        <v>1267</v>
      </c>
      <c r="K104" s="325" t="s">
        <v>1268</v>
      </c>
      <c r="M104" s="326">
        <f>IF(ISNUMBER(SEARCH(ZAKL_DATA!$B$29,N104)),MAX($M$2:M103)+1,0)</f>
        <v>102.0</v>
      </c>
      <c r="N104" s="327" t="s">
        <v>1269</v>
      </c>
      <c r="O104" s="328" t="s">
        <v>1270</v>
      </c>
      <c r="Q104" s="329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327" t="s">
        <v>1269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327" t="s">
        <v>1269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327" t="s">
        <v>1269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03"/>
      <c r="B105" s="303"/>
      <c r="C105" s="303"/>
      <c r="D105" s="319">
        <f>IF(ISNUMBER(SEARCH(ZAKL_DATA!$B$14,E105)),MAX($D$2:D104)+1,0)</f>
        <v>103.0</v>
      </c>
      <c r="E105" s="332" t="s">
        <v>1271</v>
      </c>
      <c r="F105" s="333">
        <v>2701.0</v>
      </c>
      <c r="G105" s="334"/>
      <c r="H105" s="335" t="str">
        <f>IFERROR(VLOOKUP(ROWS($H$3:H105),$D$3:$E$204,2,0),"")</f>
        <v>HRADEC KRÁLOVÉ</v>
      </c>
      <c r="I105" s="303"/>
      <c r="J105" s="337" t="s">
        <v>1272</v>
      </c>
      <c r="K105" s="325" t="s">
        <v>1273</v>
      </c>
      <c r="M105" s="326">
        <f>IF(ISNUMBER(SEARCH(ZAKL_DATA!$B$29,N105)),MAX($M$2:M104)+1,0)</f>
        <v>103.0</v>
      </c>
      <c r="N105" s="327" t="s">
        <v>1274</v>
      </c>
      <c r="O105" s="328" t="s">
        <v>1275</v>
      </c>
      <c r="Q105" s="329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327" t="s">
        <v>1274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327" t="s">
        <v>1274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327" t="s">
        <v>1274</v>
      </c>
      <c r="Z105" t="str">
        <f>IFERROR(VLOOKUP(ROWS($Z$3:Z105),$X$3:$Y$992,2,0),"")</f>
        <v>Činnosti heren, kasin a sázkových kanceláří</v>
      </c>
    </row>
    <row r="106" spans="1:26" ht="12.75" customHeight="1">
      <c r="A106" s="303"/>
      <c r="B106" s="303"/>
      <c r="C106" s="303"/>
      <c r="D106" s="319">
        <f>IF(ISNUMBER(SEARCH(ZAKL_DATA!$B$14,E106)),MAX($D$2:D105)+1,0)</f>
        <v>104.0</v>
      </c>
      <c r="E106" s="332" t="s">
        <v>1276</v>
      </c>
      <c r="F106" s="333">
        <v>2702.0</v>
      </c>
      <c r="G106" s="334"/>
      <c r="H106" s="335" t="str">
        <f>IFERROR(VLOOKUP(ROWS($H$3:H106),$D$3:$E$204,2,0),"")</f>
        <v>BROUMOV</v>
      </c>
      <c r="I106" s="303"/>
      <c r="J106" s="337" t="s">
        <v>1277</v>
      </c>
      <c r="K106" s="325" t="s">
        <v>1278</v>
      </c>
      <c r="M106" s="326">
        <f>IF(ISNUMBER(SEARCH(ZAKL_DATA!$B$29,N106)),MAX($M$2:M105)+1,0)</f>
        <v>104.0</v>
      </c>
      <c r="N106" s="327" t="s">
        <v>1279</v>
      </c>
      <c r="O106" s="328" t="s">
        <v>1280</v>
      </c>
      <c r="Q106" s="329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327" t="s">
        <v>1279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327" t="s">
        <v>1279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327" t="s">
        <v>1279</v>
      </c>
      <c r="Z106" t="str">
        <f>IFERROR(VLOOKUP(ROWS($Z$3:Z106),$X$3:$Y$992,2,0),"")</f>
        <v>Sportovní, zábavní a rekreační činnosti</v>
      </c>
    </row>
    <row r="107" spans="1:26" ht="12.75" customHeight="1">
      <c r="A107" s="303"/>
      <c r="B107" s="303"/>
      <c r="C107" s="303"/>
      <c r="D107" s="319">
        <f>IF(ISNUMBER(SEARCH(ZAKL_DATA!$B$14,E107)),MAX($D$2:D106)+1,0)</f>
        <v>105.0</v>
      </c>
      <c r="E107" s="332" t="s">
        <v>1281</v>
      </c>
      <c r="F107" s="333">
        <v>2703.0</v>
      </c>
      <c r="G107" s="334"/>
      <c r="H107" s="335" t="str">
        <f>IFERROR(VLOOKUP(ROWS($H$3:H107),$D$3:$E$204,2,0),"")</f>
        <v>DOBRUŠKA</v>
      </c>
      <c r="I107" s="303"/>
      <c r="J107" s="337" t="s">
        <v>1282</v>
      </c>
      <c r="K107" s="325" t="s">
        <v>1283</v>
      </c>
      <c r="M107" s="326">
        <f>IF(ISNUMBER(SEARCH(ZAKL_DATA!$B$29,N107)),MAX($M$2:M106)+1,0)</f>
        <v>105.0</v>
      </c>
      <c r="N107" s="327" t="s">
        <v>1284</v>
      </c>
      <c r="O107" s="328" t="s">
        <v>1285</v>
      </c>
      <c r="Q107" s="329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327" t="s">
        <v>1284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327" t="s">
        <v>1284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327" t="s">
        <v>1284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03"/>
      <c r="B108" s="303"/>
      <c r="C108" s="303"/>
      <c r="D108" s="319">
        <f>IF(ISNUMBER(SEARCH(ZAKL_DATA!$B$14,E108)),MAX($D$2:D107)+1,0)</f>
        <v>106.0</v>
      </c>
      <c r="E108" s="332" t="s">
        <v>1286</v>
      </c>
      <c r="F108" s="333">
        <v>2704.0</v>
      </c>
      <c r="G108" s="334"/>
      <c r="H108" s="335" t="str">
        <f>IFERROR(VLOOKUP(ROWS($H$3:H108),$D$3:$E$204,2,0),"")</f>
        <v>DVŮR KRÁLOVÉ</v>
      </c>
      <c r="I108" s="303"/>
      <c r="J108" s="337" t="s">
        <v>1287</v>
      </c>
      <c r="K108" s="325" t="s">
        <v>1288</v>
      </c>
      <c r="M108" s="326">
        <f>IF(ISNUMBER(SEARCH(ZAKL_DATA!$B$29,N108)),MAX($M$2:M107)+1,0)</f>
        <v>106.0</v>
      </c>
      <c r="N108" s="327" t="s">
        <v>1289</v>
      </c>
      <c r="O108" s="328" t="s">
        <v>1290</v>
      </c>
      <c r="Q108" s="329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327" t="s">
        <v>1289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327" t="s">
        <v>1289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327" t="s">
        <v>1289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03"/>
      <c r="B109" s="303"/>
      <c r="C109" s="303"/>
      <c r="D109" s="319">
        <f>IF(ISNUMBER(SEARCH(ZAKL_DATA!$B$14,E109)),MAX($D$2:D108)+1,0)</f>
        <v>107.0</v>
      </c>
      <c r="E109" s="332" t="s">
        <v>1291</v>
      </c>
      <c r="F109" s="333">
        <v>2705.0</v>
      </c>
      <c r="G109" s="334"/>
      <c r="H109" s="335" t="str">
        <f>IFERROR(VLOOKUP(ROWS($H$3:H109),$D$3:$E$204,2,0),"")</f>
        <v>HOŘICE</v>
      </c>
      <c r="I109" s="303"/>
      <c r="J109" s="337" t="s">
        <v>1292</v>
      </c>
      <c r="K109" s="325" t="s">
        <v>1293</v>
      </c>
      <c r="M109" s="326">
        <f>IF(ISNUMBER(SEARCH(ZAKL_DATA!$B$29,N109)),MAX($M$2:M108)+1,0)</f>
        <v>107.0</v>
      </c>
      <c r="N109" s="327" t="s">
        <v>1294</v>
      </c>
      <c r="O109" s="328" t="s">
        <v>1295</v>
      </c>
      <c r="Q109" s="329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327" t="s">
        <v>1294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327" t="s">
        <v>1294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327" t="s">
        <v>1294</v>
      </c>
      <c r="Z109" t="str">
        <f>IFERROR(VLOOKUP(ROWS($Z$3:Z109),$X$3:$Y$992,2,0),"")</f>
        <v>Poskytování ostatních osobních služeb</v>
      </c>
    </row>
    <row r="110" spans="1:26" ht="12.75" customHeight="1">
      <c r="A110" s="303"/>
      <c r="B110" s="303"/>
      <c r="C110" s="303"/>
      <c r="D110" s="319">
        <f>IF(ISNUMBER(SEARCH(ZAKL_DATA!$B$14,E110)),MAX($D$2:D109)+1,0)</f>
        <v>108.0</v>
      </c>
      <c r="E110" s="332" t="s">
        <v>1296</v>
      </c>
      <c r="F110" s="333">
        <v>2706.0</v>
      </c>
      <c r="G110" s="334"/>
      <c r="H110" s="335" t="str">
        <f>IFERROR(VLOOKUP(ROWS($H$3:H110),$D$3:$E$204,2,0),"")</f>
        <v>JAROMĚŘ</v>
      </c>
      <c r="I110" s="303"/>
      <c r="J110" s="337" t="s">
        <v>1297</v>
      </c>
      <c r="K110" s="325" t="s">
        <v>1298</v>
      </c>
      <c r="M110" s="326">
        <f>IF(ISNUMBER(SEARCH(ZAKL_DATA!$B$29,N110)),MAX($M$2:M109)+1,0)</f>
        <v>108.0</v>
      </c>
      <c r="N110" s="327" t="s">
        <v>1299</v>
      </c>
      <c r="O110" s="328" t="s">
        <v>1300</v>
      </c>
      <c r="Q110" s="329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327" t="s">
        <v>1299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327" t="s">
        <v>1299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327" t="s">
        <v>1299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03"/>
      <c r="B111" s="303"/>
      <c r="C111" s="303"/>
      <c r="D111" s="319">
        <f>IF(ISNUMBER(SEARCH(ZAKL_DATA!$B$14,E111)),MAX($D$2:D110)+1,0)</f>
        <v>109.0</v>
      </c>
      <c r="E111" s="332" t="s">
        <v>1301</v>
      </c>
      <c r="F111" s="333">
        <v>2707.0</v>
      </c>
      <c r="G111" s="334"/>
      <c r="H111" s="335" t="str">
        <f>IFERROR(VLOOKUP(ROWS($H$3:H111),$D$3:$E$204,2,0),"")</f>
        <v>JIČÍN</v>
      </c>
      <c r="I111" s="303"/>
      <c r="J111" s="337" t="s">
        <v>1302</v>
      </c>
      <c r="K111" s="325" t="s">
        <v>1303</v>
      </c>
      <c r="M111" s="326">
        <f>IF(ISNUMBER(SEARCH(ZAKL_DATA!$B$29,N111)),MAX($M$2:M110)+1,0)</f>
        <v>109.0</v>
      </c>
      <c r="N111" s="327" t="s">
        <v>1304</v>
      </c>
      <c r="O111" s="328" t="s">
        <v>1305</v>
      </c>
      <c r="Q111" s="329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327" t="s">
        <v>1304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327" t="s">
        <v>1304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327" t="s">
        <v>1304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03"/>
      <c r="B112" s="303"/>
      <c r="C112" s="303"/>
      <c r="D112" s="319">
        <f>IF(ISNUMBER(SEARCH(ZAKL_DATA!$B$14,E112)),MAX($D$2:D111)+1,0)</f>
        <v>110.0</v>
      </c>
      <c r="E112" s="332" t="s">
        <v>1306</v>
      </c>
      <c r="F112" s="333">
        <v>2708.0</v>
      </c>
      <c r="G112" s="334"/>
      <c r="H112" s="335" t="str">
        <f>IFERROR(VLOOKUP(ROWS($H$3:H112),$D$3:$E$204,2,0),"")</f>
        <v>KOSTELEC NAD ORLICÍ</v>
      </c>
      <c r="I112" s="303"/>
      <c r="J112" s="337" t="s">
        <v>1307</v>
      </c>
      <c r="K112" s="325" t="s">
        <v>1308</v>
      </c>
      <c r="M112" s="326">
        <f>IF(ISNUMBER(SEARCH(ZAKL_DATA!$B$29,N112)),MAX($M$2:M111)+1,0)</f>
        <v>110.0</v>
      </c>
      <c r="N112" s="327" t="s">
        <v>1309</v>
      </c>
      <c r="O112" s="328" t="s">
        <v>1310</v>
      </c>
      <c r="Q112" s="329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327" t="s">
        <v>1309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327" t="s">
        <v>1309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327" t="s">
        <v>1309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03"/>
      <c r="B113" s="303"/>
      <c r="C113" s="303"/>
      <c r="D113" s="319">
        <f>IF(ISNUMBER(SEARCH(ZAKL_DATA!$B$14,E113)),MAX($D$2:D112)+1,0)</f>
        <v>111.0</v>
      </c>
      <c r="E113" s="332" t="s">
        <v>1311</v>
      </c>
      <c r="F113" s="333">
        <v>2709.0</v>
      </c>
      <c r="G113" s="334"/>
      <c r="H113" s="335" t="str">
        <f>IFERROR(VLOOKUP(ROWS($H$3:H113),$D$3:$E$204,2,0),"")</f>
        <v>NÁCHOD</v>
      </c>
      <c r="I113" s="303"/>
      <c r="J113" s="337" t="s">
        <v>1312</v>
      </c>
      <c r="K113" s="325" t="s">
        <v>1313</v>
      </c>
      <c r="M113" s="326">
        <f>IF(ISNUMBER(SEARCH(ZAKL_DATA!$B$29,N113)),MAX($M$2:M112)+1,0)</f>
        <v>111.0</v>
      </c>
      <c r="N113" s="327" t="s">
        <v>1314</v>
      </c>
      <c r="O113" s="328" t="s">
        <v>1315</v>
      </c>
      <c r="Q113" s="329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327" t="s">
        <v>1314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327" t="s">
        <v>1314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327" t="s">
        <v>1314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03"/>
      <c r="B114" s="303"/>
      <c r="C114" s="303"/>
      <c r="D114" s="319">
        <f>IF(ISNUMBER(SEARCH(ZAKL_DATA!$B$14,E114)),MAX($D$2:D113)+1,0)</f>
        <v>112.0</v>
      </c>
      <c r="E114" s="332" t="s">
        <v>1316</v>
      </c>
      <c r="F114" s="333">
        <v>2710.0</v>
      </c>
      <c r="G114" s="334"/>
      <c r="H114" s="335" t="str">
        <f>IFERROR(VLOOKUP(ROWS($H$3:H114),$D$3:$E$204,2,0),"")</f>
        <v>NOVÁ PAKA</v>
      </c>
      <c r="I114" s="303"/>
      <c r="J114" s="337" t="s">
        <v>1317</v>
      </c>
      <c r="K114" s="325" t="s">
        <v>1318</v>
      </c>
      <c r="M114" s="326">
        <f>IF(ISNUMBER(SEARCH(ZAKL_DATA!$B$29,N114)),MAX($M$2:M113)+1,0)</f>
        <v>112.0</v>
      </c>
      <c r="N114" s="327" t="s">
        <v>1319</v>
      </c>
      <c r="O114" s="328" t="s">
        <v>1320</v>
      </c>
      <c r="Q114" s="329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327" t="s">
        <v>1319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327" t="s">
        <v>1319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327" t="s">
        <v>1319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03"/>
      <c r="B115" s="303"/>
      <c r="C115" s="303"/>
      <c r="D115" s="319">
        <f>IF(ISNUMBER(SEARCH(ZAKL_DATA!$B$14,E115)),MAX($D$2:D114)+1,0)</f>
        <v>113.0</v>
      </c>
      <c r="E115" s="332" t="s">
        <v>1321</v>
      </c>
      <c r="F115" s="333">
        <v>2711.0</v>
      </c>
      <c r="G115" s="334"/>
      <c r="H115" s="335" t="str">
        <f>IFERROR(VLOOKUP(ROWS($H$3:H115),$D$3:$E$204,2,0),"")</f>
        <v>NOVÝ BYDŽOV</v>
      </c>
      <c r="I115" s="303"/>
      <c r="J115" s="337" t="s">
        <v>1322</v>
      </c>
      <c r="K115" s="325" t="s">
        <v>1323</v>
      </c>
      <c r="M115" s="326">
        <f>IF(ISNUMBER(SEARCH(ZAKL_DATA!$B$29,N115)),MAX($M$2:M114)+1,0)</f>
        <v>113.0</v>
      </c>
      <c r="N115" s="327" t="s">
        <v>1324</v>
      </c>
      <c r="O115" s="328" t="s">
        <v>1325</v>
      </c>
      <c r="Q115" s="329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327" t="s">
        <v>1324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327" t="s">
        <v>1324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327" t="s">
        <v>1324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03"/>
      <c r="B116" s="303"/>
      <c r="C116" s="303"/>
      <c r="D116" s="319">
        <f>IF(ISNUMBER(SEARCH(ZAKL_DATA!$B$14,E116)),MAX($D$2:D115)+1,0)</f>
        <v>114.0</v>
      </c>
      <c r="E116" s="332" t="s">
        <v>1326</v>
      </c>
      <c r="F116" s="333">
        <v>2712.0</v>
      </c>
      <c r="G116" s="334"/>
      <c r="H116" s="335" t="str">
        <f>IFERROR(VLOOKUP(ROWS($H$3:H116),$D$3:$E$204,2,0),"")</f>
        <v>RYCHNOV NAD KNĚŽ.</v>
      </c>
      <c r="I116" s="303"/>
      <c r="J116" s="337" t="s">
        <v>1327</v>
      </c>
      <c r="K116" s="325" t="s">
        <v>1328</v>
      </c>
      <c r="M116" s="326">
        <f>IF(ISNUMBER(SEARCH(ZAKL_DATA!$B$29,N116)),MAX($M$2:M115)+1,0)</f>
        <v>114.0</v>
      </c>
      <c r="N116" s="327" t="s">
        <v>1329</v>
      </c>
      <c r="O116" s="328" t="s">
        <v>1330</v>
      </c>
      <c r="Q116" s="329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327" t="s">
        <v>1329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327" t="s">
        <v>1329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327" t="s">
        <v>1329</v>
      </c>
      <c r="Z116" t="str">
        <f>IFERROR(VLOOKUP(ROWS($Z$3:Z116),$X$3:$Y$992,2,0),"")</f>
        <v>Zpracování a konzervování ovoce a zeleniny</v>
      </c>
    </row>
    <row r="117" spans="1:26" ht="12.75" customHeight="1">
      <c r="A117" s="303"/>
      <c r="B117" s="303"/>
      <c r="C117" s="303"/>
      <c r="D117" s="319">
        <f>IF(ISNUMBER(SEARCH(ZAKL_DATA!$B$14,E117)),MAX($D$2:D116)+1,0)</f>
        <v>115.0</v>
      </c>
      <c r="E117" s="332" t="s">
        <v>1331</v>
      </c>
      <c r="F117" s="333">
        <v>2713.0</v>
      </c>
      <c r="G117" s="334"/>
      <c r="H117" s="335" t="str">
        <f>IFERROR(VLOOKUP(ROWS($H$3:H117),$D$3:$E$204,2,0),"")</f>
        <v>TRUTNOV</v>
      </c>
      <c r="I117" s="303"/>
      <c r="J117" s="337" t="s">
        <v>1332</v>
      </c>
      <c r="K117" s="325" t="s">
        <v>1333</v>
      </c>
      <c r="M117" s="326">
        <f>IF(ISNUMBER(SEARCH(ZAKL_DATA!$B$29,N117)),MAX($M$2:M116)+1,0)</f>
        <v>115.0</v>
      </c>
      <c r="N117" s="327" t="s">
        <v>1334</v>
      </c>
      <c r="O117" s="328" t="s">
        <v>1335</v>
      </c>
      <c r="Q117" s="329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327" t="s">
        <v>1334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327" t="s">
        <v>1334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327" t="s">
        <v>1334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03"/>
      <c r="B118" s="303"/>
      <c r="C118" s="303"/>
      <c r="D118" s="319">
        <f>IF(ISNUMBER(SEARCH(ZAKL_DATA!$B$14,E118)),MAX($D$2:D117)+1,0)</f>
        <v>116.0</v>
      </c>
      <c r="E118" s="332" t="s">
        <v>1336</v>
      </c>
      <c r="F118" s="333">
        <v>2714.0</v>
      </c>
      <c r="G118" s="334"/>
      <c r="H118" s="335" t="str">
        <f>IFERROR(VLOOKUP(ROWS($H$3:H118),$D$3:$E$204,2,0),"")</f>
        <v>VRCHLABÍ</v>
      </c>
      <c r="I118" s="303"/>
      <c r="J118" s="337" t="s">
        <v>1337</v>
      </c>
      <c r="K118" s="325" t="s">
        <v>1338</v>
      </c>
      <c r="M118" s="326">
        <f>IF(ISNUMBER(SEARCH(ZAKL_DATA!$B$29,N118)),MAX($M$2:M117)+1,0)</f>
        <v>116.0</v>
      </c>
      <c r="N118" s="327" t="s">
        <v>1339</v>
      </c>
      <c r="O118" s="328" t="s">
        <v>1340</v>
      </c>
      <c r="Q118" s="329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327" t="s">
        <v>1339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327" t="s">
        <v>1339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327" t="s">
        <v>1339</v>
      </c>
      <c r="Z118" t="str">
        <f>IFERROR(VLOOKUP(ROWS($Z$3:Z118),$X$3:$Y$992,2,0),"")</f>
        <v>Výroba mléčných výrobků</v>
      </c>
    </row>
    <row r="119" spans="1:26" ht="12.75" customHeight="1">
      <c r="A119" s="303"/>
      <c r="B119" s="303"/>
      <c r="C119" s="303"/>
      <c r="D119" s="319">
        <f>IF(ISNUMBER(SEARCH(ZAKL_DATA!$B$14,E119)),MAX($D$2:D118)+1,0)</f>
        <v>117.0</v>
      </c>
      <c r="E119" s="332" t="s">
        <v>1341</v>
      </c>
      <c r="F119" s="333">
        <v>2801.0</v>
      </c>
      <c r="G119" s="334"/>
      <c r="H119" s="335" t="str">
        <f>IFERROR(VLOOKUP(ROWS($H$3:H119),$D$3:$E$204,2,0),"")</f>
        <v>PARDUBICE</v>
      </c>
      <c r="I119" s="303"/>
      <c r="J119" s="337" t="s">
        <v>1342</v>
      </c>
      <c r="K119" s="325" t="s">
        <v>1343</v>
      </c>
      <c r="M119" s="326">
        <f>IF(ISNUMBER(SEARCH(ZAKL_DATA!$B$29,N119)),MAX($M$2:M118)+1,0)</f>
        <v>117.0</v>
      </c>
      <c r="N119" s="327" t="s">
        <v>1344</v>
      </c>
      <c r="O119" s="328" t="s">
        <v>1345</v>
      </c>
      <c r="Q119" s="329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327" t="s">
        <v>1344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327" t="s">
        <v>1344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327" t="s">
        <v>1344</v>
      </c>
      <c r="Z119" t="str">
        <f>IFERROR(VLOOKUP(ROWS($Z$3:Z119),$X$3:$Y$992,2,0),"")</f>
        <v>Výroba mlýnských a škrobárenských výrobků</v>
      </c>
    </row>
    <row r="120" spans="1:26" ht="12.75" customHeight="1">
      <c r="A120" s="303"/>
      <c r="B120" s="303"/>
      <c r="C120" s="303"/>
      <c r="D120" s="319">
        <f>IF(ISNUMBER(SEARCH(ZAKL_DATA!$B$14,E120)),MAX($D$2:D119)+1,0)</f>
        <v>118.0</v>
      </c>
      <c r="E120" s="332" t="s">
        <v>1346</v>
      </c>
      <c r="F120" s="333">
        <v>2802.0</v>
      </c>
      <c r="G120" s="334"/>
      <c r="H120" s="335" t="str">
        <f>IFERROR(VLOOKUP(ROWS($H$3:H120),$D$3:$E$204,2,0),"")</f>
        <v>HLINSKO</v>
      </c>
      <c r="I120" s="303"/>
      <c r="J120" s="337" t="s">
        <v>1347</v>
      </c>
      <c r="K120" s="325" t="s">
        <v>1348</v>
      </c>
      <c r="M120" s="326">
        <f>IF(ISNUMBER(SEARCH(ZAKL_DATA!$B$29,N120)),MAX($M$2:M119)+1,0)</f>
        <v>118.0</v>
      </c>
      <c r="N120" s="327" t="s">
        <v>1349</v>
      </c>
      <c r="O120" s="328" t="s">
        <v>1350</v>
      </c>
      <c r="Q120" s="329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327" t="s">
        <v>1349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327" t="s">
        <v>1349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327" t="s">
        <v>1349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03"/>
      <c r="B121" s="303"/>
      <c r="C121" s="303"/>
      <c r="D121" s="319">
        <f>IF(ISNUMBER(SEARCH(ZAKL_DATA!$B$14,E121)),MAX($D$2:D120)+1,0)</f>
        <v>119.0</v>
      </c>
      <c r="E121" s="332" t="s">
        <v>1351</v>
      </c>
      <c r="F121" s="333">
        <v>2803.0</v>
      </c>
      <c r="G121" s="334"/>
      <c r="H121" s="335" t="str">
        <f>IFERROR(VLOOKUP(ROWS($H$3:H121),$D$3:$E$204,2,0),"")</f>
        <v>HOLICE</v>
      </c>
      <c r="I121" s="303"/>
      <c r="J121" s="337" t="s">
        <v>1352</v>
      </c>
      <c r="K121" s="325" t="s">
        <v>1353</v>
      </c>
      <c r="M121" s="326">
        <f>IF(ISNUMBER(SEARCH(ZAKL_DATA!$B$29,N121)),MAX($M$2:M120)+1,0)</f>
        <v>119.0</v>
      </c>
      <c r="N121" s="327" t="s">
        <v>1354</v>
      </c>
      <c r="O121" s="328" t="s">
        <v>1355</v>
      </c>
      <c r="Q121" s="329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327" t="s">
        <v>1354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327" t="s">
        <v>1354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327" t="s">
        <v>1354</v>
      </c>
      <c r="Z121" t="str">
        <f>IFERROR(VLOOKUP(ROWS($Z$3:Z121),$X$3:$Y$992,2,0),"")</f>
        <v>Výroba ostatních potravinářských výrobků</v>
      </c>
    </row>
    <row r="122" spans="1:26" ht="12.75" customHeight="1">
      <c r="A122" s="303"/>
      <c r="B122" s="303"/>
      <c r="C122" s="303"/>
      <c r="D122" s="319">
        <f>IF(ISNUMBER(SEARCH(ZAKL_DATA!$B$14,E122)),MAX($D$2:D121)+1,0)</f>
        <v>120.0</v>
      </c>
      <c r="E122" s="332" t="s">
        <v>1356</v>
      </c>
      <c r="F122" s="333">
        <v>2804.0</v>
      </c>
      <c r="G122" s="334"/>
      <c r="H122" s="335" t="str">
        <f>IFERROR(VLOOKUP(ROWS($H$3:H122),$D$3:$E$204,2,0),"")</f>
        <v>CHRUDIM</v>
      </c>
      <c r="I122" s="303"/>
      <c r="J122" s="337" t="s">
        <v>1357</v>
      </c>
      <c r="K122" s="325" t="s">
        <v>1358</v>
      </c>
      <c r="M122" s="326">
        <f>IF(ISNUMBER(SEARCH(ZAKL_DATA!$B$29,N122)),MAX($M$2:M121)+1,0)</f>
        <v>120.0</v>
      </c>
      <c r="N122" s="327" t="s">
        <v>1359</v>
      </c>
      <c r="O122" s="328" t="s">
        <v>1360</v>
      </c>
      <c r="Q122" s="329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327" t="s">
        <v>1359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327" t="s">
        <v>1359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327" t="s">
        <v>1359</v>
      </c>
      <c r="Z122" t="str">
        <f>IFERROR(VLOOKUP(ROWS($Z$3:Z122),$X$3:$Y$992,2,0),"")</f>
        <v>Výroba průmyslových krmiv</v>
      </c>
    </row>
    <row r="123" spans="1:26" ht="12.75" customHeight="1">
      <c r="A123" s="303"/>
      <c r="B123" s="303"/>
      <c r="C123" s="303"/>
      <c r="D123" s="319">
        <f>IF(ISNUMBER(SEARCH(ZAKL_DATA!$B$14,E123)),MAX($D$2:D122)+1,0)</f>
        <v>121.0</v>
      </c>
      <c r="E123" s="332" t="s">
        <v>1361</v>
      </c>
      <c r="F123" s="333">
        <v>2805.0</v>
      </c>
      <c r="G123" s="334"/>
      <c r="H123" s="335" t="str">
        <f>IFERROR(VLOOKUP(ROWS($H$3:H123),$D$3:$E$204,2,0),"")</f>
        <v>LITOMYŠL</v>
      </c>
      <c r="I123" s="303"/>
      <c r="J123" s="337" t="s">
        <v>1362</v>
      </c>
      <c r="K123" s="325" t="s">
        <v>1363</v>
      </c>
      <c r="M123" s="326">
        <f>IF(ISNUMBER(SEARCH(ZAKL_DATA!$B$29,N123)),MAX($M$2:M122)+1,0)</f>
        <v>121.0</v>
      </c>
      <c r="N123" s="327" t="s">
        <v>1364</v>
      </c>
      <c r="O123" s="342" t="s">
        <v>1365</v>
      </c>
      <c r="Q123" s="329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327" t="s">
        <v>1364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327" t="s">
        <v>1364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327" t="s">
        <v>1364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03"/>
      <c r="B124" s="303"/>
      <c r="C124" s="303"/>
      <c r="D124" s="319">
        <f>IF(ISNUMBER(SEARCH(ZAKL_DATA!$B$14,E124)),MAX($D$2:D123)+1,0)</f>
        <v>122.0</v>
      </c>
      <c r="E124" s="332" t="s">
        <v>1366</v>
      </c>
      <c r="F124" s="333">
        <v>2806.0</v>
      </c>
      <c r="G124" s="334"/>
      <c r="H124" s="335" t="str">
        <f>IFERROR(VLOOKUP(ROWS($H$3:H124),$D$3:$E$204,2,0),"")</f>
        <v>MORAVSKÁ TŘEBOVÁ</v>
      </c>
      <c r="I124" s="303"/>
      <c r="J124" s="343" t="s">
        <v>1367</v>
      </c>
      <c r="K124" s="344" t="s">
        <v>1368</v>
      </c>
      <c r="M124" s="326">
        <f>IF(ISNUMBER(SEARCH(ZAKL_DATA!$B$29,N124)),MAX($M$2:M123)+1,0)</f>
        <v>122.0</v>
      </c>
      <c r="N124" s="327" t="s">
        <v>1369</v>
      </c>
      <c r="O124" s="342" t="s">
        <v>1370</v>
      </c>
      <c r="Q124" s="329" t="str">
        <f>IFERROR(VLOOKUP(ROWS($Q$3:Q124),$M$3:$N$992,2,0),"")</f>
        <v>Pěstování rýže</v>
      </c>
      <c r="R124">
        <f>IF(ISNUMBER(SEARCH('1Př1'!$A$32,N124)),MAX($M$2:M123)+1,0)</f>
        <v>122.0</v>
      </c>
      <c r="S124" s="327" t="s">
        <v>1369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327" t="s">
        <v>1369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327" t="s">
        <v>1369</v>
      </c>
      <c r="Z124" t="str">
        <f>IFERROR(VLOOKUP(ROWS($Z$3:Z124),$X$3:$Y$992,2,0),"")</f>
        <v>Pěstování rýže</v>
      </c>
    </row>
    <row r="125" spans="1:26" ht="12.75" customHeight="1">
      <c r="A125" s="303"/>
      <c r="B125" s="303"/>
      <c r="C125" s="303"/>
      <c r="D125" s="319">
        <f>IF(ISNUMBER(SEARCH(ZAKL_DATA!$B$14,E125)),MAX($D$2:D124)+1,0)</f>
        <v>123.0</v>
      </c>
      <c r="E125" s="332" t="s">
        <v>1371</v>
      </c>
      <c r="F125" s="333">
        <v>2807.0</v>
      </c>
      <c r="G125" s="334"/>
      <c r="H125" s="335" t="str">
        <f>IFERROR(VLOOKUP(ROWS($H$3:H125),$D$3:$E$204,2,0),"")</f>
        <v>PŘELOUČ</v>
      </c>
      <c r="I125" s="303"/>
      <c r="J125" s="337" t="s">
        <v>1372</v>
      </c>
      <c r="K125" s="325" t="s">
        <v>1373</v>
      </c>
      <c r="M125" s="326">
        <f>IF(ISNUMBER(SEARCH(ZAKL_DATA!$B$29,N125)),MAX($M$2:M124)+1,0)</f>
        <v>123.0</v>
      </c>
      <c r="N125" s="327" t="s">
        <v>1374</v>
      </c>
      <c r="O125" s="342" t="s">
        <v>1375</v>
      </c>
      <c r="Q125" s="329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327" t="s">
        <v>1374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327" t="s">
        <v>1374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327" t="s">
        <v>1374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03"/>
      <c r="B126" s="303"/>
      <c r="C126" s="303"/>
      <c r="D126" s="319">
        <f>IF(ISNUMBER(SEARCH(ZAKL_DATA!$B$14,E126)),MAX($D$2:D125)+1,0)</f>
        <v>124.0</v>
      </c>
      <c r="E126" s="332" t="s">
        <v>1376</v>
      </c>
      <c r="F126" s="333">
        <v>2808.0</v>
      </c>
      <c r="G126" s="334"/>
      <c r="H126" s="335" t="str">
        <f>IFERROR(VLOOKUP(ROWS($H$3:H126),$D$3:$E$204,2,0),"")</f>
        <v>SVITAVY</v>
      </c>
      <c r="I126" s="303"/>
      <c r="J126" s="337" t="s">
        <v>1377</v>
      </c>
      <c r="K126" s="325" t="s">
        <v>1378</v>
      </c>
      <c r="M126" s="326">
        <f>IF(ISNUMBER(SEARCH(ZAKL_DATA!$B$29,N126)),MAX($M$2:M125)+1,0)</f>
        <v>124.0</v>
      </c>
      <c r="N126" s="327" t="s">
        <v>1379</v>
      </c>
      <c r="O126" s="342" t="s">
        <v>1380</v>
      </c>
      <c r="Q126" s="329" t="str">
        <f>IFERROR(VLOOKUP(ROWS($Q$3:Q126),$M$3:$N$992,2,0),"")</f>
        <v>Pěstování tabáku</v>
      </c>
      <c r="R126">
        <f>IF(ISNUMBER(SEARCH('1Př1'!$A$32,N126)),MAX($M$2:M125)+1,0)</f>
        <v>124.0</v>
      </c>
      <c r="S126" s="327" t="s">
        <v>1379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327" t="s">
        <v>1379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327" t="s">
        <v>1379</v>
      </c>
      <c r="Z126" t="str">
        <f>IFERROR(VLOOKUP(ROWS($Z$3:Z126),$X$3:$Y$992,2,0),"")</f>
        <v>Pěstování tabáku</v>
      </c>
    </row>
    <row r="127" spans="1:26" ht="12.75" customHeight="1">
      <c r="A127" s="303"/>
      <c r="B127" s="303"/>
      <c r="C127" s="303"/>
      <c r="D127" s="319">
        <f>IF(ISNUMBER(SEARCH(ZAKL_DATA!$B$14,E127)),MAX($D$2:D126)+1,0)</f>
        <v>125.0</v>
      </c>
      <c r="E127" s="332" t="s">
        <v>1381</v>
      </c>
      <c r="F127" s="333">
        <v>2809.0</v>
      </c>
      <c r="G127" s="334"/>
      <c r="H127" s="335" t="str">
        <f>IFERROR(VLOOKUP(ROWS($H$3:H127),$D$3:$E$204,2,0),"")</f>
        <v>ÚSTÍ NAD ORLICÍ</v>
      </c>
      <c r="I127" s="303"/>
      <c r="J127" s="337" t="s">
        <v>1382</v>
      </c>
      <c r="K127" s="325" t="s">
        <v>1383</v>
      </c>
      <c r="M127" s="326">
        <f>IF(ISNUMBER(SEARCH(ZAKL_DATA!$B$29,N127)),MAX($M$2:M126)+1,0)</f>
        <v>125.0</v>
      </c>
      <c r="N127" s="327" t="s">
        <v>1384</v>
      </c>
      <c r="O127" s="342" t="s">
        <v>1385</v>
      </c>
      <c r="Q127" s="329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327" t="s">
        <v>1384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327" t="s">
        <v>1384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327" t="s">
        <v>1384</v>
      </c>
      <c r="Z127" t="str">
        <f>IFERROR(VLOOKUP(ROWS($Z$3:Z127),$X$3:$Y$992,2,0),"")</f>
        <v>Pěstování přadných rostlin</v>
      </c>
    </row>
    <row r="128" spans="1:26" ht="12.75" customHeight="1">
      <c r="A128" s="303"/>
      <c r="B128" s="303"/>
      <c r="C128" s="303"/>
      <c r="D128" s="319">
        <f>IF(ISNUMBER(SEARCH(ZAKL_DATA!$B$14,E128)),MAX($D$2:D127)+1,0)</f>
        <v>126.0</v>
      </c>
      <c r="E128" s="332" t="s">
        <v>1386</v>
      </c>
      <c r="F128" s="333">
        <v>2810.0</v>
      </c>
      <c r="G128" s="334"/>
      <c r="H128" s="335" t="str">
        <f>IFERROR(VLOOKUP(ROWS($H$3:H128),$D$3:$E$204,2,0),"")</f>
        <v>VYSOKÉ MÝTO</v>
      </c>
      <c r="I128" s="303"/>
      <c r="J128" s="337" t="s">
        <v>1387</v>
      </c>
      <c r="K128" s="325" t="s">
        <v>1388</v>
      </c>
      <c r="M128" s="326">
        <f>IF(ISNUMBER(SEARCH(ZAKL_DATA!$B$29,N128)),MAX($M$2:M127)+1,0)</f>
        <v>126.0</v>
      </c>
      <c r="N128" s="327" t="s">
        <v>1389</v>
      </c>
      <c r="O128" s="342" t="s">
        <v>1390</v>
      </c>
      <c r="Q128" s="329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327" t="s">
        <v>1389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327" t="s">
        <v>1389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327" t="s">
        <v>1389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03"/>
      <c r="B129" s="303"/>
      <c r="C129" s="303"/>
      <c r="D129" s="319">
        <f>IF(ISNUMBER(SEARCH(ZAKL_DATA!$B$14,E129)),MAX($D$2:D128)+1,0)</f>
        <v>127.0</v>
      </c>
      <c r="E129" s="332" t="s">
        <v>1391</v>
      </c>
      <c r="F129" s="333">
        <v>2811.0</v>
      </c>
      <c r="G129" s="334"/>
      <c r="H129" s="335" t="str">
        <f>IFERROR(VLOOKUP(ROWS($H$3:H129),$D$3:$E$204,2,0),"")</f>
        <v>ŽAMBERK</v>
      </c>
      <c r="I129" s="303"/>
      <c r="J129" s="337" t="s">
        <v>1392</v>
      </c>
      <c r="K129" s="325" t="s">
        <v>1393</v>
      </c>
      <c r="M129" s="326">
        <f>IF(ISNUMBER(SEARCH(ZAKL_DATA!$B$29,N129)),MAX($M$2:M128)+1,0)</f>
        <v>127.0</v>
      </c>
      <c r="N129" s="327" t="s">
        <v>1394</v>
      </c>
      <c r="O129" s="342" t="s">
        <v>1395</v>
      </c>
      <c r="Q129" s="329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327" t="s">
        <v>1394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327" t="s">
        <v>1394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327" t="s">
        <v>1394</v>
      </c>
      <c r="Z129" t="str">
        <f>IFERROR(VLOOKUP(ROWS($Z$3:Z129),$X$3:$Y$992,2,0),"")</f>
        <v>Pěstování vinných hroznů</v>
      </c>
    </row>
    <row r="130" spans="1:26" ht="12.75" customHeight="1">
      <c r="A130" s="303"/>
      <c r="B130" s="303"/>
      <c r="C130" s="303"/>
      <c r="D130" s="319">
        <f>IF(ISNUMBER(SEARCH(ZAKL_DATA!$B$14,E130)),MAX($D$2:D129)+1,0)</f>
        <v>128.0</v>
      </c>
      <c r="E130" s="332" t="s">
        <v>1396</v>
      </c>
      <c r="F130" s="333">
        <v>2901.0</v>
      </c>
      <c r="G130" s="334"/>
      <c r="H130" s="335" t="str">
        <f>IFERROR(VLOOKUP(ROWS($H$3:H130),$D$3:$E$204,2,0),"")</f>
        <v>JIHLAVA</v>
      </c>
      <c r="I130" s="303"/>
      <c r="J130" s="337" t="s">
        <v>1397</v>
      </c>
      <c r="K130" s="325" t="s">
        <v>1398</v>
      </c>
      <c r="M130" s="326">
        <f>IF(ISNUMBER(SEARCH(ZAKL_DATA!$B$29,N130)),MAX($M$2:M129)+1,0)</f>
        <v>128.0</v>
      </c>
      <c r="N130" s="327" t="s">
        <v>1399</v>
      </c>
      <c r="O130" s="342" t="s">
        <v>1400</v>
      </c>
      <c r="Q130" s="329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327" t="s">
        <v>1399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327" t="s">
        <v>1399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327" t="s">
        <v>1399</v>
      </c>
      <c r="Z130" t="str">
        <f>IFERROR(VLOOKUP(ROWS($Z$3:Z130),$X$3:$Y$992,2,0),"")</f>
        <v>Pěstování tropického a subtropického ovoce</v>
      </c>
    </row>
    <row r="131" spans="1:26" ht="12.75" customHeight="1">
      <c r="A131" s="303"/>
      <c r="B131" s="303"/>
      <c r="C131" s="303"/>
      <c r="D131" s="319">
        <f>IF(ISNUMBER(SEARCH(ZAKL_DATA!$B$14,E131)),MAX($D$2:D130)+1,0)</f>
        <v>129.0</v>
      </c>
      <c r="E131" s="332" t="s">
        <v>1401</v>
      </c>
      <c r="F131" s="333">
        <v>2902.0</v>
      </c>
      <c r="G131" s="334"/>
      <c r="H131" s="335" t="str">
        <f>IFERROR(VLOOKUP(ROWS($H$3:H131),$D$3:$E$204,2,0),"")</f>
        <v>BYSTŘICE NAD PERN.</v>
      </c>
      <c r="I131" s="303"/>
      <c r="J131" s="337" t="s">
        <v>1402</v>
      </c>
      <c r="K131" s="325" t="s">
        <v>1403</v>
      </c>
      <c r="M131" s="326">
        <f>IF(ISNUMBER(SEARCH(ZAKL_DATA!$B$29,N131)),MAX($M$2:M130)+1,0)</f>
        <v>129.0</v>
      </c>
      <c r="N131" s="327" t="s">
        <v>1404</v>
      </c>
      <c r="O131" s="342" t="s">
        <v>1405</v>
      </c>
      <c r="Q131" s="329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327" t="s">
        <v>1404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327" t="s">
        <v>1404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327" t="s">
        <v>1404</v>
      </c>
      <c r="Z131" t="str">
        <f>IFERROR(VLOOKUP(ROWS($Z$3:Z131),$X$3:$Y$992,2,0),"")</f>
        <v>Pěstování citrusových plodů</v>
      </c>
    </row>
    <row r="132" spans="1:26" ht="12.75" customHeight="1">
      <c r="A132" s="303"/>
      <c r="B132" s="303"/>
      <c r="C132" s="303"/>
      <c r="D132" s="319">
        <f>IF(ISNUMBER(SEARCH(ZAKL_DATA!$B$14,E132)),MAX($D$2:D131)+1,0)</f>
        <v>130.0</v>
      </c>
      <c r="E132" s="332" t="s">
        <v>1406</v>
      </c>
      <c r="F132" s="333">
        <v>2903.0</v>
      </c>
      <c r="G132" s="334"/>
      <c r="H132" s="335" t="str">
        <f>IFERROR(VLOOKUP(ROWS($H$3:H132),$D$3:$E$204,2,0),"")</f>
        <v>HAVLÍČKŮV BROD</v>
      </c>
      <c r="I132" s="303"/>
      <c r="J132" s="337" t="s">
        <v>1407</v>
      </c>
      <c r="K132" s="325" t="s">
        <v>1408</v>
      </c>
      <c r="M132" s="326">
        <f>IF(ISNUMBER(SEARCH(ZAKL_DATA!$B$29,N132)),MAX($M$2:M131)+1,0)</f>
        <v>130.0</v>
      </c>
      <c r="N132" s="327" t="s">
        <v>1409</v>
      </c>
      <c r="O132" s="342" t="s">
        <v>1410</v>
      </c>
      <c r="Q132" s="329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327" t="s">
        <v>1409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327" t="s">
        <v>1409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327" t="s">
        <v>1409</v>
      </c>
      <c r="Z132" t="str">
        <f>IFERROR(VLOOKUP(ROWS($Z$3:Z132),$X$3:$Y$992,2,0),"")</f>
        <v>Pěstování jádrového a peckového ovoce</v>
      </c>
    </row>
    <row r="133" spans="1:26" ht="12.75" customHeight="1">
      <c r="A133" s="303"/>
      <c r="B133" s="303"/>
      <c r="C133" s="303"/>
      <c r="D133" s="319">
        <f>IF(ISNUMBER(SEARCH(ZAKL_DATA!$B$14,E133)),MAX($D$2:D132)+1,0)</f>
        <v>131.0</v>
      </c>
      <c r="E133" s="332" t="s">
        <v>1411</v>
      </c>
      <c r="F133" s="333">
        <v>2904.0</v>
      </c>
      <c r="G133" s="334"/>
      <c r="H133" s="335" t="str">
        <f>IFERROR(VLOOKUP(ROWS($H$3:H133),$D$3:$E$204,2,0),"")</f>
        <v>HUMPOLEC</v>
      </c>
      <c r="I133" s="303"/>
      <c r="J133" s="340" t="s">
        <v>1412</v>
      </c>
      <c r="K133" s="341" t="s">
        <v>1413</v>
      </c>
      <c r="M133" s="326">
        <f>IF(ISNUMBER(SEARCH(ZAKL_DATA!$B$29,N133)),MAX($M$2:M132)+1,0)</f>
        <v>131.0</v>
      </c>
      <c r="N133" s="327" t="s">
        <v>1414</v>
      </c>
      <c r="O133" s="342" t="s">
        <v>1415</v>
      </c>
      <c r="Q133" s="329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327" t="s">
        <v>1414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327" t="s">
        <v>1414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327" t="s">
        <v>1414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03"/>
      <c r="B134" s="303"/>
      <c r="C134" s="303"/>
      <c r="D134" s="319">
        <f>IF(ISNUMBER(SEARCH(ZAKL_DATA!$B$14,E134)),MAX($D$2:D133)+1,0)</f>
        <v>132.0</v>
      </c>
      <c r="E134" s="332" t="s">
        <v>1416</v>
      </c>
      <c r="F134" s="333">
        <v>2905.0</v>
      </c>
      <c r="G134" s="334"/>
      <c r="H134" s="335" t="str">
        <f>IFERROR(VLOOKUP(ROWS($H$3:H134),$D$3:$E$204,2,0),"")</f>
        <v>CHOTĚBOŘ</v>
      </c>
      <c r="I134" s="303"/>
      <c r="J134" s="337" t="s">
        <v>1417</v>
      </c>
      <c r="K134" s="325" t="s">
        <v>1418</v>
      </c>
      <c r="M134" s="326">
        <f>IF(ISNUMBER(SEARCH(ZAKL_DATA!$B$29,N134)),MAX($M$2:M133)+1,0)</f>
        <v>132.0</v>
      </c>
      <c r="N134" s="327" t="s">
        <v>1419</v>
      </c>
      <c r="O134" s="342" t="s">
        <v>1420</v>
      </c>
      <c r="Q134" s="329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327" t="s">
        <v>1419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327" t="s">
        <v>1419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327" t="s">
        <v>1419</v>
      </c>
      <c r="Z134" t="str">
        <f>IFERROR(VLOOKUP(ROWS($Z$3:Z134),$X$3:$Y$992,2,0),"")</f>
        <v>Pěstování olejnatých plodů</v>
      </c>
    </row>
    <row r="135" spans="1:26" ht="12.75" customHeight="1">
      <c r="A135" s="303"/>
      <c r="B135" s="303"/>
      <c r="C135" s="303"/>
      <c r="D135" s="319">
        <f>IF(ISNUMBER(SEARCH(ZAKL_DATA!$B$14,E135)),MAX($D$2:D134)+1,0)</f>
        <v>133.0</v>
      </c>
      <c r="E135" s="332" t="s">
        <v>1421</v>
      </c>
      <c r="F135" s="333">
        <v>2906.0</v>
      </c>
      <c r="G135" s="334"/>
      <c r="H135" s="335" t="str">
        <f>IFERROR(VLOOKUP(ROWS($H$3:H135),$D$3:$E$204,2,0),"")</f>
        <v>LEDEČ NAD SÁZAVOU</v>
      </c>
      <c r="I135" s="303"/>
      <c r="J135" s="336" t="s">
        <v>1422</v>
      </c>
      <c r="K135" s="325" t="s">
        <v>1423</v>
      </c>
      <c r="M135" s="326">
        <f>IF(ISNUMBER(SEARCH(ZAKL_DATA!$B$29,N135)),MAX($M$2:M134)+1,0)</f>
        <v>133.0</v>
      </c>
      <c r="N135" s="327" t="s">
        <v>1424</v>
      </c>
      <c r="O135" s="342" t="s">
        <v>1425</v>
      </c>
      <c r="Q135" s="329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327" t="s">
        <v>1424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327" t="s">
        <v>1424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327" t="s">
        <v>1424</v>
      </c>
      <c r="Z135" t="str">
        <f>IFERROR(VLOOKUP(ROWS($Z$3:Z135),$X$3:$Y$992,2,0),"")</f>
        <v>Pěstování rostlin pro výrobu nápojů</v>
      </c>
    </row>
    <row r="136" spans="1:26" ht="12.75" customHeight="1">
      <c r="A136" s="303"/>
      <c r="B136" s="303"/>
      <c r="C136" s="303"/>
      <c r="D136" s="319">
        <f>IF(ISNUMBER(SEARCH(ZAKL_DATA!$B$14,E136)),MAX($D$2:D135)+1,0)</f>
        <v>134.0</v>
      </c>
      <c r="E136" s="332" t="s">
        <v>1426</v>
      </c>
      <c r="F136" s="333">
        <v>2907.0</v>
      </c>
      <c r="G136" s="334"/>
      <c r="H136" s="335" t="str">
        <f>IFERROR(VLOOKUP(ROWS($H$3:H136),$D$3:$E$204,2,0),"")</f>
        <v>MORAVSKÉ BUDĚJOVICE</v>
      </c>
      <c r="I136" s="303"/>
      <c r="J136" s="337" t="s">
        <v>1427</v>
      </c>
      <c r="K136" s="325" t="s">
        <v>1428</v>
      </c>
      <c r="M136" s="326">
        <f>IF(ISNUMBER(SEARCH(ZAKL_DATA!$B$29,N136)),MAX($M$2:M135)+1,0)</f>
        <v>134.0</v>
      </c>
      <c r="N136" s="327" t="s">
        <v>1429</v>
      </c>
      <c r="O136" s="342" t="s">
        <v>1430</v>
      </c>
      <c r="Q136" s="329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327" t="s">
        <v>1429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327" t="s">
        <v>1429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327" t="s">
        <v>1429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03"/>
      <c r="B137" s="303"/>
      <c r="C137" s="303"/>
      <c r="D137" s="319">
        <f>IF(ISNUMBER(SEARCH(ZAKL_DATA!$B$14,E137)),MAX($D$2:D136)+1,0)</f>
        <v>135.0</v>
      </c>
      <c r="E137" s="332" t="s">
        <v>1431</v>
      </c>
      <c r="F137" s="333">
        <v>2908.0</v>
      </c>
      <c r="G137" s="334"/>
      <c r="H137" s="335" t="str">
        <f>IFERROR(VLOOKUP(ROWS($H$3:H137),$D$3:$E$204,2,0),"")</f>
        <v>NÁMĚŠŤ NAD OSLAVOU</v>
      </c>
      <c r="I137" s="303"/>
      <c r="J137" s="337" t="s">
        <v>1432</v>
      </c>
      <c r="K137" s="325" t="s">
        <v>1433</v>
      </c>
      <c r="M137" s="326">
        <f>IF(ISNUMBER(SEARCH(ZAKL_DATA!$B$29,N137)),MAX($M$2:M136)+1,0)</f>
        <v>135.0</v>
      </c>
      <c r="N137" s="327" t="s">
        <v>1434</v>
      </c>
      <c r="O137" s="342" t="s">
        <v>1435</v>
      </c>
      <c r="Q137" s="329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327" t="s">
        <v>1434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327" t="s">
        <v>1434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327" t="s">
        <v>1434</v>
      </c>
      <c r="Z137" t="str">
        <f>IFERROR(VLOOKUP(ROWS($Z$3:Z137),$X$3:$Y$992,2,0),"")</f>
        <v>Pěstování ostatních trvalých plodin</v>
      </c>
    </row>
    <row r="138" spans="1:26" ht="12.75" customHeight="1">
      <c r="A138" s="303"/>
      <c r="B138" s="303"/>
      <c r="C138" s="303"/>
      <c r="D138" s="319">
        <f>IF(ISNUMBER(SEARCH(ZAKL_DATA!$B$14,E138)),MAX($D$2:D137)+1,0)</f>
        <v>136.0</v>
      </c>
      <c r="E138" s="332" t="s">
        <v>1436</v>
      </c>
      <c r="F138" s="333">
        <v>2909.0</v>
      </c>
      <c r="G138" s="334"/>
      <c r="H138" s="335" t="str">
        <f>IFERROR(VLOOKUP(ROWS($H$3:H138),$D$3:$E$204,2,0),"")</f>
        <v>PACOV</v>
      </c>
      <c r="I138" s="303"/>
      <c r="J138" s="337" t="s">
        <v>1437</v>
      </c>
      <c r="K138" s="325" t="s">
        <v>1438</v>
      </c>
      <c r="M138" s="326">
        <f>IF(ISNUMBER(SEARCH(ZAKL_DATA!$B$29,N138)),MAX($M$2:M137)+1,0)</f>
        <v>136.0</v>
      </c>
      <c r="N138" s="327" t="s">
        <v>1439</v>
      </c>
      <c r="O138" s="342" t="s">
        <v>1440</v>
      </c>
      <c r="Q138" s="329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327" t="s">
        <v>1439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327" t="s">
        <v>1439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327" t="s">
        <v>1439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03"/>
      <c r="B139" s="303"/>
      <c r="C139" s="303"/>
      <c r="D139" s="319">
        <f>IF(ISNUMBER(SEARCH(ZAKL_DATA!$B$14,E139)),MAX($D$2:D138)+1,0)</f>
        <v>137.0</v>
      </c>
      <c r="E139" s="332" t="s">
        <v>1441</v>
      </c>
      <c r="F139" s="333">
        <v>2910.0</v>
      </c>
      <c r="G139" s="334"/>
      <c r="H139" s="335" t="str">
        <f>IFERROR(VLOOKUP(ROWS($H$3:H139),$D$3:$E$204,2,0),"")</f>
        <v>PELHŘIMOV</v>
      </c>
      <c r="I139" s="303"/>
      <c r="J139" s="337" t="s">
        <v>1442</v>
      </c>
      <c r="K139" s="325" t="s">
        <v>1443</v>
      </c>
      <c r="M139" s="326">
        <f>IF(ISNUMBER(SEARCH(ZAKL_DATA!$B$29,N139)),MAX($M$2:M138)+1,0)</f>
        <v>137.0</v>
      </c>
      <c r="N139" s="327" t="s">
        <v>1444</v>
      </c>
      <c r="O139" s="342" t="s">
        <v>1445</v>
      </c>
      <c r="Q139" s="329" t="str">
        <f>IFERROR(VLOOKUP(ROWS($Q$3:Q139),$M$3:$N$992,2,0),"")</f>
        <v>Tkaní textilií</v>
      </c>
      <c r="R139">
        <f>IF(ISNUMBER(SEARCH('1Př1'!$A$32,N139)),MAX($M$2:M138)+1,0)</f>
        <v>137.0</v>
      </c>
      <c r="S139" s="327" t="s">
        <v>1444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327" t="s">
        <v>1444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327" t="s">
        <v>1444</v>
      </c>
      <c r="Z139" t="str">
        <f>IFERROR(VLOOKUP(ROWS($Z$3:Z139),$X$3:$Y$992,2,0),"")</f>
        <v>Tkaní textilií</v>
      </c>
    </row>
    <row r="140" spans="1:26" ht="12.75" customHeight="1">
      <c r="A140" s="303"/>
      <c r="B140" s="303"/>
      <c r="C140" s="303"/>
      <c r="D140" s="319">
        <f>IF(ISNUMBER(SEARCH(ZAKL_DATA!$B$14,E140)),MAX($D$2:D139)+1,0)</f>
        <v>138.0</v>
      </c>
      <c r="E140" s="332" t="s">
        <v>1446</v>
      </c>
      <c r="F140" s="333">
        <v>2911.0</v>
      </c>
      <c r="G140" s="334"/>
      <c r="H140" s="335" t="str">
        <f>IFERROR(VLOOKUP(ROWS($H$3:H140),$D$3:$E$204,2,0),"")</f>
        <v>TELČ</v>
      </c>
      <c r="I140" s="303"/>
      <c r="J140" s="337" t="s">
        <v>1447</v>
      </c>
      <c r="K140" s="325" t="s">
        <v>1448</v>
      </c>
      <c r="M140" s="326">
        <f>IF(ISNUMBER(SEARCH(ZAKL_DATA!$B$29,N140)),MAX($M$2:M139)+1,0)</f>
        <v>138.0</v>
      </c>
      <c r="N140" s="327" t="s">
        <v>1449</v>
      </c>
      <c r="O140" s="342" t="s">
        <v>1450</v>
      </c>
      <c r="Q140" s="329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327" t="s">
        <v>1449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327" t="s">
        <v>1449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327" t="s">
        <v>1449</v>
      </c>
      <c r="Z140" t="str">
        <f>IFERROR(VLOOKUP(ROWS($Z$3:Z140),$X$3:$Y$992,2,0),"")</f>
        <v>Konečná úprava textilií</v>
      </c>
    </row>
    <row r="141" spans="1:26" ht="12.75" customHeight="1">
      <c r="A141" s="303"/>
      <c r="B141" s="303"/>
      <c r="C141" s="303"/>
      <c r="D141" s="319">
        <f>IF(ISNUMBER(SEARCH(ZAKL_DATA!$B$14,E141)),MAX($D$2:D140)+1,0)</f>
        <v>139.0</v>
      </c>
      <c r="E141" s="332" t="s">
        <v>1451</v>
      </c>
      <c r="F141" s="333">
        <v>2912.0</v>
      </c>
      <c r="G141" s="334"/>
      <c r="H141" s="335" t="str">
        <f>IFERROR(VLOOKUP(ROWS($H$3:H141),$D$3:$E$204,2,0),"")</f>
        <v>TŘEBÍČ</v>
      </c>
      <c r="I141" s="303"/>
      <c r="J141" s="337" t="s">
        <v>1452</v>
      </c>
      <c r="K141" s="325" t="s">
        <v>1453</v>
      </c>
      <c r="M141" s="326">
        <f>IF(ISNUMBER(SEARCH(ZAKL_DATA!$B$29,N141)),MAX($M$2:M140)+1,0)</f>
        <v>139.0</v>
      </c>
      <c r="N141" s="327" t="s">
        <v>1454</v>
      </c>
      <c r="O141" s="342" t="s">
        <v>1455</v>
      </c>
      <c r="Q141" s="329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327" t="s">
        <v>1454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327" t="s">
        <v>1454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327" t="s">
        <v>1454</v>
      </c>
      <c r="Z141" t="str">
        <f>IFERROR(VLOOKUP(ROWS($Z$3:Z141),$X$3:$Y$992,2,0),"")</f>
        <v>Výroba ostatních textilií</v>
      </c>
    </row>
    <row r="142" spans="1:26" ht="12.75" customHeight="1">
      <c r="A142" s="303"/>
      <c r="B142" s="303"/>
      <c r="C142" s="303"/>
      <c r="D142" s="319">
        <f>IF(ISNUMBER(SEARCH(ZAKL_DATA!$B$14,E142)),MAX($D$2:D141)+1,0)</f>
        <v>140.0</v>
      </c>
      <c r="E142" s="332" t="s">
        <v>1456</v>
      </c>
      <c r="F142" s="333">
        <v>2913.0</v>
      </c>
      <c r="G142" s="334"/>
      <c r="H142" s="335" t="str">
        <f>IFERROR(VLOOKUP(ROWS($H$3:H142),$D$3:$E$204,2,0),"")</f>
        <v>VELKÉ MEZIŘÍČÍ</v>
      </c>
      <c r="I142" s="303"/>
      <c r="J142" s="337" t="s">
        <v>1457</v>
      </c>
      <c r="K142" s="325" t="s">
        <v>1458</v>
      </c>
      <c r="M142" s="326">
        <f>IF(ISNUMBER(SEARCH(ZAKL_DATA!$B$29,N142)),MAX($M$2:M141)+1,0)</f>
        <v>140.0</v>
      </c>
      <c r="N142" s="327" t="s">
        <v>1459</v>
      </c>
      <c r="O142" s="342" t="s">
        <v>847</v>
      </c>
      <c r="Q142" s="329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327" t="s">
        <v>1459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327" t="s">
        <v>1459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327" t="s">
        <v>1459</v>
      </c>
      <c r="Z142" t="str">
        <f>IFERROR(VLOOKUP(ROWS($Z$3:Z142),$X$3:$Y$992,2,0),"")</f>
        <v>Pěstování cukrové třtiny</v>
      </c>
    </row>
    <row r="143" spans="1:26" ht="12.75" customHeight="1">
      <c r="A143" s="303"/>
      <c r="B143" s="303"/>
      <c r="C143" s="303"/>
      <c r="D143" s="319">
        <f>IF(ISNUMBER(SEARCH(ZAKL_DATA!$B$14,E143)),MAX($D$2:D142)+1,0)</f>
        <v>141.0</v>
      </c>
      <c r="E143" s="332" t="s">
        <v>1460</v>
      </c>
      <c r="F143" s="333">
        <v>2914.0</v>
      </c>
      <c r="G143" s="334"/>
      <c r="H143" s="335" t="str">
        <f>IFERROR(VLOOKUP(ROWS($H$3:H143),$D$3:$E$204,2,0),"")</f>
        <v>ŽĎÁR NAD SÁZAVOU</v>
      </c>
      <c r="I143" s="303"/>
      <c r="J143" s="337" t="s">
        <v>1461</v>
      </c>
      <c r="K143" s="325" t="s">
        <v>1462</v>
      </c>
      <c r="M143" s="326">
        <f>IF(ISNUMBER(SEARCH(ZAKL_DATA!$B$29,N143)),MAX($M$2:M142)+1,0)</f>
        <v>141.0</v>
      </c>
      <c r="N143" s="327" t="s">
        <v>1463</v>
      </c>
      <c r="O143" s="342" t="s">
        <v>1464</v>
      </c>
      <c r="Q143" s="329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327" t="s">
        <v>1463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327" t="s">
        <v>1463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327" t="s">
        <v>1463</v>
      </c>
      <c r="Z143" t="str">
        <f>IFERROR(VLOOKUP(ROWS($Z$3:Z143),$X$3:$Y$992,2,0),"")</f>
        <v>Výroba oděvů, kromě kožešinových výrobků</v>
      </c>
    </row>
    <row r="144" spans="1:26" ht="12.75" customHeight="1">
      <c r="A144" s="303"/>
      <c r="B144" s="303"/>
      <c r="C144" s="303"/>
      <c r="D144" s="319">
        <f>IF(ISNUMBER(SEARCH(ZAKL_DATA!$B$14,E144)),MAX($D$2:D143)+1,0)</f>
        <v>142.0</v>
      </c>
      <c r="E144" s="332" t="s">
        <v>1465</v>
      </c>
      <c r="F144" s="333">
        <v>3001.0</v>
      </c>
      <c r="G144" s="334"/>
      <c r="H144" s="335" t="str">
        <f>IFERROR(VLOOKUP(ROWS($H$3:H144),$D$3:$E$204,2,0),"")</f>
        <v>BRNO I</v>
      </c>
      <c r="I144" s="303"/>
      <c r="J144" s="337" t="s">
        <v>1466</v>
      </c>
      <c r="K144" s="325" t="s">
        <v>1467</v>
      </c>
      <c r="M144" s="326">
        <f>IF(ISNUMBER(SEARCH(ZAKL_DATA!$B$29,N144)),MAX($M$2:M143)+1,0)</f>
        <v>142.0</v>
      </c>
      <c r="N144" s="327" t="s">
        <v>1468</v>
      </c>
      <c r="O144" s="342" t="s">
        <v>1469</v>
      </c>
      <c r="Q144" s="329" t="str">
        <f>IFERROR(VLOOKUP(ROWS($Q$3:Q144),$M$3:$N$992,2,0),"")</f>
        <v>Chov mléčného skotu</v>
      </c>
      <c r="R144">
        <f>IF(ISNUMBER(SEARCH('1Př1'!$A$32,N144)),MAX($M$2:M143)+1,0)</f>
        <v>142.0</v>
      </c>
      <c r="S144" s="327" t="s">
        <v>1468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327" t="s">
        <v>1468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327" t="s">
        <v>1468</v>
      </c>
      <c r="Z144" t="str">
        <f>IFERROR(VLOOKUP(ROWS($Z$3:Z144),$X$3:$Y$992,2,0),"")</f>
        <v>Chov mléčného skotu</v>
      </c>
    </row>
    <row r="145" spans="1:26" ht="12.75" customHeight="1">
      <c r="A145" s="303"/>
      <c r="B145" s="303"/>
      <c r="C145" s="303"/>
      <c r="D145" s="319">
        <f>IF(ISNUMBER(SEARCH(ZAKL_DATA!$B$14,E145)),MAX($D$2:D144)+1,0)</f>
        <v>143.0</v>
      </c>
      <c r="E145" s="332" t="s">
        <v>1470</v>
      </c>
      <c r="F145" s="333">
        <v>3002.0</v>
      </c>
      <c r="G145" s="334"/>
      <c r="H145" s="335" t="str">
        <f>IFERROR(VLOOKUP(ROWS($H$3:H145),$D$3:$E$204,2,0),"")</f>
        <v>BRNO II</v>
      </c>
      <c r="I145" s="303"/>
      <c r="J145" s="337" t="s">
        <v>1471</v>
      </c>
      <c r="K145" s="325" t="s">
        <v>1472</v>
      </c>
      <c r="M145" s="326">
        <f>IF(ISNUMBER(SEARCH(ZAKL_DATA!$B$29,N145)),MAX($M$2:M144)+1,0)</f>
        <v>143.0</v>
      </c>
      <c r="N145" s="327" t="s">
        <v>1473</v>
      </c>
      <c r="O145" s="342" t="s">
        <v>1474</v>
      </c>
      <c r="Q145" s="329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327" t="s">
        <v>1473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327" t="s">
        <v>1473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327" t="s">
        <v>1473</v>
      </c>
      <c r="Z145" t="str">
        <f>IFERROR(VLOOKUP(ROWS($Z$3:Z145),$X$3:$Y$992,2,0),"")</f>
        <v>Výroba kožešinových výrobků</v>
      </c>
    </row>
    <row r="146" spans="1:26" ht="12.75" customHeight="1">
      <c r="A146" s="303"/>
      <c r="B146" s="303"/>
      <c r="C146" s="303"/>
      <c r="D146" s="319">
        <f>IF(ISNUMBER(SEARCH(ZAKL_DATA!$B$14,E146)),MAX($D$2:D145)+1,0)</f>
        <v>144.0</v>
      </c>
      <c r="E146" s="332" t="s">
        <v>1475</v>
      </c>
      <c r="F146" s="333">
        <v>3003.0</v>
      </c>
      <c r="G146" s="334"/>
      <c r="H146" s="335" t="str">
        <f>IFERROR(VLOOKUP(ROWS($H$3:H146),$D$3:$E$204,2,0),"")</f>
        <v>BRNO III</v>
      </c>
      <c r="I146" s="303"/>
      <c r="J146" s="337" t="s">
        <v>1476</v>
      </c>
      <c r="K146" s="325" t="s">
        <v>1477</v>
      </c>
      <c r="M146" s="326">
        <f>IF(ISNUMBER(SEARCH(ZAKL_DATA!$B$29,N146)),MAX($M$2:M145)+1,0)</f>
        <v>144.0</v>
      </c>
      <c r="N146" s="327" t="s">
        <v>1478</v>
      </c>
      <c r="O146" s="342" t="s">
        <v>1479</v>
      </c>
      <c r="Q146" s="329" t="str">
        <f>IFERROR(VLOOKUP(ROWS($Q$3:Q146),$M$3:$N$992,2,0),"")</f>
        <v>Chov jiného skotu</v>
      </c>
      <c r="R146">
        <f>IF(ISNUMBER(SEARCH('1Př1'!$A$32,N146)),MAX($M$2:M145)+1,0)</f>
        <v>144.0</v>
      </c>
      <c r="S146" s="327" t="s">
        <v>1478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327" t="s">
        <v>1478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327" t="s">
        <v>1478</v>
      </c>
      <c r="Z146" t="str">
        <f>IFERROR(VLOOKUP(ROWS($Z$3:Z146),$X$3:$Y$992,2,0),"")</f>
        <v>Chov jiného skotu</v>
      </c>
    </row>
    <row r="147" spans="1:26" ht="12.75" customHeight="1">
      <c r="A147" s="303"/>
      <c r="B147" s="303"/>
      <c r="C147" s="303"/>
      <c r="D147" s="319">
        <f>IF(ISNUMBER(SEARCH(ZAKL_DATA!$B$14,E147)),MAX($D$2:D146)+1,0)</f>
        <v>145.0</v>
      </c>
      <c r="E147" s="332" t="s">
        <v>1480</v>
      </c>
      <c r="F147" s="333">
        <v>3004.0</v>
      </c>
      <c r="G147" s="334"/>
      <c r="H147" s="335" t="str">
        <f>IFERROR(VLOOKUP(ROWS($H$3:H147),$D$3:$E$204,2,0),"")</f>
        <v>BRNO IV</v>
      </c>
      <c r="I147" s="303"/>
      <c r="J147" s="337" t="s">
        <v>1481</v>
      </c>
      <c r="K147" s="325" t="s">
        <v>1482</v>
      </c>
      <c r="M147" s="326">
        <f>IF(ISNUMBER(SEARCH(ZAKL_DATA!$B$29,N147)),MAX($M$2:M146)+1,0)</f>
        <v>145.0</v>
      </c>
      <c r="N147" s="327" t="s">
        <v>1483</v>
      </c>
      <c r="O147" s="328" t="s">
        <v>1484</v>
      </c>
      <c r="Q147" s="329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327" t="s">
        <v>1483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327" t="s">
        <v>1483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327" t="s">
        <v>1483</v>
      </c>
      <c r="Z147" t="str">
        <f>IFERROR(VLOOKUP(ROWS($Z$3:Z147),$X$3:$Y$992,2,0),"")</f>
        <v>Výroba pletených a háčkovaných oděvů</v>
      </c>
    </row>
    <row r="148" spans="1:26" ht="12.75" customHeight="1">
      <c r="A148" s="303"/>
      <c r="B148" s="303"/>
      <c r="C148" s="303"/>
      <c r="D148" s="319">
        <f>IF(ISNUMBER(SEARCH(ZAKL_DATA!$B$14,E148)),MAX($D$2:D147)+1,0)</f>
        <v>146.0</v>
      </c>
      <c r="E148" s="332" t="s">
        <v>1485</v>
      </c>
      <c r="F148" s="333">
        <v>3005.0</v>
      </c>
      <c r="G148" s="334"/>
      <c r="H148" s="335" t="str">
        <f>IFERROR(VLOOKUP(ROWS($H$3:H148),$D$3:$E$204,2,0),"")</f>
        <v>BRNO VENKOV</v>
      </c>
      <c r="I148" s="303"/>
      <c r="J148" s="337" t="s">
        <v>1486</v>
      </c>
      <c r="K148" s="325" t="s">
        <v>1487</v>
      </c>
      <c r="M148" s="326">
        <f>IF(ISNUMBER(SEARCH(ZAKL_DATA!$B$29,N148)),MAX($M$2:M147)+1,0)</f>
        <v>146.0</v>
      </c>
      <c r="N148" s="327" t="s">
        <v>1488</v>
      </c>
      <c r="O148" s="342" t="s">
        <v>1489</v>
      </c>
      <c r="Q148" s="329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327" t="s">
        <v>1488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327" t="s">
        <v>1488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327" t="s">
        <v>1488</v>
      </c>
      <c r="Z148" t="str">
        <f>IFERROR(VLOOKUP(ROWS($Z$3:Z148),$X$3:$Y$992,2,0),"")</f>
        <v>Chov koní a jiných koňovitých</v>
      </c>
    </row>
    <row r="149" spans="1:26" ht="12.75" customHeight="1">
      <c r="A149" s="303"/>
      <c r="B149" s="303"/>
      <c r="C149" s="303"/>
      <c r="D149" s="319">
        <f>IF(ISNUMBER(SEARCH(ZAKL_DATA!$B$14,E149)),MAX($D$2:D148)+1,0)</f>
        <v>147.0</v>
      </c>
      <c r="E149" s="332" t="s">
        <v>1490</v>
      </c>
      <c r="F149" s="333">
        <v>3006.0</v>
      </c>
      <c r="G149" s="334"/>
      <c r="H149" s="335" t="str">
        <f>IFERROR(VLOOKUP(ROWS($H$3:H149),$D$3:$E$204,2,0),"")</f>
        <v>BLANSKO</v>
      </c>
      <c r="I149" s="303"/>
      <c r="J149" s="337" t="s">
        <v>1491</v>
      </c>
      <c r="K149" s="325" t="s">
        <v>1492</v>
      </c>
      <c r="M149" s="326">
        <f>IF(ISNUMBER(SEARCH(ZAKL_DATA!$B$29,N149)),MAX($M$2:M148)+1,0)</f>
        <v>147.0</v>
      </c>
      <c r="N149" s="327" t="s">
        <v>1493</v>
      </c>
      <c r="O149" s="342" t="s">
        <v>1494</v>
      </c>
      <c r="Q149" s="329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327" t="s">
        <v>1493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327" t="s">
        <v>1493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327" t="s">
        <v>1493</v>
      </c>
      <c r="Z149" t="str">
        <f>IFERROR(VLOOKUP(ROWS($Z$3:Z149),$X$3:$Y$992,2,0),"")</f>
        <v>Chov velbloudů a velbloudovitých</v>
      </c>
    </row>
    <row r="150" spans="1:26" ht="12.75" customHeight="1">
      <c r="A150" s="303"/>
      <c r="B150" s="303"/>
      <c r="C150" s="303"/>
      <c r="D150" s="319">
        <f>IF(ISNUMBER(SEARCH(ZAKL_DATA!$B$14,E150)),MAX($D$2:D149)+1,0)</f>
        <v>148.0</v>
      </c>
      <c r="E150" s="332" t="s">
        <v>1495</v>
      </c>
      <c r="F150" s="333">
        <v>3007.0</v>
      </c>
      <c r="G150" s="334"/>
      <c r="H150" s="335" t="str">
        <f>IFERROR(VLOOKUP(ROWS($H$3:H150),$D$3:$E$204,2,0),"")</f>
        <v>BOSKOVICE</v>
      </c>
      <c r="I150" s="303"/>
      <c r="J150" s="337" t="s">
        <v>1496</v>
      </c>
      <c r="K150" s="325" t="s">
        <v>1497</v>
      </c>
      <c r="M150" s="326">
        <f>IF(ISNUMBER(SEARCH(ZAKL_DATA!$B$29,N150)),MAX($M$2:M149)+1,0)</f>
        <v>148.0</v>
      </c>
      <c r="N150" s="327" t="s">
        <v>1498</v>
      </c>
      <c r="O150" s="342" t="s">
        <v>1499</v>
      </c>
      <c r="Q150" s="329" t="str">
        <f>IFERROR(VLOOKUP(ROWS($Q$3:Q150),$M$3:$N$992,2,0),"")</f>
        <v>Chov ovcí a koz</v>
      </c>
      <c r="R150">
        <f>IF(ISNUMBER(SEARCH('1Př1'!$A$32,N150)),MAX($M$2:M149)+1,0)</f>
        <v>148.0</v>
      </c>
      <c r="S150" s="327" t="s">
        <v>1498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327" t="s">
        <v>1498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327" t="s">
        <v>1498</v>
      </c>
      <c r="Z150" t="str">
        <f>IFERROR(VLOOKUP(ROWS($Z$3:Z150),$X$3:$Y$992,2,0),"")</f>
        <v>Chov ovcí a koz</v>
      </c>
    </row>
    <row r="151" spans="1:26" ht="12.75" customHeight="1">
      <c r="A151" s="303"/>
      <c r="B151" s="303"/>
      <c r="C151" s="303"/>
      <c r="D151" s="319">
        <f>IF(ISNUMBER(SEARCH(ZAKL_DATA!$B$14,E151)),MAX($D$2:D150)+1,0)</f>
        <v>149.0</v>
      </c>
      <c r="E151" s="332" t="s">
        <v>1500</v>
      </c>
      <c r="F151" s="333">
        <v>3008.0</v>
      </c>
      <c r="G151" s="334"/>
      <c r="H151" s="335" t="str">
        <f>IFERROR(VLOOKUP(ROWS($H$3:H151),$D$3:$E$204,2,0),"")</f>
        <v>BŘECLAV</v>
      </c>
      <c r="I151" s="303"/>
      <c r="J151" s="337" t="s">
        <v>1501</v>
      </c>
      <c r="K151" s="325" t="s">
        <v>1502</v>
      </c>
      <c r="M151" s="326">
        <f>IF(ISNUMBER(SEARCH(ZAKL_DATA!$B$29,N151)),MAX($M$2:M150)+1,0)</f>
        <v>149.0</v>
      </c>
      <c r="N151" s="327" t="s">
        <v>1503</v>
      </c>
      <c r="O151" s="342" t="s">
        <v>1504</v>
      </c>
      <c r="Q151" s="329" t="str">
        <f>IFERROR(VLOOKUP(ROWS($Q$3:Q151),$M$3:$N$992,2,0),"")</f>
        <v>Chov prasat</v>
      </c>
      <c r="R151">
        <f>IF(ISNUMBER(SEARCH('1Př1'!$A$32,N151)),MAX($M$2:M150)+1,0)</f>
        <v>149.0</v>
      </c>
      <c r="S151" s="327" t="s">
        <v>1503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327" t="s">
        <v>1503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327" t="s">
        <v>1503</v>
      </c>
      <c r="Z151" t="str">
        <f>IFERROR(VLOOKUP(ROWS($Z$3:Z151),$X$3:$Y$992,2,0),"")</f>
        <v>Chov prasat</v>
      </c>
    </row>
    <row r="152" spans="1:26" ht="12.75" customHeight="1">
      <c r="A152" s="303"/>
      <c r="B152" s="303"/>
      <c r="C152" s="303"/>
      <c r="D152" s="319">
        <f>IF(ISNUMBER(SEARCH(ZAKL_DATA!$B$14,E152)),MAX($D$2:D151)+1,0)</f>
        <v>150.0</v>
      </c>
      <c r="E152" s="332" t="s">
        <v>1505</v>
      </c>
      <c r="F152" s="333">
        <v>3009.0</v>
      </c>
      <c r="G152" s="334"/>
      <c r="H152" s="335" t="str">
        <f>IFERROR(VLOOKUP(ROWS($H$3:H152),$D$3:$E$204,2,0),"")</f>
        <v>BUČOVICE</v>
      </c>
      <c r="I152" s="303"/>
      <c r="J152" s="337" t="s">
        <v>1506</v>
      </c>
      <c r="K152" s="325" t="s">
        <v>1507</v>
      </c>
      <c r="M152" s="326">
        <f>IF(ISNUMBER(SEARCH(ZAKL_DATA!$B$29,N152)),MAX($M$2:M151)+1,0)</f>
        <v>150.0</v>
      </c>
      <c r="N152" s="327" t="s">
        <v>1508</v>
      </c>
      <c r="O152" s="342" t="s">
        <v>1509</v>
      </c>
      <c r="Q152" s="329" t="str">
        <f>IFERROR(VLOOKUP(ROWS($Q$3:Q152),$M$3:$N$992,2,0),"")</f>
        <v>Chov drůbeže</v>
      </c>
      <c r="R152">
        <f>IF(ISNUMBER(SEARCH('1Př1'!$A$32,N152)),MAX($M$2:M151)+1,0)</f>
        <v>150.0</v>
      </c>
      <c r="S152" s="327" t="s">
        <v>1508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327" t="s">
        <v>1508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327" t="s">
        <v>1508</v>
      </c>
      <c r="Z152" t="str">
        <f>IFERROR(VLOOKUP(ROWS($Z$3:Z152),$X$3:$Y$992,2,0),"")</f>
        <v>Chov drůbeže</v>
      </c>
    </row>
    <row r="153" spans="1:26" ht="12.75" customHeight="1">
      <c r="A153" s="303"/>
      <c r="B153" s="303"/>
      <c r="C153" s="303"/>
      <c r="D153" s="319">
        <f>IF(ISNUMBER(SEARCH(ZAKL_DATA!$B$14,E153)),MAX($D$2:D152)+1,0)</f>
        <v>151.0</v>
      </c>
      <c r="E153" s="332" t="s">
        <v>1510</v>
      </c>
      <c r="F153" s="333">
        <v>3010.0</v>
      </c>
      <c r="G153" s="334"/>
      <c r="H153" s="335" t="str">
        <f>IFERROR(VLOOKUP(ROWS($H$3:H153),$D$3:$E$204,2,0),"")</f>
        <v>HODONÍN</v>
      </c>
      <c r="I153" s="303"/>
      <c r="J153" s="337" t="s">
        <v>1511</v>
      </c>
      <c r="K153" s="325" t="s">
        <v>1512</v>
      </c>
      <c r="M153" s="326">
        <f>IF(ISNUMBER(SEARCH(ZAKL_DATA!$B$29,N153)),MAX($M$2:M152)+1,0)</f>
        <v>151.0</v>
      </c>
      <c r="N153" s="327" t="s">
        <v>1513</v>
      </c>
      <c r="O153" s="342" t="s">
        <v>1514</v>
      </c>
      <c r="Q153" s="329" t="str">
        <f>IFERROR(VLOOKUP(ROWS($Q$3:Q153),$M$3:$N$992,2,0),"")</f>
        <v>Chov ostatních zvířat</v>
      </c>
      <c r="R153">
        <f>IF(ISNUMBER(SEARCH('1Př1'!$A$32,N153)),MAX($M$2:M152)+1,0)</f>
        <v>151.0</v>
      </c>
      <c r="S153" s="327" t="s">
        <v>1513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327" t="s">
        <v>1513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327" t="s">
        <v>1513</v>
      </c>
      <c r="Z153" t="str">
        <f>IFERROR(VLOOKUP(ROWS($Z$3:Z153),$X$3:$Y$992,2,0),"")</f>
        <v>Chov ostatních zvířat</v>
      </c>
    </row>
    <row r="154" spans="1:26" ht="12.75" customHeight="1">
      <c r="A154" s="303"/>
      <c r="B154" s="303"/>
      <c r="C154" s="303"/>
      <c r="D154" s="319">
        <f>IF(ISNUMBER(SEARCH(ZAKL_DATA!$B$14,E154)),MAX($D$2:D153)+1,0)</f>
        <v>152.0</v>
      </c>
      <c r="E154" s="332" t="s">
        <v>1515</v>
      </c>
      <c r="F154" s="333">
        <v>3011.0</v>
      </c>
      <c r="G154" s="334"/>
      <c r="H154" s="335" t="str">
        <f>IFERROR(VLOOKUP(ROWS($H$3:H154),$D$3:$E$204,2,0),"")</f>
        <v>HUSTOPEČE</v>
      </c>
      <c r="I154" s="303"/>
      <c r="J154" s="337" t="s">
        <v>1516</v>
      </c>
      <c r="K154" s="325" t="s">
        <v>1517</v>
      </c>
      <c r="M154" s="326">
        <f>IF(ISNUMBER(SEARCH(ZAKL_DATA!$B$29,N154)),MAX($M$2:M153)+1,0)</f>
        <v>152.0</v>
      </c>
      <c r="N154" s="327" t="s">
        <v>1518</v>
      </c>
      <c r="O154" s="342" t="s">
        <v>1519</v>
      </c>
      <c r="Q154" s="329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327" t="s">
        <v>1518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327" t="s">
        <v>1518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327" t="s">
        <v>1518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03"/>
      <c r="B155" s="303"/>
      <c r="C155" s="303"/>
      <c r="D155" s="319">
        <f>IF(ISNUMBER(SEARCH(ZAKL_DATA!$B$14,E155)),MAX($D$2:D154)+1,0)</f>
        <v>153.0</v>
      </c>
      <c r="E155" s="332" t="s">
        <v>1520</v>
      </c>
      <c r="F155" s="333">
        <v>3012.0</v>
      </c>
      <c r="G155" s="334"/>
      <c r="H155" s="335" t="str">
        <f>IFERROR(VLOOKUP(ROWS($H$3:H155),$D$3:$E$204,2,0),"")</f>
        <v>IVANČICE</v>
      </c>
      <c r="I155" s="303"/>
      <c r="J155" s="337" t="s">
        <v>1521</v>
      </c>
      <c r="K155" s="325" t="s">
        <v>1522</v>
      </c>
      <c r="M155" s="326">
        <f>IF(ISNUMBER(SEARCH(ZAKL_DATA!$B$29,N155)),MAX($M$2:M154)+1,0)</f>
        <v>153.0</v>
      </c>
      <c r="N155" s="327" t="s">
        <v>1523</v>
      </c>
      <c r="O155" s="342" t="s">
        <v>1524</v>
      </c>
      <c r="Q155" s="329" t="str">
        <f>IFERROR(VLOOKUP(ROWS($Q$3:Q155),$M$3:$N$992,2,0),"")</f>
        <v>Výroba obuvi</v>
      </c>
      <c r="R155">
        <f>IF(ISNUMBER(SEARCH('1Př1'!$A$32,N155)),MAX($M$2:M154)+1,0)</f>
        <v>153.0</v>
      </c>
      <c r="S155" s="327" t="s">
        <v>1523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327" t="s">
        <v>1523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327" t="s">
        <v>1523</v>
      </c>
      <c r="Z155" t="str">
        <f>IFERROR(VLOOKUP(ROWS($Z$3:Z155),$X$3:$Y$992,2,0),"")</f>
        <v>Výroba obuvi</v>
      </c>
    </row>
    <row r="156" spans="1:26" ht="12.75" customHeight="1">
      <c r="A156" s="303"/>
      <c r="B156" s="303"/>
      <c r="C156" s="303"/>
      <c r="D156" s="319">
        <f>IF(ISNUMBER(SEARCH(ZAKL_DATA!$B$14,E156)),MAX($D$2:D155)+1,0)</f>
        <v>154.0</v>
      </c>
      <c r="E156" s="332" t="s">
        <v>1525</v>
      </c>
      <c r="F156" s="333">
        <v>3013.0</v>
      </c>
      <c r="G156" s="334"/>
      <c r="H156" s="335" t="str">
        <f>IFERROR(VLOOKUP(ROWS($H$3:H156),$D$3:$E$204,2,0),"")</f>
        <v>KYJOV</v>
      </c>
      <c r="I156" s="303"/>
      <c r="J156" s="337" t="s">
        <v>1526</v>
      </c>
      <c r="K156" s="325" t="s">
        <v>1527</v>
      </c>
      <c r="M156" s="326">
        <f>IF(ISNUMBER(SEARCH(ZAKL_DATA!$B$29,N156)),MAX($M$2:M155)+1,0)</f>
        <v>154.0</v>
      </c>
      <c r="N156" s="327" t="s">
        <v>1528</v>
      </c>
      <c r="O156" s="342" t="s">
        <v>1529</v>
      </c>
      <c r="Q156" s="329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327" t="s">
        <v>1528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327" t="s">
        <v>1528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327" t="s">
        <v>1528</v>
      </c>
      <c r="Z156" t="str">
        <f>IFERROR(VLOOKUP(ROWS($Z$3:Z156),$X$3:$Y$992,2,0),"")</f>
        <v>Výroba pilařská a impregnace dřeva</v>
      </c>
    </row>
    <row r="157" spans="1:26" ht="12.75" customHeight="1">
      <c r="A157" s="303"/>
      <c r="B157" s="303"/>
      <c r="C157" s="303"/>
      <c r="D157" s="319">
        <f>IF(ISNUMBER(SEARCH(ZAKL_DATA!$B$14,E157)),MAX($D$2:D156)+1,0)</f>
        <v>155.0</v>
      </c>
      <c r="E157" s="332" t="s">
        <v>1530</v>
      </c>
      <c r="F157" s="333">
        <v>3014.0</v>
      </c>
      <c r="G157" s="334"/>
      <c r="H157" s="335" t="str">
        <f>IFERROR(VLOOKUP(ROWS($H$3:H157),$D$3:$E$204,2,0),"")</f>
        <v>MIKULOV</v>
      </c>
      <c r="I157" s="303"/>
      <c r="J157" s="337" t="s">
        <v>1531</v>
      </c>
      <c r="K157" s="325" t="s">
        <v>1532</v>
      </c>
      <c r="M157" s="326">
        <f>IF(ISNUMBER(SEARCH(ZAKL_DATA!$B$29,N157)),MAX($M$2:M156)+1,0)</f>
        <v>155.0</v>
      </c>
      <c r="N157" s="327" t="s">
        <v>1533</v>
      </c>
      <c r="O157" s="342" t="s">
        <v>1534</v>
      </c>
      <c r="Q157" s="329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327" t="s">
        <v>1533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327" t="s">
        <v>1533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327" t="s">
        <v>1533</v>
      </c>
      <c r="Z157" t="str">
        <f>IFERROR(VLOOKUP(ROWS($Z$3:Z157),$X$3:$Y$992,2,0),"")</f>
        <v>Podpůrné činnosti pro rostlinnou výrobu</v>
      </c>
    </row>
    <row r="158" spans="1:26" ht="12.75" customHeight="1">
      <c r="A158" s="303"/>
      <c r="B158" s="303"/>
      <c r="C158" s="303"/>
      <c r="D158" s="319">
        <f>IF(ISNUMBER(SEARCH(ZAKL_DATA!$B$14,E158)),MAX($D$2:D157)+1,0)</f>
        <v>156.0</v>
      </c>
      <c r="E158" s="332" t="s">
        <v>1535</v>
      </c>
      <c r="F158" s="333">
        <v>3015.0</v>
      </c>
      <c r="G158" s="334"/>
      <c r="H158" s="335" t="str">
        <f>IFERROR(VLOOKUP(ROWS($H$3:H158),$D$3:$E$204,2,0),"")</f>
        <v>MORAVSKÝ KRUMLOV</v>
      </c>
      <c r="I158" s="303"/>
      <c r="J158" s="337" t="s">
        <v>1536</v>
      </c>
      <c r="K158" s="325" t="s">
        <v>1537</v>
      </c>
      <c r="M158" s="326">
        <f>IF(ISNUMBER(SEARCH(ZAKL_DATA!$B$29,N158)),MAX($M$2:M157)+1,0)</f>
        <v>156.0</v>
      </c>
      <c r="N158" s="327" t="s">
        <v>1538</v>
      </c>
      <c r="O158" s="342" t="s">
        <v>1539</v>
      </c>
      <c r="Q158" s="329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327" t="s">
        <v>1538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327" t="s">
        <v>1538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327" t="s">
        <v>1538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03"/>
      <c r="B159" s="303"/>
      <c r="C159" s="303"/>
      <c r="D159" s="319">
        <f>IF(ISNUMBER(SEARCH(ZAKL_DATA!$B$14,E159)),MAX($D$2:D158)+1,0)</f>
        <v>157.0</v>
      </c>
      <c r="E159" s="332" t="s">
        <v>1540</v>
      </c>
      <c r="F159" s="333">
        <v>3016.0</v>
      </c>
      <c r="G159" s="334"/>
      <c r="H159" s="335" t="str">
        <f>IFERROR(VLOOKUP(ROWS($H$3:H159),$D$3:$E$204,2,0),"")</f>
        <v>SLAVKOV U BRNA</v>
      </c>
      <c r="I159" s="303"/>
      <c r="J159" s="337" t="s">
        <v>1541</v>
      </c>
      <c r="K159" s="325" t="s">
        <v>1542</v>
      </c>
      <c r="M159" s="326">
        <f>IF(ISNUMBER(SEARCH(ZAKL_DATA!$B$29,N159)),MAX($M$2:M158)+1,0)</f>
        <v>157.0</v>
      </c>
      <c r="N159" s="327" t="s">
        <v>1543</v>
      </c>
      <c r="O159" s="342" t="s">
        <v>1544</v>
      </c>
      <c r="Q159" s="329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327" t="s">
        <v>1543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327" t="s">
        <v>1543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327" t="s">
        <v>1543</v>
      </c>
      <c r="Z159" t="str">
        <f>IFERROR(VLOOKUP(ROWS($Z$3:Z159),$X$3:$Y$992,2,0),"")</f>
        <v>Podpůrné činnosti pro živočišnou výrobu</v>
      </c>
    </row>
    <row r="160" spans="1:26" ht="12.75" customHeight="1">
      <c r="A160" s="303"/>
      <c r="B160" s="303"/>
      <c r="C160" s="303"/>
      <c r="D160" s="319">
        <f>IF(ISNUMBER(SEARCH(ZAKL_DATA!$B$14,E160)),MAX($D$2:D159)+1,0)</f>
        <v>158.0</v>
      </c>
      <c r="E160" s="332" t="s">
        <v>1545</v>
      </c>
      <c r="F160" s="333">
        <v>3017.0</v>
      </c>
      <c r="G160" s="334"/>
      <c r="H160" s="335" t="str">
        <f>IFERROR(VLOOKUP(ROWS($H$3:H160),$D$3:$E$204,2,0),"")</f>
        <v>TIŠNOV</v>
      </c>
      <c r="I160" s="303"/>
      <c r="J160" s="337" t="s">
        <v>1546</v>
      </c>
      <c r="K160" s="325" t="s">
        <v>1547</v>
      </c>
      <c r="M160" s="326">
        <f>IF(ISNUMBER(SEARCH(ZAKL_DATA!$B$29,N160)),MAX($M$2:M159)+1,0)</f>
        <v>158.0</v>
      </c>
      <c r="N160" s="327" t="s">
        <v>1548</v>
      </c>
      <c r="O160" s="342" t="s">
        <v>1549</v>
      </c>
      <c r="Q160" s="329" t="str">
        <f>IFERROR(VLOOKUP(ROWS($Q$3:Q160),$M$3:$N$992,2,0),"")</f>
        <v>Posklizňové činnosti</v>
      </c>
      <c r="R160">
        <f>IF(ISNUMBER(SEARCH('1Př1'!$A$32,N160)),MAX($M$2:M159)+1,0)</f>
        <v>158.0</v>
      </c>
      <c r="S160" s="327" t="s">
        <v>1548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327" t="s">
        <v>1548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327" t="s">
        <v>1548</v>
      </c>
      <c r="Z160" t="str">
        <f>IFERROR(VLOOKUP(ROWS($Z$3:Z160),$X$3:$Y$992,2,0),"")</f>
        <v>Posklizňové činnosti</v>
      </c>
    </row>
    <row r="161" spans="1:26" ht="12.75" customHeight="1">
      <c r="A161" s="303"/>
      <c r="B161" s="303"/>
      <c r="C161" s="303"/>
      <c r="D161" s="319">
        <f>IF(ISNUMBER(SEARCH(ZAKL_DATA!$B$14,E161)),MAX($D$2:D160)+1,0)</f>
        <v>159.0</v>
      </c>
      <c r="E161" s="332" t="s">
        <v>1550</v>
      </c>
      <c r="F161" s="333">
        <v>3018.0</v>
      </c>
      <c r="G161" s="334"/>
      <c r="H161" s="335" t="str">
        <f>IFERROR(VLOOKUP(ROWS($H$3:H161),$D$3:$E$204,2,0),"")</f>
        <v>VESELÍ NAD MORAVOU</v>
      </c>
      <c r="I161" s="303"/>
      <c r="J161" s="336" t="s">
        <v>1551</v>
      </c>
      <c r="K161" s="325" t="s">
        <v>1552</v>
      </c>
      <c r="M161" s="326">
        <f>IF(ISNUMBER(SEARCH(ZAKL_DATA!$B$29,N161)),MAX($M$2:M160)+1,0)</f>
        <v>159.0</v>
      </c>
      <c r="N161" s="327" t="s">
        <v>1553</v>
      </c>
      <c r="O161" s="342" t="s">
        <v>1554</v>
      </c>
      <c r="Q161" s="329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327" t="s">
        <v>1553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327" t="s">
        <v>1553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327" t="s">
        <v>1553</v>
      </c>
      <c r="Z161" t="str">
        <f>IFERROR(VLOOKUP(ROWS($Z$3:Z161),$X$3:$Y$992,2,0),"")</f>
        <v>Zpracování osiva pro účely množení</v>
      </c>
    </row>
    <row r="162" spans="1:26" ht="12.75" customHeight="1">
      <c r="A162" s="303"/>
      <c r="B162" s="303"/>
      <c r="C162" s="303"/>
      <c r="D162" s="319">
        <f>IF(ISNUMBER(SEARCH(ZAKL_DATA!$B$14,E162)),MAX($D$2:D161)+1,0)</f>
        <v>160.0</v>
      </c>
      <c r="E162" s="332" t="s">
        <v>1555</v>
      </c>
      <c r="F162" s="333">
        <v>3019.0</v>
      </c>
      <c r="G162" s="334"/>
      <c r="H162" s="335" t="str">
        <f>IFERROR(VLOOKUP(ROWS($H$3:H162),$D$3:$E$204,2,0),"")</f>
        <v>VYŠKOV</v>
      </c>
      <c r="I162" s="303"/>
      <c r="J162" s="337" t="s">
        <v>1556</v>
      </c>
      <c r="K162" s="325" t="s">
        <v>1557</v>
      </c>
      <c r="M162" s="326">
        <f>IF(ISNUMBER(SEARCH(ZAKL_DATA!$B$29,N162)),MAX($M$2:M161)+1,0)</f>
        <v>160.0</v>
      </c>
      <c r="N162" s="327" t="s">
        <v>1558</v>
      </c>
      <c r="O162" s="342" t="s">
        <v>1559</v>
      </c>
      <c r="Q162" s="329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327" t="s">
        <v>1558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327" t="s">
        <v>1558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327" t="s">
        <v>1558</v>
      </c>
      <c r="Z162" t="str">
        <f>IFERROR(VLOOKUP(ROWS($Z$3:Z162),$X$3:$Y$992,2,0),"")</f>
        <v>Výroba buničiny, papíru a lepenky</v>
      </c>
    </row>
    <row r="163" spans="1:26" ht="12.75" customHeight="1">
      <c r="A163" s="303"/>
      <c r="B163" s="303"/>
      <c r="C163" s="303"/>
      <c r="D163" s="319">
        <f>IF(ISNUMBER(SEARCH(ZAKL_DATA!$B$14,E163)),MAX($D$2:D162)+1,0)</f>
        <v>161.0</v>
      </c>
      <c r="E163" s="332" t="s">
        <v>1560</v>
      </c>
      <c r="F163" s="333">
        <v>3020.0</v>
      </c>
      <c r="G163" s="334"/>
      <c r="H163" s="335" t="str">
        <f>IFERROR(VLOOKUP(ROWS($H$3:H163),$D$3:$E$204,2,0),"")</f>
        <v>ZNOJMO</v>
      </c>
      <c r="I163" s="303"/>
      <c r="J163" s="337" t="s">
        <v>1561</v>
      </c>
      <c r="K163" s="325" t="s">
        <v>1562</v>
      </c>
      <c r="M163" s="326">
        <f>IF(ISNUMBER(SEARCH(ZAKL_DATA!$B$29,N163)),MAX($M$2:M162)+1,0)</f>
        <v>161.0</v>
      </c>
      <c r="N163" s="327" t="s">
        <v>1563</v>
      </c>
      <c r="O163" s="342" t="s">
        <v>1564</v>
      </c>
      <c r="Q163" s="329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327" t="s">
        <v>1563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327" t="s">
        <v>1563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327" t="s">
        <v>1563</v>
      </c>
      <c r="Z163" t="str">
        <f>IFERROR(VLOOKUP(ROWS($Z$3:Z163),$X$3:$Y$992,2,0),"")</f>
        <v>Výroba výrobků z papíru a lepenky</v>
      </c>
    </row>
    <row r="164" spans="1:26" ht="12.75" customHeight="1">
      <c r="A164" s="303"/>
      <c r="B164" s="303"/>
      <c r="C164" s="303"/>
      <c r="D164" s="319">
        <f>IF(ISNUMBER(SEARCH(ZAKL_DATA!$B$14,E164)),MAX($D$2:D163)+1,0)</f>
        <v>162.0</v>
      </c>
      <c r="E164" s="332" t="s">
        <v>1565</v>
      </c>
      <c r="F164" s="333">
        <v>3101.0</v>
      </c>
      <c r="G164" s="334"/>
      <c r="H164" s="335" t="str">
        <f>IFERROR(VLOOKUP(ROWS($H$3:H164),$D$3:$E$204,2,0),"")</f>
        <v>OLOMOUC</v>
      </c>
      <c r="I164" s="303"/>
      <c r="J164" s="337" t="s">
        <v>1566</v>
      </c>
      <c r="K164" s="325" t="s">
        <v>1567</v>
      </c>
      <c r="M164" s="326">
        <f>IF(ISNUMBER(SEARCH(ZAKL_DATA!$B$29,N164)),MAX($M$2:M163)+1,0)</f>
        <v>162.0</v>
      </c>
      <c r="N164" s="327" t="s">
        <v>1568</v>
      </c>
      <c r="O164" s="342" t="s">
        <v>1569</v>
      </c>
      <c r="Q164" s="329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327" t="s">
        <v>1568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327" t="s">
        <v>1568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327" t="s">
        <v>1568</v>
      </c>
      <c r="Z164" t="str">
        <f>IFERROR(VLOOKUP(ROWS($Z$3:Z164),$X$3:$Y$992,2,0),"")</f>
        <v>Tisk a činnosti související s tiskem</v>
      </c>
    </row>
    <row r="165" spans="1:26" ht="12.75" customHeight="1">
      <c r="A165" s="303"/>
      <c r="B165" s="303"/>
      <c r="C165" s="303"/>
      <c r="D165" s="319">
        <f>IF(ISNUMBER(SEARCH(ZAKL_DATA!$B$14,E165)),MAX($D$2:D164)+1,0)</f>
        <v>163.0</v>
      </c>
      <c r="E165" s="332" t="s">
        <v>1570</v>
      </c>
      <c r="F165" s="333">
        <v>3102.0</v>
      </c>
      <c r="G165" s="334"/>
      <c r="H165" s="335" t="str">
        <f>IFERROR(VLOOKUP(ROWS($H$3:H165),$D$3:$E$204,2,0),"")</f>
        <v>HRANICE</v>
      </c>
      <c r="I165" s="303"/>
      <c r="J165" s="336" t="s">
        <v>1571</v>
      </c>
      <c r="K165" s="325" t="s">
        <v>1572</v>
      </c>
      <c r="M165" s="326">
        <f>IF(ISNUMBER(SEARCH(ZAKL_DATA!$B$29,N165)),MAX($M$2:M164)+1,0)</f>
        <v>163.0</v>
      </c>
      <c r="N165" s="327" t="s">
        <v>1573</v>
      </c>
      <c r="O165" s="342" t="s">
        <v>1574</v>
      </c>
      <c r="Q165" s="329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327" t="s">
        <v>1573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327" t="s">
        <v>1573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327" t="s">
        <v>1573</v>
      </c>
      <c r="Z165" t="str">
        <f>IFERROR(VLOOKUP(ROWS($Z$3:Z165),$X$3:$Y$992,2,0),"")</f>
        <v>Rozmnožování nahraných nosičů</v>
      </c>
    </row>
    <row r="166" spans="1:26" ht="12.75" customHeight="1">
      <c r="A166" s="303"/>
      <c r="B166" s="303"/>
      <c r="C166" s="303"/>
      <c r="D166" s="319">
        <f>IF(ISNUMBER(SEARCH(ZAKL_DATA!$B$14,E166)),MAX($D$2:D165)+1,0)</f>
        <v>164.0</v>
      </c>
      <c r="E166" s="332" t="s">
        <v>1575</v>
      </c>
      <c r="F166" s="333">
        <v>3103.0</v>
      </c>
      <c r="G166" s="334"/>
      <c r="H166" s="335" t="str">
        <f>IFERROR(VLOOKUP(ROWS($H$3:H166),$D$3:$E$204,2,0),"")</f>
        <v>JESENÍK</v>
      </c>
      <c r="I166" s="303"/>
      <c r="J166" s="337" t="s">
        <v>1576</v>
      </c>
      <c r="K166" s="325" t="s">
        <v>1577</v>
      </c>
      <c r="M166" s="326">
        <f>IF(ISNUMBER(SEARCH(ZAKL_DATA!$B$29,N166)),MAX($M$2:M165)+1,0)</f>
        <v>164.0</v>
      </c>
      <c r="N166" s="327" t="s">
        <v>1578</v>
      </c>
      <c r="O166" s="342" t="s">
        <v>1579</v>
      </c>
      <c r="Q166" s="329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327" t="s">
        <v>1578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327" t="s">
        <v>1578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327" t="s">
        <v>1578</v>
      </c>
      <c r="Z166" t="str">
        <f>IFERROR(VLOOKUP(ROWS($Z$3:Z166),$X$3:$Y$992,2,0),"")</f>
        <v>Výroba koksárenských produktů</v>
      </c>
    </row>
    <row r="167" spans="1:26" ht="12.75" customHeight="1">
      <c r="A167" s="303"/>
      <c r="B167" s="303"/>
      <c r="C167" s="303"/>
      <c r="D167" s="319">
        <f>IF(ISNUMBER(SEARCH(ZAKL_DATA!$B$14,E167)),MAX($D$2:D166)+1,0)</f>
        <v>165.0</v>
      </c>
      <c r="E167" s="332" t="s">
        <v>1580</v>
      </c>
      <c r="F167" s="333">
        <v>3104.0</v>
      </c>
      <c r="G167" s="334"/>
      <c r="H167" s="335" t="str">
        <f>IFERROR(VLOOKUP(ROWS($H$3:H167),$D$3:$E$204,2,0),"")</f>
        <v>KONICE</v>
      </c>
      <c r="I167" s="303"/>
      <c r="J167" s="337" t="s">
        <v>1581</v>
      </c>
      <c r="K167" s="325" t="s">
        <v>1582</v>
      </c>
      <c r="M167" s="326">
        <f>IF(ISNUMBER(SEARCH(ZAKL_DATA!$B$29,N167)),MAX($M$2:M166)+1,0)</f>
        <v>165.0</v>
      </c>
      <c r="N167" s="327" t="s">
        <v>1583</v>
      </c>
      <c r="O167" s="342" t="s">
        <v>1584</v>
      </c>
      <c r="Q167" s="329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327" t="s">
        <v>1583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327" t="s">
        <v>1583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327" t="s">
        <v>1583</v>
      </c>
      <c r="Z167" t="str">
        <f>IFERROR(VLOOKUP(ROWS($Z$3:Z167),$X$3:$Y$992,2,0),"")</f>
        <v>Výroba rafinovaných ropných produktů</v>
      </c>
    </row>
    <row r="168" spans="1:26" ht="12.75" customHeight="1">
      <c r="A168" s="303"/>
      <c r="B168" s="303"/>
      <c r="C168" s="303"/>
      <c r="D168" s="319">
        <f>IF(ISNUMBER(SEARCH(ZAKL_DATA!$B$14,E168)),MAX($D$2:D167)+1,0)</f>
        <v>166.0</v>
      </c>
      <c r="E168" s="332" t="s">
        <v>1585</v>
      </c>
      <c r="F168" s="333">
        <v>3105.0</v>
      </c>
      <c r="G168" s="334"/>
      <c r="H168" s="335" t="str">
        <f>IFERROR(VLOOKUP(ROWS($H$3:H168),$D$3:$E$204,2,0),"")</f>
        <v>LITOVEL</v>
      </c>
      <c r="I168" s="303"/>
      <c r="J168" s="337" t="s">
        <v>1586</v>
      </c>
      <c r="K168" s="325" t="s">
        <v>1587</v>
      </c>
      <c r="M168" s="326">
        <f>IF(ISNUMBER(SEARCH(ZAKL_DATA!$B$29,N168)),MAX($M$2:M167)+1,0)</f>
        <v>166.0</v>
      </c>
      <c r="N168" s="327" t="s">
        <v>1588</v>
      </c>
      <c r="O168" s="328" t="s">
        <v>1589</v>
      </c>
      <c r="Q168" s="329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327" t="s">
        <v>1588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327" t="s">
        <v>1588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327" t="s">
        <v>1588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03"/>
      <c r="B169" s="303"/>
      <c r="C169" s="303"/>
      <c r="D169" s="319">
        <f>IF(ISNUMBER(SEARCH(ZAKL_DATA!$B$14,E169)),MAX($D$2:D168)+1,0)</f>
        <v>167.0</v>
      </c>
      <c r="E169" s="332" t="s">
        <v>1590</v>
      </c>
      <c r="F169" s="333">
        <v>3106.0</v>
      </c>
      <c r="G169" s="334"/>
      <c r="H169" s="335" t="str">
        <f>IFERROR(VLOOKUP(ROWS($H$3:H169),$D$3:$E$204,2,0),"")</f>
        <v>PROSTĚJOV</v>
      </c>
      <c r="I169" s="303"/>
      <c r="J169" s="337" t="s">
        <v>1591</v>
      </c>
      <c r="K169" s="325" t="s">
        <v>1592</v>
      </c>
      <c r="M169" s="326">
        <f>IF(ISNUMBER(SEARCH(ZAKL_DATA!$B$29,N169)),MAX($M$2:M168)+1,0)</f>
        <v>167.0</v>
      </c>
      <c r="N169" s="327" t="s">
        <v>1593</v>
      </c>
      <c r="O169" s="328" t="s">
        <v>1594</v>
      </c>
      <c r="Q169" s="329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327" t="s">
        <v>1593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327" t="s">
        <v>1593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327" t="s">
        <v>1593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03"/>
      <c r="B170" s="303"/>
      <c r="C170" s="303"/>
      <c r="D170" s="319">
        <f>IF(ISNUMBER(SEARCH(ZAKL_DATA!$B$14,E170)),MAX($D$2:D169)+1,0)</f>
        <v>168.0</v>
      </c>
      <c r="E170" s="332" t="s">
        <v>1595</v>
      </c>
      <c r="F170" s="333">
        <v>3107.0</v>
      </c>
      <c r="G170" s="334"/>
      <c r="H170" s="335" t="str">
        <f>IFERROR(VLOOKUP(ROWS($H$3:H170),$D$3:$E$204,2,0),"")</f>
        <v>PŘEROV</v>
      </c>
      <c r="I170" s="303"/>
      <c r="J170" s="337" t="s">
        <v>1596</v>
      </c>
      <c r="K170" s="325" t="s">
        <v>1597</v>
      </c>
      <c r="M170" s="326">
        <f>IF(ISNUMBER(SEARCH(ZAKL_DATA!$B$29,N170)),MAX($M$2:M169)+1,0)</f>
        <v>168.0</v>
      </c>
      <c r="N170" s="327" t="s">
        <v>1598</v>
      </c>
      <c r="O170" s="328" t="s">
        <v>1599</v>
      </c>
      <c r="Q170" s="329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327" t="s">
        <v>1598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327" t="s">
        <v>1598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327" t="s">
        <v>1598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03"/>
      <c r="B171" s="303"/>
      <c r="C171" s="303"/>
      <c r="D171" s="319">
        <f>IF(ISNUMBER(SEARCH(ZAKL_DATA!$B$14,E171)),MAX($D$2:D170)+1,0)</f>
        <v>169.0</v>
      </c>
      <c r="E171" s="332" t="s">
        <v>1600</v>
      </c>
      <c r="F171" s="333">
        <v>3108.0</v>
      </c>
      <c r="G171" s="334"/>
      <c r="H171" s="335" t="str">
        <f>IFERROR(VLOOKUP(ROWS($H$3:H171),$D$3:$E$204,2,0),"")</f>
        <v>ŠTERNBERK</v>
      </c>
      <c r="I171" s="303"/>
      <c r="J171" s="337" t="s">
        <v>1601</v>
      </c>
      <c r="K171" s="325" t="s">
        <v>1602</v>
      </c>
      <c r="M171" s="326">
        <f>IF(ISNUMBER(SEARCH(ZAKL_DATA!$B$29,N171)),MAX($M$2:M170)+1,0)</f>
        <v>169.0</v>
      </c>
      <c r="N171" s="327" t="s">
        <v>1603</v>
      </c>
      <c r="O171" s="328" t="s">
        <v>1604</v>
      </c>
      <c r="Q171" s="329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327" t="s">
        <v>1603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327" t="s">
        <v>1603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327" t="s">
        <v>1603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03"/>
      <c r="B172" s="303"/>
      <c r="C172" s="303"/>
      <c r="D172" s="319">
        <f>IF(ISNUMBER(SEARCH(ZAKL_DATA!$B$14,E172)),MAX($D$2:D171)+1,0)</f>
        <v>170.0</v>
      </c>
      <c r="E172" s="332" t="s">
        <v>1605</v>
      </c>
      <c r="F172" s="333">
        <v>3109.0</v>
      </c>
      <c r="G172" s="334"/>
      <c r="H172" s="335" t="str">
        <f>IFERROR(VLOOKUP(ROWS($H$3:H172),$D$3:$E$204,2,0),"")</f>
        <v>ŠUMPERK</v>
      </c>
      <c r="I172" s="303"/>
      <c r="J172" s="337" t="s">
        <v>1606</v>
      </c>
      <c r="K172" s="325" t="s">
        <v>1607</v>
      </c>
      <c r="M172" s="326">
        <f>IF(ISNUMBER(SEARCH(ZAKL_DATA!$B$29,N172)),MAX($M$2:M171)+1,0)</f>
        <v>170.0</v>
      </c>
      <c r="N172" s="327" t="s">
        <v>1608</v>
      </c>
      <c r="O172" s="342" t="s">
        <v>1609</v>
      </c>
      <c r="Q172" s="329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327" t="s">
        <v>1608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327" t="s">
        <v>1608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327" t="s">
        <v>1608</v>
      </c>
      <c r="Z172" t="str">
        <f>IFERROR(VLOOKUP(ROWS($Z$3:Z172),$X$3:$Y$992,2,0),"")</f>
        <v>Výroba ostatních chemických výrobků</v>
      </c>
    </row>
    <row r="173" spans="1:26" ht="12.75" customHeight="1">
      <c r="A173" s="303"/>
      <c r="B173" s="303"/>
      <c r="C173" s="303"/>
      <c r="D173" s="319">
        <f>IF(ISNUMBER(SEARCH(ZAKL_DATA!$B$14,E173)),MAX($D$2:D172)+1,0)</f>
        <v>171.0</v>
      </c>
      <c r="E173" s="332" t="s">
        <v>1610</v>
      </c>
      <c r="F173" s="333">
        <v>3110.0</v>
      </c>
      <c r="G173" s="334"/>
      <c r="H173" s="335" t="str">
        <f>IFERROR(VLOOKUP(ROWS($H$3:H173),$D$3:$E$204,2,0),"")</f>
        <v>ZÁBŘEH</v>
      </c>
      <c r="I173" s="303"/>
      <c r="J173" s="337" t="s">
        <v>1611</v>
      </c>
      <c r="K173" s="325" t="s">
        <v>1612</v>
      </c>
      <c r="M173" s="326">
        <f>IF(ISNUMBER(SEARCH(ZAKL_DATA!$B$29,N173)),MAX($M$2:M172)+1,0)</f>
        <v>171.0</v>
      </c>
      <c r="N173" s="327" t="s">
        <v>1613</v>
      </c>
      <c r="O173" s="328" t="s">
        <v>1614</v>
      </c>
      <c r="Q173" s="329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327" t="s">
        <v>1613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327" t="s">
        <v>1613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327" t="s">
        <v>1613</v>
      </c>
      <c r="Z173" t="str">
        <f>IFERROR(VLOOKUP(ROWS($Z$3:Z173),$X$3:$Y$992,2,0),"")</f>
        <v>Výroba chemických vláken</v>
      </c>
    </row>
    <row r="174" spans="1:26" ht="12.75" customHeight="1">
      <c r="A174" s="303"/>
      <c r="B174" s="303"/>
      <c r="C174" s="303"/>
      <c r="D174" s="319">
        <f>IF(ISNUMBER(SEARCH(ZAKL_DATA!$B$14,E174)),MAX($D$2:D173)+1,0)</f>
        <v>172.0</v>
      </c>
      <c r="E174" s="332" t="s">
        <v>1615</v>
      </c>
      <c r="F174" s="333">
        <v>3201.0</v>
      </c>
      <c r="G174" s="334"/>
      <c r="H174" s="335" t="str">
        <f>IFERROR(VLOOKUP(ROWS($H$3:H174),$D$3:$E$204,2,0),"")</f>
        <v>OSTRAVA I</v>
      </c>
      <c r="I174" s="303"/>
      <c r="J174" s="337" t="s">
        <v>1616</v>
      </c>
      <c r="K174" s="325" t="s">
        <v>1617</v>
      </c>
      <c r="M174" s="326">
        <f>IF(ISNUMBER(SEARCH(ZAKL_DATA!$B$29,N174)),MAX($M$2:M173)+1,0)</f>
        <v>172.0</v>
      </c>
      <c r="N174" s="327" t="s">
        <v>1618</v>
      </c>
      <c r="O174" s="342" t="s">
        <v>1619</v>
      </c>
      <c r="Q174" s="329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327" t="s">
        <v>1618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327" t="s">
        <v>1618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327" t="s">
        <v>1618</v>
      </c>
      <c r="Z174" t="str">
        <f>IFERROR(VLOOKUP(ROWS($Z$3:Z174),$X$3:$Y$992,2,0),"")</f>
        <v>Výroba základních farmaceutických výrobků</v>
      </c>
    </row>
    <row r="175" spans="1:26" ht="12.75" customHeight="1">
      <c r="A175" s="303"/>
      <c r="B175" s="303"/>
      <c r="C175" s="303"/>
      <c r="D175" s="319">
        <f>IF(ISNUMBER(SEARCH(ZAKL_DATA!$B$14,E175)),MAX($D$2:D174)+1,0)</f>
        <v>173.0</v>
      </c>
      <c r="E175" s="332" t="s">
        <v>1620</v>
      </c>
      <c r="F175" s="333">
        <v>3202.0</v>
      </c>
      <c r="G175" s="334"/>
      <c r="H175" s="335" t="str">
        <f>IFERROR(VLOOKUP(ROWS($H$3:H175),$D$3:$E$204,2,0),"")</f>
        <v>OSTRAVA II</v>
      </c>
      <c r="I175" s="303"/>
      <c r="J175" s="337" t="s">
        <v>1621</v>
      </c>
      <c r="K175" s="325" t="s">
        <v>1622</v>
      </c>
      <c r="M175" s="326">
        <f>IF(ISNUMBER(SEARCH(ZAKL_DATA!$B$29,N175)),MAX($M$2:M174)+1,0)</f>
        <v>173.0</v>
      </c>
      <c r="N175" s="327" t="s">
        <v>1623</v>
      </c>
      <c r="O175" s="328" t="s">
        <v>1624</v>
      </c>
      <c r="Q175" s="329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327" t="s">
        <v>1623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327" t="s">
        <v>1623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327" t="s">
        <v>1623</v>
      </c>
      <c r="Z175" t="str">
        <f>IFERROR(VLOOKUP(ROWS($Z$3:Z175),$X$3:$Y$992,2,0),"")</f>
        <v>Výroba farmaceutických přípravků</v>
      </c>
    </row>
    <row r="176" spans="1:26" ht="12.75" customHeight="1">
      <c r="A176" s="303"/>
      <c r="B176" s="303"/>
      <c r="C176" s="303"/>
      <c r="D176" s="319">
        <f>IF(ISNUMBER(SEARCH(ZAKL_DATA!$B$14,E176)),MAX($D$2:D175)+1,0)</f>
        <v>174.0</v>
      </c>
      <c r="E176" s="332" t="s">
        <v>1625</v>
      </c>
      <c r="F176" s="333">
        <v>3203.0</v>
      </c>
      <c r="G176" s="334"/>
      <c r="H176" s="335" t="str">
        <f>IFERROR(VLOOKUP(ROWS($H$3:H176),$D$3:$E$204,2,0),"")</f>
        <v>OSTRAVA III</v>
      </c>
      <c r="I176" s="303"/>
      <c r="J176" s="337" t="s">
        <v>1626</v>
      </c>
      <c r="K176" s="325" t="s">
        <v>1627</v>
      </c>
      <c r="M176" s="326">
        <f>IF(ISNUMBER(SEARCH(ZAKL_DATA!$B$29,N176)),MAX($M$2:M175)+1,0)</f>
        <v>174.0</v>
      </c>
      <c r="N176" s="327" t="s">
        <v>1628</v>
      </c>
      <c r="O176" s="342" t="s">
        <v>1629</v>
      </c>
      <c r="Q176" s="329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327" t="s">
        <v>1628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327" t="s">
        <v>1628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327" t="s">
        <v>1628</v>
      </c>
      <c r="Z176" t="str">
        <f>IFERROR(VLOOKUP(ROWS($Z$3:Z176),$X$3:$Y$992,2,0),"")</f>
        <v>Výroba pryžových výrobků</v>
      </c>
    </row>
    <row r="177" spans="1:26" ht="12.75" customHeight="1">
      <c r="A177" s="303"/>
      <c r="B177" s="303"/>
      <c r="C177" s="303"/>
      <c r="D177" s="319">
        <f>IF(ISNUMBER(SEARCH(ZAKL_DATA!$B$14,E177)),MAX($D$2:D176)+1,0)</f>
        <v>175.0</v>
      </c>
      <c r="E177" s="332" t="s">
        <v>1630</v>
      </c>
      <c r="F177" s="333">
        <v>3204.0</v>
      </c>
      <c r="G177" s="334"/>
      <c r="H177" s="335" t="str">
        <f>IFERROR(VLOOKUP(ROWS($H$3:H177),$D$3:$E$204,2,0),"")</f>
        <v>BOHUMÍN</v>
      </c>
      <c r="I177" s="303"/>
      <c r="J177" s="337" t="s">
        <v>1631</v>
      </c>
      <c r="K177" s="325" t="s">
        <v>1632</v>
      </c>
      <c r="M177" s="326">
        <f>IF(ISNUMBER(SEARCH(ZAKL_DATA!$B$29,N177)),MAX($M$2:M176)+1,0)</f>
        <v>175.0</v>
      </c>
      <c r="N177" s="327" t="s">
        <v>1633</v>
      </c>
      <c r="O177" s="328" t="s">
        <v>1634</v>
      </c>
      <c r="Q177" s="329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327" t="s">
        <v>1633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327" t="s">
        <v>1633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327" t="s">
        <v>1633</v>
      </c>
      <c r="Z177" t="str">
        <f>IFERROR(VLOOKUP(ROWS($Z$3:Z177),$X$3:$Y$992,2,0),"")</f>
        <v>Výroba plastových výrobků</v>
      </c>
    </row>
    <row r="178" spans="1:26" ht="12.75" customHeight="1">
      <c r="A178" s="303"/>
      <c r="B178" s="303"/>
      <c r="C178" s="303"/>
      <c r="D178" s="319">
        <f>IF(ISNUMBER(SEARCH(ZAKL_DATA!$B$14,E178)),MAX($D$2:D177)+1,0)</f>
        <v>176.0</v>
      </c>
      <c r="E178" s="332" t="s">
        <v>1635</v>
      </c>
      <c r="F178" s="333">
        <v>3205.0</v>
      </c>
      <c r="G178" s="334"/>
      <c r="H178" s="335" t="str">
        <f>IFERROR(VLOOKUP(ROWS($H$3:H178),$D$3:$E$204,2,0),"")</f>
        <v>BRUNTÁL</v>
      </c>
      <c r="I178" s="303"/>
      <c r="J178" s="337" t="s">
        <v>1636</v>
      </c>
      <c r="K178" s="325" t="s">
        <v>1637</v>
      </c>
      <c r="M178" s="326">
        <f>IF(ISNUMBER(SEARCH(ZAKL_DATA!$B$29,N178)),MAX($M$2:M177)+1,0)</f>
        <v>176.0</v>
      </c>
      <c r="N178" s="327" t="s">
        <v>1638</v>
      </c>
      <c r="O178" s="342" t="s">
        <v>1639</v>
      </c>
      <c r="Q178" s="329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327" t="s">
        <v>1638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327" t="s">
        <v>1638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327" t="s">
        <v>1638</v>
      </c>
      <c r="Z178" t="str">
        <f>IFERROR(VLOOKUP(ROWS($Z$3:Z178),$X$3:$Y$992,2,0),"")</f>
        <v>Výroba skla a skleněných výrobků</v>
      </c>
    </row>
    <row r="179" spans="1:26" ht="12.75" customHeight="1">
      <c r="A179" s="303"/>
      <c r="B179" s="303"/>
      <c r="C179" s="303"/>
      <c r="D179" s="319">
        <f>IF(ISNUMBER(SEARCH(ZAKL_DATA!$B$14,E179)),MAX($D$2:D178)+1,0)</f>
        <v>177.0</v>
      </c>
      <c r="E179" s="332" t="s">
        <v>1640</v>
      </c>
      <c r="F179" s="333">
        <v>3206.0</v>
      </c>
      <c r="G179" s="334"/>
      <c r="H179" s="335" t="str">
        <f>IFERROR(VLOOKUP(ROWS($H$3:H179),$D$3:$E$204,2,0),"")</f>
        <v>ČESKÝ TĚŠÍN</v>
      </c>
      <c r="I179" s="303"/>
      <c r="J179" s="337" t="s">
        <v>1641</v>
      </c>
      <c r="K179" s="325" t="s">
        <v>1642</v>
      </c>
      <c r="M179" s="326">
        <f>IF(ISNUMBER(SEARCH(ZAKL_DATA!$B$29,N179)),MAX($M$2:M178)+1,0)</f>
        <v>177.0</v>
      </c>
      <c r="N179" s="327" t="s">
        <v>1643</v>
      </c>
      <c r="O179" s="342" t="s">
        <v>1644</v>
      </c>
      <c r="Q179" s="329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327" t="s">
        <v>1643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327" t="s">
        <v>1643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327" t="s">
        <v>1643</v>
      </c>
      <c r="Z179" t="str">
        <f>IFERROR(VLOOKUP(ROWS($Z$3:Z179),$X$3:$Y$992,2,0),"")</f>
        <v>Výroba žáruvzdorných výrobků</v>
      </c>
    </row>
    <row r="180" spans="1:26" ht="12.75" customHeight="1">
      <c r="A180" s="303"/>
      <c r="B180" s="303"/>
      <c r="C180" s="303"/>
      <c r="D180" s="319">
        <f>IF(ISNUMBER(SEARCH(ZAKL_DATA!$B$14,E180)),MAX($D$2:D179)+1,0)</f>
        <v>178.0</v>
      </c>
      <c r="E180" s="332" t="s">
        <v>1645</v>
      </c>
      <c r="F180" s="333">
        <v>3207.0</v>
      </c>
      <c r="G180" s="334"/>
      <c r="H180" s="335" t="str">
        <f>IFERROR(VLOOKUP(ROWS($H$3:H180),$D$3:$E$204,2,0),"")</f>
        <v>FRÝDEK-MÍSTEK</v>
      </c>
      <c r="I180" s="303"/>
      <c r="J180" s="337" t="s">
        <v>1646</v>
      </c>
      <c r="K180" s="325" t="s">
        <v>1647</v>
      </c>
      <c r="M180" s="326">
        <f>IF(ISNUMBER(SEARCH(ZAKL_DATA!$B$29,N180)),MAX($M$2:M179)+1,0)</f>
        <v>178.0</v>
      </c>
      <c r="N180" s="327" t="s">
        <v>1648</v>
      </c>
      <c r="O180" s="342" t="s">
        <v>1649</v>
      </c>
      <c r="Q180" s="329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327" t="s">
        <v>1648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327" t="s">
        <v>1648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327" t="s">
        <v>1648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03"/>
      <c r="B181" s="303"/>
      <c r="C181" s="303"/>
      <c r="D181" s="319">
        <f>IF(ISNUMBER(SEARCH(ZAKL_DATA!$B$14,E181)),MAX($D$2:D180)+1,0)</f>
        <v>179.0</v>
      </c>
      <c r="E181" s="332" t="s">
        <v>1650</v>
      </c>
      <c r="F181" s="333">
        <v>3208.0</v>
      </c>
      <c r="G181" s="334"/>
      <c r="H181" s="335" t="str">
        <f>IFERROR(VLOOKUP(ROWS($H$3:H181),$D$3:$E$204,2,0),"")</f>
        <v>FRÝDLANT NAD OSTRAV.</v>
      </c>
      <c r="I181" s="303"/>
      <c r="J181" s="337" t="s">
        <v>1651</v>
      </c>
      <c r="K181" s="325" t="s">
        <v>1652</v>
      </c>
      <c r="M181" s="326">
        <f>IF(ISNUMBER(SEARCH(ZAKL_DATA!$B$29,N181)),MAX($M$2:M180)+1,0)</f>
        <v>179.0</v>
      </c>
      <c r="N181" s="327" t="s">
        <v>1653</v>
      </c>
      <c r="O181" s="342" t="s">
        <v>1654</v>
      </c>
      <c r="Q181" s="329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327" t="s">
        <v>1653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327" t="s">
        <v>1653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327" t="s">
        <v>1653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03"/>
      <c r="B182" s="303"/>
      <c r="C182" s="303"/>
      <c r="D182" s="319">
        <f>IF(ISNUMBER(SEARCH(ZAKL_DATA!$B$14,E182)),MAX($D$2:D181)+1,0)</f>
        <v>180.0</v>
      </c>
      <c r="E182" s="332" t="s">
        <v>1655</v>
      </c>
      <c r="F182" s="333">
        <v>3209.0</v>
      </c>
      <c r="G182" s="334"/>
      <c r="H182" s="335" t="str">
        <f>IFERROR(VLOOKUP(ROWS($H$3:H182),$D$3:$E$204,2,0),"")</f>
        <v>FULNEK</v>
      </c>
      <c r="I182" s="303"/>
      <c r="J182" s="337" t="s">
        <v>1656</v>
      </c>
      <c r="K182" s="325" t="s">
        <v>1657</v>
      </c>
      <c r="M182" s="326">
        <f>IF(ISNUMBER(SEARCH(ZAKL_DATA!$B$29,N182)),MAX($M$2:M181)+1,0)</f>
        <v>180.0</v>
      </c>
      <c r="N182" s="327" t="s">
        <v>1658</v>
      </c>
      <c r="O182" s="342" t="s">
        <v>1659</v>
      </c>
      <c r="Q182" s="329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327" t="s">
        <v>1658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327" t="s">
        <v>1658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327" t="s">
        <v>1658</v>
      </c>
      <c r="Z182" t="str">
        <f>IFERROR(VLOOKUP(ROWS($Z$3:Z182),$X$3:$Y$992,2,0),"")</f>
        <v>Výroba cementu, vápna a sádry</v>
      </c>
    </row>
    <row r="183" spans="1:26" ht="12.75" customHeight="1">
      <c r="A183" s="303"/>
      <c r="B183" s="303"/>
      <c r="C183" s="303"/>
      <c r="D183" s="319">
        <f>IF(ISNUMBER(SEARCH(ZAKL_DATA!$B$14,E183)),MAX($D$2:D182)+1,0)</f>
        <v>181.0</v>
      </c>
      <c r="E183" s="332" t="s">
        <v>1660</v>
      </c>
      <c r="F183" s="333">
        <v>3210.0</v>
      </c>
      <c r="G183" s="334"/>
      <c r="H183" s="335" t="str">
        <f>IFERROR(VLOOKUP(ROWS($H$3:H183),$D$3:$E$204,2,0),"")</f>
        <v>HAVÍŘOV</v>
      </c>
      <c r="I183" s="303"/>
      <c r="J183" s="337" t="s">
        <v>1661</v>
      </c>
      <c r="K183" s="325" t="s">
        <v>1662</v>
      </c>
      <c r="M183" s="326">
        <f>IF(ISNUMBER(SEARCH(ZAKL_DATA!$B$29,N183)),MAX($M$2:M182)+1,0)</f>
        <v>181.0</v>
      </c>
      <c r="N183" s="327" t="s">
        <v>1663</v>
      </c>
      <c r="O183" s="342" t="s">
        <v>1664</v>
      </c>
      <c r="Q183" s="329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327" t="s">
        <v>1663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327" t="s">
        <v>1663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327" t="s">
        <v>1663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03"/>
      <c r="B184" s="303"/>
      <c r="C184" s="303"/>
      <c r="D184" s="319">
        <f>IF(ISNUMBER(SEARCH(ZAKL_DATA!$B$14,E184)),MAX($D$2:D183)+1,0)</f>
        <v>182.0</v>
      </c>
      <c r="E184" s="332" t="s">
        <v>1665</v>
      </c>
      <c r="F184" s="333">
        <v>3211.0</v>
      </c>
      <c r="G184" s="334"/>
      <c r="H184" s="335" t="str">
        <f>IFERROR(VLOOKUP(ROWS($H$3:H184),$D$3:$E$204,2,0),"")</f>
        <v>HLUČÍN</v>
      </c>
      <c r="I184" s="303"/>
      <c r="J184" s="337" t="s">
        <v>1666</v>
      </c>
      <c r="K184" s="325" t="s">
        <v>1667</v>
      </c>
      <c r="M184" s="326">
        <f>IF(ISNUMBER(SEARCH(ZAKL_DATA!$B$29,N184)),MAX($M$2:M183)+1,0)</f>
        <v>182.0</v>
      </c>
      <c r="N184" s="327" t="s">
        <v>1668</v>
      </c>
      <c r="O184" s="342" t="s">
        <v>1669</v>
      </c>
      <c r="Q184" s="329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327" t="s">
        <v>1668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327" t="s">
        <v>1668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327" t="s">
        <v>1668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03"/>
      <c r="B185" s="303"/>
      <c r="C185" s="303"/>
      <c r="D185" s="319">
        <f>IF(ISNUMBER(SEARCH(ZAKL_DATA!$B$14,E185)),MAX($D$2:D184)+1,0)</f>
        <v>183.0</v>
      </c>
      <c r="E185" s="332" t="s">
        <v>1670</v>
      </c>
      <c r="F185" s="333">
        <v>3212.0</v>
      </c>
      <c r="G185" s="334"/>
      <c r="H185" s="335" t="str">
        <f>IFERROR(VLOOKUP(ROWS($H$3:H185),$D$3:$E$204,2,0),"")</f>
        <v>KARVINÁ</v>
      </c>
      <c r="I185" s="303"/>
      <c r="J185" s="337" t="s">
        <v>1671</v>
      </c>
      <c r="K185" s="325" t="s">
        <v>1672</v>
      </c>
      <c r="M185" s="326">
        <f>IF(ISNUMBER(SEARCH(ZAKL_DATA!$B$29,N185)),MAX($M$2:M184)+1,0)</f>
        <v>183.0</v>
      </c>
      <c r="N185" s="327" t="s">
        <v>1673</v>
      </c>
      <c r="O185" s="328" t="s">
        <v>1674</v>
      </c>
      <c r="Q185" s="329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327" t="s">
        <v>1673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327" t="s">
        <v>1673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327" t="s">
        <v>1673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03"/>
      <c r="B186" s="303"/>
      <c r="C186" s="303"/>
      <c r="D186" s="319">
        <f>IF(ISNUMBER(SEARCH(ZAKL_DATA!$B$14,E186)),MAX($D$2:D185)+1,0)</f>
        <v>184.0</v>
      </c>
      <c r="E186" s="332" t="s">
        <v>1675</v>
      </c>
      <c r="F186" s="333">
        <v>3213.0</v>
      </c>
      <c r="G186" s="334"/>
      <c r="H186" s="335" t="str">
        <f>IFERROR(VLOOKUP(ROWS($H$3:H186),$D$3:$E$204,2,0),"")</f>
        <v>KOPŘIVNICE</v>
      </c>
      <c r="I186" s="303"/>
      <c r="J186" s="337" t="s">
        <v>1676</v>
      </c>
      <c r="K186" s="325" t="s">
        <v>1677</v>
      </c>
      <c r="M186" s="326">
        <f>IF(ISNUMBER(SEARCH(ZAKL_DATA!$B$29,N186)),MAX($M$2:M185)+1,0)</f>
        <v>184.0</v>
      </c>
      <c r="N186" s="327" t="s">
        <v>1678</v>
      </c>
      <c r="O186" s="328" t="s">
        <v>1679</v>
      </c>
      <c r="Q186" s="329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327" t="s">
        <v>1678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327" t="s">
        <v>1678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327" t="s">
        <v>1678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03"/>
      <c r="B187" s="303"/>
      <c r="C187" s="303"/>
      <c r="D187" s="319">
        <f>IF(ISNUMBER(SEARCH(ZAKL_DATA!$B$14,E187)),MAX($D$2:D186)+1,0)</f>
        <v>185.0</v>
      </c>
      <c r="E187" s="332" t="s">
        <v>1680</v>
      </c>
      <c r="F187" s="333">
        <v>3214.0</v>
      </c>
      <c r="G187" s="334"/>
      <c r="H187" s="335" t="str">
        <f>IFERROR(VLOOKUP(ROWS($H$3:H187),$D$3:$E$204,2,0),"")</f>
        <v>KRNOV</v>
      </c>
      <c r="I187" s="303"/>
      <c r="J187" s="337" t="s">
        <v>1681</v>
      </c>
      <c r="K187" s="325" t="s">
        <v>1682</v>
      </c>
      <c r="M187" s="326">
        <f>IF(ISNUMBER(SEARCH(ZAKL_DATA!$B$29,N187)),MAX($M$2:M186)+1,0)</f>
        <v>185.0</v>
      </c>
      <c r="N187" s="327" t="s">
        <v>1683</v>
      </c>
      <c r="O187" s="342" t="s">
        <v>1684</v>
      </c>
      <c r="Q187" s="329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327" t="s">
        <v>1683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327" t="s">
        <v>1683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327" t="s">
        <v>1683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03"/>
      <c r="B188" s="303"/>
      <c r="C188" s="303"/>
      <c r="D188" s="319">
        <f>IF(ISNUMBER(SEARCH(ZAKL_DATA!$B$14,E188)),MAX($D$2:D187)+1,0)</f>
        <v>186.0</v>
      </c>
      <c r="E188" s="332" t="s">
        <v>1685</v>
      </c>
      <c r="F188" s="333">
        <v>3215.0</v>
      </c>
      <c r="G188" s="334"/>
      <c r="H188" s="335" t="str">
        <f>IFERROR(VLOOKUP(ROWS($H$3:H188),$D$3:$E$204,2,0),"")</f>
        <v>NOVÝ JIČÍN</v>
      </c>
      <c r="I188" s="303"/>
      <c r="J188" s="337" t="s">
        <v>1686</v>
      </c>
      <c r="K188" s="325" t="s">
        <v>1687</v>
      </c>
      <c r="M188" s="326">
        <f>IF(ISNUMBER(SEARCH(ZAKL_DATA!$B$29,N188)),MAX($M$2:M187)+1,0)</f>
        <v>186.0</v>
      </c>
      <c r="N188" s="327" t="s">
        <v>1688</v>
      </c>
      <c r="O188" s="328" t="s">
        <v>1689</v>
      </c>
      <c r="Q188" s="329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327" t="s">
        <v>1688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327" t="s">
        <v>1688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327" t="s">
        <v>1688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03"/>
      <c r="B189" s="303"/>
      <c r="C189" s="303"/>
      <c r="D189" s="319">
        <f>IF(ISNUMBER(SEARCH(ZAKL_DATA!$B$14,E189)),MAX($D$2:D188)+1,0)</f>
        <v>187.0</v>
      </c>
      <c r="E189" s="332" t="s">
        <v>1690</v>
      </c>
      <c r="F189" s="333">
        <v>3216.0</v>
      </c>
      <c r="G189" s="334"/>
      <c r="H189" s="335" t="str">
        <f>IFERROR(VLOOKUP(ROWS($H$3:H189),$D$3:$E$204,2,0),"")</f>
        <v>OPAVA</v>
      </c>
      <c r="I189" s="303"/>
      <c r="J189" s="337" t="s">
        <v>1691</v>
      </c>
      <c r="K189" s="325" t="s">
        <v>1692</v>
      </c>
      <c r="M189" s="326">
        <f>IF(ISNUMBER(SEARCH(ZAKL_DATA!$B$29,N189)),MAX($M$2:M188)+1,0)</f>
        <v>187.0</v>
      </c>
      <c r="N189" s="327" t="s">
        <v>1693</v>
      </c>
      <c r="O189" s="342" t="s">
        <v>1694</v>
      </c>
      <c r="Q189" s="329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327" t="s">
        <v>1693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327" t="s">
        <v>1693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327" t="s">
        <v>1693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03"/>
      <c r="B190" s="303"/>
      <c r="C190" s="303"/>
      <c r="D190" s="319">
        <f>IF(ISNUMBER(SEARCH(ZAKL_DATA!$B$14,E190)),MAX($D$2:D189)+1,0)</f>
        <v>188.0</v>
      </c>
      <c r="E190" s="332" t="s">
        <v>1695</v>
      </c>
      <c r="F190" s="333">
        <v>3217.0</v>
      </c>
      <c r="G190" s="334"/>
      <c r="H190" s="335" t="str">
        <f>IFERROR(VLOOKUP(ROWS($H$3:H190),$D$3:$E$204,2,0),"")</f>
        <v>ORLOVÁ</v>
      </c>
      <c r="I190" s="303"/>
      <c r="J190" s="337" t="s">
        <v>1696</v>
      </c>
      <c r="K190" s="325" t="s">
        <v>1697</v>
      </c>
      <c r="M190" s="326">
        <f>IF(ISNUMBER(SEARCH(ZAKL_DATA!$B$29,N190)),MAX($M$2:M189)+1,0)</f>
        <v>188.0</v>
      </c>
      <c r="N190" s="327" t="s">
        <v>1698</v>
      </c>
      <c r="O190" s="328" t="s">
        <v>1699</v>
      </c>
      <c r="Q190" s="329" t="str">
        <f>IFERROR(VLOOKUP(ROWS($Q$3:Q190),$M$3:$N$992,2,0),"")</f>
        <v>Slévárenství</v>
      </c>
      <c r="R190">
        <f>IF(ISNUMBER(SEARCH('1Př1'!$A$32,N190)),MAX($M$2:M189)+1,0)</f>
        <v>188.0</v>
      </c>
      <c r="S190" s="327" t="s">
        <v>1698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327" t="s">
        <v>1698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327" t="s">
        <v>1698</v>
      </c>
      <c r="Z190" t="str">
        <f>IFERROR(VLOOKUP(ROWS($Z$3:Z190),$X$3:$Y$992,2,0),"")</f>
        <v>Slévárenství</v>
      </c>
    </row>
    <row r="191" spans="1:26" ht="12.75" customHeight="1">
      <c r="A191" s="303"/>
      <c r="B191" s="303"/>
      <c r="C191" s="303"/>
      <c r="D191" s="319">
        <f>IF(ISNUMBER(SEARCH(ZAKL_DATA!$B$14,E191)),MAX($D$2:D190)+1,0)</f>
        <v>189.0</v>
      </c>
      <c r="E191" s="332" t="s">
        <v>1700</v>
      </c>
      <c r="F191" s="333">
        <v>3218.0</v>
      </c>
      <c r="G191" s="334"/>
      <c r="H191" s="335" t="str">
        <f>IFERROR(VLOOKUP(ROWS($H$3:H191),$D$3:$E$204,2,0),"")</f>
        <v>TŘINEC</v>
      </c>
      <c r="I191" s="303"/>
      <c r="J191" s="337" t="s">
        <v>1701</v>
      </c>
      <c r="K191" s="325" t="s">
        <v>1702</v>
      </c>
      <c r="M191" s="326">
        <f>IF(ISNUMBER(SEARCH(ZAKL_DATA!$B$29,N191)),MAX($M$2:M190)+1,0)</f>
        <v>189.0</v>
      </c>
      <c r="N191" s="327" t="s">
        <v>1703</v>
      </c>
      <c r="O191" s="342" t="s">
        <v>1704</v>
      </c>
      <c r="Q191" s="329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327" t="s">
        <v>1703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327" t="s">
        <v>1703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327" t="s">
        <v>1703</v>
      </c>
      <c r="Z191" t="str">
        <f>IFERROR(VLOOKUP(ROWS($Z$3:Z191),$X$3:$Y$992,2,0),"")</f>
        <v>Výroba konstrukčních kovových výrobků</v>
      </c>
    </row>
    <row r="192" spans="1:26" ht="12.75" customHeight="1">
      <c r="A192" s="303"/>
      <c r="B192" s="303"/>
      <c r="C192" s="303"/>
      <c r="D192" s="319">
        <f>IF(ISNUMBER(SEARCH(ZAKL_DATA!$B$14,E192)),MAX($D$2:D191)+1,0)</f>
        <v>190.0</v>
      </c>
      <c r="E192" s="332" t="s">
        <v>1705</v>
      </c>
      <c r="F192" s="333">
        <v>3301.0</v>
      </c>
      <c r="G192" s="334"/>
      <c r="H192" s="335" t="str">
        <f>IFERROR(VLOOKUP(ROWS($H$3:H192),$D$3:$E$204,2,0),"")</f>
        <v>ZLÍN</v>
      </c>
      <c r="I192" s="303"/>
      <c r="J192" s="337" t="s">
        <v>1706</v>
      </c>
      <c r="K192" s="325" t="s">
        <v>1707</v>
      </c>
      <c r="M192" s="326">
        <f>IF(ISNUMBER(SEARCH(ZAKL_DATA!$B$29,N192)),MAX($M$2:M191)+1,0)</f>
        <v>190.0</v>
      </c>
      <c r="N192" s="327" t="s">
        <v>1708</v>
      </c>
      <c r="O192" s="342" t="s">
        <v>1709</v>
      </c>
      <c r="Q192" s="329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327" t="s">
        <v>1708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327" t="s">
        <v>1708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327" t="s">
        <v>1708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03"/>
      <c r="B193" s="303"/>
      <c r="C193" s="303"/>
      <c r="D193" s="319">
        <f>IF(ISNUMBER(SEARCH(ZAKL_DATA!$B$14,E193)),MAX($D$2:D192)+1,0)</f>
        <v>191.0</v>
      </c>
      <c r="E193" s="332" t="s">
        <v>1710</v>
      </c>
      <c r="F193" s="333">
        <v>3302.0</v>
      </c>
      <c r="G193" s="334"/>
      <c r="H193" s="335" t="str">
        <f>IFERROR(VLOOKUP(ROWS($H$3:H193),$D$3:$E$204,2,0),"")</f>
        <v>BYSTŘICE POD HOSTÝNEM</v>
      </c>
      <c r="I193" s="303"/>
      <c r="J193" s="337" t="s">
        <v>1711</v>
      </c>
      <c r="K193" s="325" t="s">
        <v>1712</v>
      </c>
      <c r="M193" s="326">
        <f>IF(ISNUMBER(SEARCH(ZAKL_DATA!$B$29,N193)),MAX($M$2:M192)+1,0)</f>
        <v>191.0</v>
      </c>
      <c r="N193" s="327" t="s">
        <v>1713</v>
      </c>
      <c r="O193" s="342" t="s">
        <v>1714</v>
      </c>
      <c r="Q193" s="329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327" t="s">
        <v>1713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327" t="s">
        <v>1713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327" t="s">
        <v>1713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03"/>
      <c r="B194" s="303"/>
      <c r="C194" s="303"/>
      <c r="D194" s="319">
        <f>IF(ISNUMBER(SEARCH(ZAKL_DATA!$B$14,E194)),MAX($D$2:D193)+1,0)</f>
        <v>192.0</v>
      </c>
      <c r="E194" s="332" t="s">
        <v>1715</v>
      </c>
      <c r="F194" s="333">
        <v>3303.0</v>
      </c>
      <c r="G194" s="334"/>
      <c r="H194" s="335" t="str">
        <f>IFERROR(VLOOKUP(ROWS($H$3:H194),$D$3:$E$204,2,0),"")</f>
        <v>HOLEŠOV</v>
      </c>
      <c r="I194" s="303"/>
      <c r="J194" s="337" t="s">
        <v>1716</v>
      </c>
      <c r="K194" s="325" t="s">
        <v>1717</v>
      </c>
      <c r="M194" s="326">
        <f>IF(ISNUMBER(SEARCH(ZAKL_DATA!$B$29,N194)),MAX($M$2:M193)+1,0)</f>
        <v>192.0</v>
      </c>
      <c r="N194" s="327" t="s">
        <v>1718</v>
      </c>
      <c r="O194" s="342" t="s">
        <v>1719</v>
      </c>
      <c r="Q194" s="329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327" t="s">
        <v>1718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327" t="s">
        <v>1718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327" t="s">
        <v>1718</v>
      </c>
      <c r="Z194" t="str">
        <f>IFERROR(VLOOKUP(ROWS($Z$3:Z194),$X$3:$Y$992,2,0),"")</f>
        <v>Výroba zbraní a střeliva</v>
      </c>
    </row>
    <row r="195" spans="1:26" ht="12.75" customHeight="1">
      <c r="A195" s="303"/>
      <c r="B195" s="303"/>
      <c r="C195" s="303"/>
      <c r="D195" s="319">
        <f>IF(ISNUMBER(SEARCH(ZAKL_DATA!$B$14,E195)),MAX($D$2:D194)+1,0)</f>
        <v>193.0</v>
      </c>
      <c r="E195" s="332" t="s">
        <v>1720</v>
      </c>
      <c r="F195" s="333">
        <v>3304.0</v>
      </c>
      <c r="G195" s="334"/>
      <c r="H195" s="335" t="str">
        <f>IFERROR(VLOOKUP(ROWS($H$3:H195),$D$3:$E$204,2,0),"")</f>
        <v>KROMĚŘÍŽ</v>
      </c>
      <c r="I195" s="303"/>
      <c r="J195" s="337" t="s">
        <v>1721</v>
      </c>
      <c r="K195" s="325" t="s">
        <v>1722</v>
      </c>
      <c r="M195" s="326">
        <f>IF(ISNUMBER(SEARCH(ZAKL_DATA!$B$29,N195)),MAX($M$2:M194)+1,0)</f>
        <v>193.0</v>
      </c>
      <c r="N195" s="327" t="s">
        <v>1723</v>
      </c>
      <c r="O195" s="328" t="s">
        <v>1724</v>
      </c>
      <c r="Q195" s="329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327" t="s">
        <v>1723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327" t="s">
        <v>1723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327" t="s">
        <v>1723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03"/>
      <c r="B196" s="303"/>
      <c r="C196" s="303"/>
      <c r="D196" s="319">
        <f>IF(ISNUMBER(SEARCH(ZAKL_DATA!$B$14,E196)),MAX($D$2:D195)+1,0)</f>
        <v>194.0</v>
      </c>
      <c r="E196" s="332" t="s">
        <v>1725</v>
      </c>
      <c r="F196" s="333">
        <v>3305.0</v>
      </c>
      <c r="G196" s="334"/>
      <c r="H196" s="335" t="str">
        <f>IFERROR(VLOOKUP(ROWS($H$3:H196),$D$3:$E$204,2,0),"")</f>
        <v>LUHAČOVICE</v>
      </c>
      <c r="I196" s="303"/>
      <c r="J196" s="337" t="s">
        <v>1726</v>
      </c>
      <c r="K196" s="325" t="s">
        <v>1727</v>
      </c>
      <c r="M196" s="326">
        <f>IF(ISNUMBER(SEARCH(ZAKL_DATA!$B$29,N196)),MAX($M$2:M195)+1,0)</f>
        <v>194.0</v>
      </c>
      <c r="N196" s="327" t="s">
        <v>1728</v>
      </c>
      <c r="O196" s="328" t="s">
        <v>1729</v>
      </c>
      <c r="Q196" s="329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327" t="s">
        <v>1728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327" t="s">
        <v>1728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327" t="s">
        <v>1728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03"/>
      <c r="B197" s="303"/>
      <c r="C197" s="303"/>
      <c r="D197" s="319">
        <f>IF(ISNUMBER(SEARCH(ZAKL_DATA!$B$14,E197)),MAX($D$2:D196)+1,0)</f>
        <v>195.0</v>
      </c>
      <c r="E197" s="332" t="s">
        <v>1730</v>
      </c>
      <c r="F197" s="333">
        <v>3306.0</v>
      </c>
      <c r="G197" s="334"/>
      <c r="H197" s="335" t="str">
        <f>IFERROR(VLOOKUP(ROWS($H$3:H197),$D$3:$E$204,2,0),"")</f>
        <v>OTROKOVICE</v>
      </c>
      <c r="I197" s="303"/>
      <c r="J197" s="337" t="s">
        <v>1731</v>
      </c>
      <c r="K197" s="325" t="s">
        <v>1732</v>
      </c>
      <c r="M197" s="326">
        <f>IF(ISNUMBER(SEARCH(ZAKL_DATA!$B$29,N197)),MAX($M$2:M196)+1,0)</f>
        <v>195.0</v>
      </c>
      <c r="N197" s="327" t="s">
        <v>1733</v>
      </c>
      <c r="O197" s="328" t="s">
        <v>1734</v>
      </c>
      <c r="Q197" s="329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327" t="s">
        <v>1733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327" t="s">
        <v>1733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327" t="s">
        <v>1733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03"/>
      <c r="B198" s="303"/>
      <c r="C198" s="303"/>
      <c r="D198" s="319">
        <f>IF(ISNUMBER(SEARCH(ZAKL_DATA!$B$14,E198)),MAX($D$2:D197)+1,0)</f>
        <v>196.0</v>
      </c>
      <c r="E198" s="332" t="s">
        <v>1735</v>
      </c>
      <c r="F198" s="333">
        <v>3307.0</v>
      </c>
      <c r="G198" s="334"/>
      <c r="H198" s="335" t="str">
        <f>IFERROR(VLOOKUP(ROWS($H$3:H198),$D$3:$E$204,2,0),"")</f>
        <v>ROŽNOV POD RADH.</v>
      </c>
      <c r="I198" s="303"/>
      <c r="J198" s="337" t="s">
        <v>1736</v>
      </c>
      <c r="K198" s="325" t="s">
        <v>1737</v>
      </c>
      <c r="M198" s="326">
        <f>IF(ISNUMBER(SEARCH(ZAKL_DATA!$B$29,N198)),MAX($M$2:M197)+1,0)</f>
        <v>196.0</v>
      </c>
      <c r="N198" s="327" t="s">
        <v>1738</v>
      </c>
      <c r="O198" s="328" t="s">
        <v>1739</v>
      </c>
      <c r="Q198" s="329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327" t="s">
        <v>1738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327" t="s">
        <v>1738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327" t="s">
        <v>1738</v>
      </c>
      <c r="Z198" t="str">
        <f>IFERROR(VLOOKUP(ROWS($Z$3:Z198),$X$3:$Y$992,2,0),"")</f>
        <v>Výroba ostatních kovodělných výrobků</v>
      </c>
    </row>
    <row r="199" spans="1:26" ht="12.75" customHeight="1">
      <c r="A199" s="303"/>
      <c r="B199" s="303"/>
      <c r="C199" s="303"/>
      <c r="D199" s="319">
        <f>IF(ISNUMBER(SEARCH(ZAKL_DATA!$B$14,E199)),MAX($D$2:D198)+1,0)</f>
        <v>197.0</v>
      </c>
      <c r="E199" s="332" t="s">
        <v>1740</v>
      </c>
      <c r="F199" s="333">
        <v>3308.0</v>
      </c>
      <c r="G199" s="334"/>
      <c r="H199" s="335" t="str">
        <f>IFERROR(VLOOKUP(ROWS($H$3:H199),$D$3:$E$204,2,0),"")</f>
        <v>UHERSKÝ BROD</v>
      </c>
      <c r="I199" s="303"/>
      <c r="J199" s="337" t="s">
        <v>1741</v>
      </c>
      <c r="K199" s="325" t="s">
        <v>1742</v>
      </c>
      <c r="M199" s="326">
        <f>IF(ISNUMBER(SEARCH(ZAKL_DATA!$B$29,N199)),MAX($M$2:M198)+1,0)</f>
        <v>197.0</v>
      </c>
      <c r="N199" s="327" t="s">
        <v>1743</v>
      </c>
      <c r="O199" s="328" t="s">
        <v>1744</v>
      </c>
      <c r="Q199" s="329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327" t="s">
        <v>1743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327" t="s">
        <v>1743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327" t="s">
        <v>1743</v>
      </c>
      <c r="Z199" t="str">
        <f>IFERROR(VLOOKUP(ROWS($Z$3:Z199),$X$3:$Y$992,2,0),"")</f>
        <v>Výroba elektronických součástek a desek</v>
      </c>
    </row>
    <row r="200" spans="1:26" ht="12.75" customHeight="1">
      <c r="A200" s="303"/>
      <c r="B200" s="303"/>
      <c r="C200" s="303"/>
      <c r="D200" s="319">
        <f>IF(ISNUMBER(SEARCH(ZAKL_DATA!$B$14,E200)),MAX($D$2:D199)+1,0)</f>
        <v>198.0</v>
      </c>
      <c r="E200" s="332" t="s">
        <v>1745</v>
      </c>
      <c r="F200" s="333">
        <v>3309.0</v>
      </c>
      <c r="G200" s="334"/>
      <c r="H200" s="335" t="str">
        <f>IFERROR(VLOOKUP(ROWS($H$3:H200),$D$3:$E$204,2,0),"")</f>
        <v>UHERSKÉ HRADIŠTĚ</v>
      </c>
      <c r="I200" s="303"/>
      <c r="J200" s="337" t="s">
        <v>1746</v>
      </c>
      <c r="K200" s="325" t="s">
        <v>1747</v>
      </c>
      <c r="M200" s="326">
        <f>IF(ISNUMBER(SEARCH(ZAKL_DATA!$B$29,N200)),MAX($M$2:M199)+1,0)</f>
        <v>198.0</v>
      </c>
      <c r="N200" s="327" t="s">
        <v>1748</v>
      </c>
      <c r="O200" s="328" t="s">
        <v>1749</v>
      </c>
      <c r="Q200" s="329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327" t="s">
        <v>1748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327" t="s">
        <v>1748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327" t="s">
        <v>1748</v>
      </c>
      <c r="Z200" t="str">
        <f>IFERROR(VLOOKUP(ROWS($Z$3:Z200),$X$3:$Y$992,2,0),"")</f>
        <v>Výroba počítačů a periferních zařízení</v>
      </c>
    </row>
    <row r="201" spans="1:26" ht="12.75" customHeight="1">
      <c r="A201" s="303"/>
      <c r="B201" s="303"/>
      <c r="C201" s="303"/>
      <c r="D201" s="319">
        <f>IF(ISNUMBER(SEARCH(ZAKL_DATA!$B$14,E201)),MAX($D$2:D200)+1,0)</f>
        <v>199.0</v>
      </c>
      <c r="E201" s="332" t="s">
        <v>1750</v>
      </c>
      <c r="F201" s="333">
        <v>3310.0</v>
      </c>
      <c r="G201" s="334"/>
      <c r="H201" s="335" t="str">
        <f>IFERROR(VLOOKUP(ROWS($H$3:H201),$D$3:$E$204,2,0),"")</f>
        <v>VALAŠSKÉ MEZIŘÍČÍ</v>
      </c>
      <c r="I201" s="303"/>
      <c r="J201" s="337" t="s">
        <v>1751</v>
      </c>
      <c r="K201" s="325" t="s">
        <v>1752</v>
      </c>
      <c r="M201" s="326">
        <f>IF(ISNUMBER(SEARCH(ZAKL_DATA!$B$29,N201)),MAX($M$2:M200)+1,0)</f>
        <v>199.0</v>
      </c>
      <c r="N201" s="327" t="s">
        <v>1753</v>
      </c>
      <c r="O201" s="342" t="s">
        <v>1754</v>
      </c>
      <c r="Q201" s="329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327" t="s">
        <v>1753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327" t="s">
        <v>1753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327" t="s">
        <v>1753</v>
      </c>
      <c r="Z201" t="str">
        <f>IFERROR(VLOOKUP(ROWS($Z$3:Z201),$X$3:$Y$992,2,0),"")</f>
        <v>Výroba komunikačních zařízení</v>
      </c>
    </row>
    <row r="202" spans="1:26" ht="12.75" customHeight="1">
      <c r="A202" s="303"/>
      <c r="B202" s="303"/>
      <c r="C202" s="303"/>
      <c r="D202" s="319">
        <f>IF(ISNUMBER(SEARCH(ZAKL_DATA!$B$14,E202)),MAX($D$2:D201)+1,0)</f>
        <v>200.0</v>
      </c>
      <c r="E202" s="332" t="s">
        <v>1755</v>
      </c>
      <c r="F202" s="333">
        <v>3311.0</v>
      </c>
      <c r="G202" s="334"/>
      <c r="H202" s="335" t="str">
        <f>IFERROR(VLOOKUP(ROWS($H$3:H202),$D$3:$E$204,2,0),"")</f>
        <v>VALAŠSKÉ KLOBOUKY</v>
      </c>
      <c r="I202" s="303"/>
      <c r="J202" s="337" t="s">
        <v>1756</v>
      </c>
      <c r="K202" s="325" t="s">
        <v>1757</v>
      </c>
      <c r="M202" s="326">
        <f>IF(ISNUMBER(SEARCH(ZAKL_DATA!$B$29,N202)),MAX($M$2:M201)+1,0)</f>
        <v>200.0</v>
      </c>
      <c r="N202" s="327" t="s">
        <v>1758</v>
      </c>
      <c r="O202" s="328" t="s">
        <v>1759</v>
      </c>
      <c r="Q202" s="329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327" t="s">
        <v>1758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327" t="s">
        <v>1758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327" t="s">
        <v>1758</v>
      </c>
      <c r="Z202" t="str">
        <f>IFERROR(VLOOKUP(ROWS($Z$3:Z202),$X$3:$Y$992,2,0),"")</f>
        <v>Výroba spotřební elektroniky</v>
      </c>
    </row>
    <row r="203" spans="1:26" ht="12.75" customHeight="1">
      <c r="A203" s="303"/>
      <c r="B203" s="303"/>
      <c r="C203" s="303"/>
      <c r="D203" s="319">
        <f>IF(ISNUMBER(SEARCH(ZAKL_DATA!$B$14,E203)),MAX($D$2:D202)+1,0)</f>
        <v>201.0</v>
      </c>
      <c r="E203" s="332" t="s">
        <v>1760</v>
      </c>
      <c r="F203" s="333">
        <v>3312.0</v>
      </c>
      <c r="G203" s="334"/>
      <c r="H203" s="335" t="str">
        <f>IFERROR(VLOOKUP(ROWS($H$3:H203),$D$3:$E$204,2,0),"")</f>
        <v>VSETÍN</v>
      </c>
      <c r="I203" s="303"/>
      <c r="J203" s="337" t="s">
        <v>1761</v>
      </c>
      <c r="K203" s="325" t="s">
        <v>1762</v>
      </c>
      <c r="M203" s="326">
        <f>IF(ISNUMBER(SEARCH(ZAKL_DATA!$B$29,N203)),MAX($M$2:M202)+1,0)</f>
        <v>201.0</v>
      </c>
      <c r="N203" s="327" t="s">
        <v>1763</v>
      </c>
      <c r="O203" s="328" t="s">
        <v>1764</v>
      </c>
      <c r="Q203" s="329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327" t="s">
        <v>1763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327" t="s">
        <v>1763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327" t="s">
        <v>1763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03"/>
      <c r="B204" s="303"/>
      <c r="C204" s="303"/>
      <c r="D204" s="319">
        <f>IF(ISNUMBER(SEARCH(ZAKL_DATA!$B$14,E204)),MAX($D$2:D203)+1,0)</f>
        <v>202.0</v>
      </c>
      <c r="E204" s="345" t="s">
        <v>832</v>
      </c>
      <c r="F204" s="346">
        <v>4000.0</v>
      </c>
      <c r="G204" s="347"/>
      <c r="H204" s="348" t="str">
        <f>IFERROR(VLOOKUP(ROWS($H$3:H204),$D$3:$E$204,2,0),"")</f>
        <v>SPECIALIZOVANÝ</v>
      </c>
      <c r="I204" s="303"/>
      <c r="J204" s="337" t="s">
        <v>1765</v>
      </c>
      <c r="K204" s="325" t="s">
        <v>1766</v>
      </c>
      <c r="M204" s="326">
        <f>IF(ISNUMBER(SEARCH(ZAKL_DATA!$B$29,N204)),MAX($M$2:M203)+1,0)</f>
        <v>202.0</v>
      </c>
      <c r="N204" s="327" t="s">
        <v>1767</v>
      </c>
      <c r="O204" s="328" t="s">
        <v>1768</v>
      </c>
      <c r="Q204" s="329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327" t="s">
        <v>1767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327" t="s">
        <v>1767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327" t="s">
        <v>1767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03"/>
      <c r="B205" s="303"/>
      <c r="C205" s="303"/>
      <c r="D205" s="304"/>
      <c r="E205" s="303"/>
      <c r="F205" s="303"/>
      <c r="G205" s="303"/>
      <c r="H205" s="303" t="str">
        <f>IFERROR(VLOOKUP(ROWS($H$3:H205),$D$2:$E$204,2,0),"")</f>
        <v/>
      </c>
      <c r="I205" s="303"/>
      <c r="J205" s="337" t="s">
        <v>1769</v>
      </c>
      <c r="K205" s="325" t="s">
        <v>1770</v>
      </c>
      <c r="M205" s="326">
        <f>IF(ISNUMBER(SEARCH(ZAKL_DATA!$B$29,N205)),MAX($M$2:M204)+1,0)</f>
        <v>203.0</v>
      </c>
      <c r="N205" s="327" t="s">
        <v>1771</v>
      </c>
      <c r="O205" s="328" t="s">
        <v>1772</v>
      </c>
      <c r="Q205" s="329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327" t="s">
        <v>1771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327" t="s">
        <v>1771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327" t="s">
        <v>1771</v>
      </c>
      <c r="Z205" t="str">
        <f>IFERROR(VLOOKUP(ROWS($Z$3:Z205),$X$3:$Y$992,2,0),"")</f>
        <v>Výroba optických a fotografických přístrojů a zařízení</v>
      </c>
    </row>
    <row r="206" spans="10:26" ht="12.75">
      <c r="J206" s="337" t="s">
        <v>1773</v>
      </c>
      <c r="K206" s="325" t="s">
        <v>1774</v>
      </c>
      <c r="M206" s="326">
        <f>IF(ISNUMBER(SEARCH(ZAKL_DATA!$B$29,N206)),MAX($M$2:M205)+1,0)</f>
        <v>204.0</v>
      </c>
      <c r="N206" s="327" t="s">
        <v>1775</v>
      </c>
      <c r="O206" s="328" t="s">
        <v>1776</v>
      </c>
      <c r="Q206" s="329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327" t="s">
        <v>1775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327" t="s">
        <v>1775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327" t="s">
        <v>1775</v>
      </c>
      <c r="Z206" t="str">
        <f>IFERROR(VLOOKUP(ROWS($Z$3:Z206),$X$3:$Y$992,2,0),"")</f>
        <v>Výroba magnetických a optických médií</v>
      </c>
    </row>
    <row r="207" spans="10:26" ht="12.75">
      <c r="J207" s="337" t="s">
        <v>1777</v>
      </c>
      <c r="K207" s="325" t="s">
        <v>1778</v>
      </c>
      <c r="M207" s="326">
        <f>IF(ISNUMBER(SEARCH(ZAKL_DATA!$B$29,N207)),MAX($M$2:M206)+1,0)</f>
        <v>205.0</v>
      </c>
      <c r="N207" s="327" t="s">
        <v>1779</v>
      </c>
      <c r="O207" s="328" t="s">
        <v>1780</v>
      </c>
      <c r="Q207" s="329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327" t="s">
        <v>1779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327" t="s">
        <v>1779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327" t="s">
        <v>1779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37" t="s">
        <v>1781</v>
      </c>
      <c r="K208" s="325" t="s">
        <v>1782</v>
      </c>
      <c r="M208" s="326">
        <f>IF(ISNUMBER(SEARCH(ZAKL_DATA!$B$29,N208)),MAX($M$2:M207)+1,0)</f>
        <v>206.0</v>
      </c>
      <c r="N208" s="327" t="s">
        <v>1783</v>
      </c>
      <c r="O208" s="342" t="s">
        <v>1784</v>
      </c>
      <c r="Q208" s="329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327" t="s">
        <v>1783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327" t="s">
        <v>1783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327" t="s">
        <v>1783</v>
      </c>
      <c r="Z208" t="str">
        <f>IFERROR(VLOOKUP(ROWS($Z$3:Z208),$X$3:$Y$992,2,0),"")</f>
        <v>Výroba baterií a akumulátorů</v>
      </c>
    </row>
    <row r="209" spans="10:26" ht="12.75">
      <c r="J209" s="337" t="s">
        <v>1785</v>
      </c>
      <c r="K209" s="325" t="s">
        <v>1786</v>
      </c>
      <c r="M209" s="326">
        <f>IF(ISNUMBER(SEARCH(ZAKL_DATA!$B$29,N209)),MAX($M$2:M208)+1,0)</f>
        <v>207.0</v>
      </c>
      <c r="N209" s="327" t="s">
        <v>1787</v>
      </c>
      <c r="O209" s="328" t="s">
        <v>1788</v>
      </c>
      <c r="Q209" s="329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327" t="s">
        <v>1787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327" t="s">
        <v>1787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327" t="s">
        <v>1787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37" t="s">
        <v>1789</v>
      </c>
      <c r="K210" s="325" t="s">
        <v>1790</v>
      </c>
      <c r="M210" s="326">
        <f>IF(ISNUMBER(SEARCH(ZAKL_DATA!$B$29,N210)),MAX($M$2:M209)+1,0)</f>
        <v>208.0</v>
      </c>
      <c r="N210" s="327" t="s">
        <v>1791</v>
      </c>
      <c r="O210" s="328" t="s">
        <v>1792</v>
      </c>
      <c r="Q210" s="329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327" t="s">
        <v>1791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327" t="s">
        <v>1791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327" t="s">
        <v>1791</v>
      </c>
      <c r="Z210" t="str">
        <f>IFERROR(VLOOKUP(ROWS($Z$3:Z210),$X$3:$Y$992,2,0),"")</f>
        <v>Výroba elektrických osvětlovacích zařízení</v>
      </c>
    </row>
    <row r="211" spans="10:26" ht="12.75">
      <c r="J211" s="337" t="s">
        <v>1793</v>
      </c>
      <c r="K211" s="325" t="s">
        <v>1794</v>
      </c>
      <c r="M211" s="326">
        <f>IF(ISNUMBER(SEARCH(ZAKL_DATA!$B$29,N211)),MAX($M$2:M210)+1,0)</f>
        <v>209.0</v>
      </c>
      <c r="N211" s="327" t="s">
        <v>1795</v>
      </c>
      <c r="O211" s="342" t="s">
        <v>1796</v>
      </c>
      <c r="Q211" s="329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327" t="s">
        <v>1795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327" t="s">
        <v>1795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327" t="s">
        <v>1795</v>
      </c>
      <c r="Z211" t="str">
        <f>IFERROR(VLOOKUP(ROWS($Z$3:Z211),$X$3:$Y$992,2,0),"")</f>
        <v>Výroba spotřebičů převážně pro domácnost</v>
      </c>
    </row>
    <row r="212" spans="10:26" ht="12.75">
      <c r="J212" s="336" t="s">
        <v>1797</v>
      </c>
      <c r="K212" s="325" t="s">
        <v>1798</v>
      </c>
      <c r="M212" s="326">
        <f>IF(ISNUMBER(SEARCH(ZAKL_DATA!$B$29,N212)),MAX($M$2:M211)+1,0)</f>
        <v>210.0</v>
      </c>
      <c r="N212" s="327" t="s">
        <v>1799</v>
      </c>
      <c r="O212" s="328" t="s">
        <v>1800</v>
      </c>
      <c r="Q212" s="329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327" t="s">
        <v>1799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327" t="s">
        <v>1799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327" t="s">
        <v>1799</v>
      </c>
      <c r="Z212" t="str">
        <f>IFERROR(VLOOKUP(ROWS($Z$3:Z212),$X$3:$Y$992,2,0),"")</f>
        <v>Výroba ostatních elektrických zařízení</v>
      </c>
    </row>
    <row r="213" spans="10:26" ht="12.75">
      <c r="J213" s="337" t="s">
        <v>1801</v>
      </c>
      <c r="K213" s="325" t="s">
        <v>1802</v>
      </c>
      <c r="M213" s="326">
        <f>IF(ISNUMBER(SEARCH(ZAKL_DATA!$B$29,N213)),MAX($M$2:M212)+1,0)</f>
        <v>211.0</v>
      </c>
      <c r="N213" s="327" t="s">
        <v>1803</v>
      </c>
      <c r="O213" s="328" t="s">
        <v>1804</v>
      </c>
      <c r="Q213" s="329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327" t="s">
        <v>1803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327" t="s">
        <v>1803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327" t="s">
        <v>1803</v>
      </c>
      <c r="Z213" t="str">
        <f>IFERROR(VLOOKUP(ROWS($Z$3:Z213),$X$3:$Y$992,2,0),"")</f>
        <v>Výroba strojů a zařízení pro všeobecné účely</v>
      </c>
    </row>
    <row r="214" spans="10:26" ht="12.75">
      <c r="J214" s="336" t="s">
        <v>1805</v>
      </c>
      <c r="K214" s="325" t="s">
        <v>1806</v>
      </c>
      <c r="M214" s="326">
        <f>IF(ISNUMBER(SEARCH(ZAKL_DATA!$B$29,N214)),MAX($M$2:M213)+1,0)</f>
        <v>212.0</v>
      </c>
      <c r="N214" s="327" t="s">
        <v>1807</v>
      </c>
      <c r="O214" s="342" t="s">
        <v>1808</v>
      </c>
      <c r="Q214" s="329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327" t="s">
        <v>1807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327" t="s">
        <v>1807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327" t="s">
        <v>1807</v>
      </c>
      <c r="Z214" t="str">
        <f>IFERROR(VLOOKUP(ROWS($Z$3:Z214),$X$3:$Y$992,2,0),"")</f>
        <v>Výroba ostatních strojů a zařízení pro všeobecné účely</v>
      </c>
    </row>
    <row r="215" spans="10:26" ht="12.75">
      <c r="J215" s="336" t="s">
        <v>1809</v>
      </c>
      <c r="K215" s="325" t="s">
        <v>1810</v>
      </c>
      <c r="M215" s="326">
        <f>IF(ISNUMBER(SEARCH(ZAKL_DATA!$B$29,N215)),MAX($M$2:M214)+1,0)</f>
        <v>213.0</v>
      </c>
      <c r="N215" s="327" t="s">
        <v>1811</v>
      </c>
      <c r="O215" s="328" t="s">
        <v>1812</v>
      </c>
      <c r="Q215" s="329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327" t="s">
        <v>1811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327" t="s">
        <v>1811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327" t="s">
        <v>1811</v>
      </c>
      <c r="Z215" t="str">
        <f>IFERROR(VLOOKUP(ROWS($Z$3:Z215),$X$3:$Y$992,2,0),"")</f>
        <v>Výroba zemědělských a lesnických strojů</v>
      </c>
    </row>
    <row r="216" spans="10:26" ht="12.75">
      <c r="J216" s="337" t="s">
        <v>1813</v>
      </c>
      <c r="K216" s="325" t="s">
        <v>1814</v>
      </c>
      <c r="M216" s="326">
        <f>IF(ISNUMBER(SEARCH(ZAKL_DATA!$B$29,N216)),MAX($M$2:M215)+1,0)</f>
        <v>214.0</v>
      </c>
      <c r="N216" s="327" t="s">
        <v>1815</v>
      </c>
      <c r="O216" s="328" t="s">
        <v>1816</v>
      </c>
      <c r="Q216" s="329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327" t="s">
        <v>1815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327" t="s">
        <v>1815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327" t="s">
        <v>1815</v>
      </c>
      <c r="Z216" t="str">
        <f>IFERROR(VLOOKUP(ROWS($Z$3:Z216),$X$3:$Y$992,2,0),"")</f>
        <v>Výroba kovoobráběcích a ostatních obráběcích strojů</v>
      </c>
    </row>
    <row r="217" spans="10:26" ht="12.75">
      <c r="J217" s="337" t="s">
        <v>1817</v>
      </c>
      <c r="K217" s="325" t="s">
        <v>1818</v>
      </c>
      <c r="M217" s="326">
        <f>IF(ISNUMBER(SEARCH(ZAKL_DATA!$B$29,N217)),MAX($M$2:M216)+1,0)</f>
        <v>215.0</v>
      </c>
      <c r="N217" s="327" t="s">
        <v>1819</v>
      </c>
      <c r="O217" s="328" t="s">
        <v>1820</v>
      </c>
      <c r="Q217" s="329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327" t="s">
        <v>1819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327" t="s">
        <v>1819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327" t="s">
        <v>1819</v>
      </c>
      <c r="Z217" t="str">
        <f>IFERROR(VLOOKUP(ROWS($Z$3:Z217),$X$3:$Y$992,2,0),"")</f>
        <v>Výroba ostatních strojů pro speciální účely</v>
      </c>
    </row>
    <row r="218" spans="10:26" ht="12.75">
      <c r="J218" s="337" t="s">
        <v>1821</v>
      </c>
      <c r="K218" s="325" t="s">
        <v>1822</v>
      </c>
      <c r="M218" s="326">
        <f>IF(ISNUMBER(SEARCH(ZAKL_DATA!$B$29,N218)),MAX($M$2:M217)+1,0)</f>
        <v>216.0</v>
      </c>
      <c r="N218" s="327" t="s">
        <v>1823</v>
      </c>
      <c r="O218" s="328" t="s">
        <v>1824</v>
      </c>
      <c r="Q218" s="329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327" t="s">
        <v>1823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327" t="s">
        <v>1823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327" t="s">
        <v>1823</v>
      </c>
      <c r="Z218" t="str">
        <f>IFERROR(VLOOKUP(ROWS($Z$3:Z218),$X$3:$Y$992,2,0),"")</f>
        <v>Výroba motorových vozidel a jejich motorů</v>
      </c>
    </row>
    <row r="219" spans="10:26" ht="12.75">
      <c r="J219" s="337" t="s">
        <v>1825</v>
      </c>
      <c r="K219" s="325" t="s">
        <v>1826</v>
      </c>
      <c r="M219" s="326">
        <f>IF(ISNUMBER(SEARCH(ZAKL_DATA!$B$29,N219)),MAX($M$2:M218)+1,0)</f>
        <v>217.0</v>
      </c>
      <c r="N219" s="327" t="s">
        <v>1827</v>
      </c>
      <c r="O219" s="328" t="s">
        <v>1828</v>
      </c>
      <c r="Q219" s="329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327" t="s">
        <v>1827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327" t="s">
        <v>1827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327" t="s">
        <v>1827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37" t="s">
        <v>1829</v>
      </c>
      <c r="K220" s="325" t="s">
        <v>1830</v>
      </c>
      <c r="M220" s="326">
        <f>IF(ISNUMBER(SEARCH(ZAKL_DATA!$B$29,N220)),MAX($M$2:M219)+1,0)</f>
        <v>218.0</v>
      </c>
      <c r="N220" s="327" t="s">
        <v>1831</v>
      </c>
      <c r="O220" s="328" t="s">
        <v>1832</v>
      </c>
      <c r="Q220" s="329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327" t="s">
        <v>1831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327" t="s">
        <v>1831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327" t="s">
        <v>1831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37" t="s">
        <v>1833</v>
      </c>
      <c r="K221" s="325" t="s">
        <v>1834</v>
      </c>
      <c r="M221" s="326">
        <f>IF(ISNUMBER(SEARCH(ZAKL_DATA!$B$29,N221)),MAX($M$2:M220)+1,0)</f>
        <v>219.0</v>
      </c>
      <c r="N221" s="327" t="s">
        <v>1835</v>
      </c>
      <c r="O221" s="328" t="s">
        <v>1836</v>
      </c>
      <c r="Q221" s="329" t="str">
        <f>IFERROR(VLOOKUP(ROWS($Q$3:Q221),$M$3:$N$992,2,0),"")</f>
        <v>Stavba lodí a člunů</v>
      </c>
      <c r="R221">
        <f>IF(ISNUMBER(SEARCH('1Př1'!$A$32,N221)),MAX($M$2:M220)+1,0)</f>
        <v>219.0</v>
      </c>
      <c r="S221" s="327" t="s">
        <v>1835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327" t="s">
        <v>1835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327" t="s">
        <v>1835</v>
      </c>
      <c r="Z221" t="str">
        <f>IFERROR(VLOOKUP(ROWS($Z$3:Z221),$X$3:$Y$992,2,0),"")</f>
        <v>Stavba lodí a člunů</v>
      </c>
    </row>
    <row r="222" spans="10:26" ht="12.75">
      <c r="J222" s="336" t="s">
        <v>1837</v>
      </c>
      <c r="K222" s="325" t="s">
        <v>1838</v>
      </c>
      <c r="M222" s="326">
        <f>IF(ISNUMBER(SEARCH(ZAKL_DATA!$B$29,N222)),MAX($M$2:M221)+1,0)</f>
        <v>220.0</v>
      </c>
      <c r="N222" s="327" t="s">
        <v>1839</v>
      </c>
      <c r="O222" s="342" t="s">
        <v>1840</v>
      </c>
      <c r="Q222" s="329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327" t="s">
        <v>1839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327" t="s">
        <v>1839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327" t="s">
        <v>1839</v>
      </c>
      <c r="Z222" t="str">
        <f>IFERROR(VLOOKUP(ROWS($Z$3:Z222),$X$3:$Y$992,2,0),"")</f>
        <v>Výroba železničních lokomotiv a vozového parku</v>
      </c>
    </row>
    <row r="223" spans="10:26" ht="12.75">
      <c r="J223" s="337" t="s">
        <v>1841</v>
      </c>
      <c r="K223" s="325" t="s">
        <v>1842</v>
      </c>
      <c r="M223" s="326">
        <f>IF(ISNUMBER(SEARCH(ZAKL_DATA!$B$29,N223)),MAX($M$2:M222)+1,0)</f>
        <v>221.0</v>
      </c>
      <c r="N223" s="327" t="s">
        <v>1843</v>
      </c>
      <c r="O223" s="342" t="s">
        <v>1844</v>
      </c>
      <c r="Q223" s="329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327" t="s">
        <v>1843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327" t="s">
        <v>1843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327" t="s">
        <v>1843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37" t="s">
        <v>1845</v>
      </c>
      <c r="K224" s="325" t="s">
        <v>1846</v>
      </c>
      <c r="M224" s="326">
        <f>IF(ISNUMBER(SEARCH(ZAKL_DATA!$B$29,N224)),MAX($M$2:M223)+1,0)</f>
        <v>222.0</v>
      </c>
      <c r="N224" s="327" t="s">
        <v>1847</v>
      </c>
      <c r="O224" s="342" t="s">
        <v>1848</v>
      </c>
      <c r="Q224" s="329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327" t="s">
        <v>1847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327" t="s">
        <v>1847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327" t="s">
        <v>1847</v>
      </c>
      <c r="Z224" t="str">
        <f>IFERROR(VLOOKUP(ROWS($Z$3:Z224),$X$3:$Y$992,2,0),"")</f>
        <v>Výroba vojenských bojových vozidel</v>
      </c>
    </row>
    <row r="225" spans="10:26" ht="12.75">
      <c r="J225" s="337" t="s">
        <v>1849</v>
      </c>
      <c r="K225" s="325" t="s">
        <v>1850</v>
      </c>
      <c r="M225" s="326">
        <f>IF(ISNUMBER(SEARCH(ZAKL_DATA!$B$29,N225)),MAX($M$2:M224)+1,0)</f>
        <v>223.0</v>
      </c>
      <c r="N225" s="327" t="s">
        <v>1851</v>
      </c>
      <c r="O225" s="342" t="s">
        <v>1852</v>
      </c>
      <c r="Q225" s="329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327" t="s">
        <v>1851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327" t="s">
        <v>1851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327" t="s">
        <v>1851</v>
      </c>
      <c r="Z225" t="str">
        <f>IFERROR(VLOOKUP(ROWS($Z$3:Z225),$X$3:$Y$992,2,0),"")</f>
        <v>Výroba dopravních prostředků a zařízení j. n.</v>
      </c>
    </row>
    <row r="226" spans="10:26" ht="12.75">
      <c r="J226" s="337" t="s">
        <v>1853</v>
      </c>
      <c r="K226" s="325" t="s">
        <v>1854</v>
      </c>
      <c r="M226" s="326">
        <f>IF(ISNUMBER(SEARCH(ZAKL_DATA!$B$29,N226)),MAX($M$2:M225)+1,0)</f>
        <v>224.0</v>
      </c>
      <c r="N226" s="327" t="s">
        <v>1855</v>
      </c>
      <c r="O226" s="342" t="s">
        <v>1856</v>
      </c>
      <c r="Q226" s="329" t="str">
        <f>IFERROR(VLOOKUP(ROWS($Q$3:Q226),$M$3:$N$992,2,0),"")</f>
        <v>Mořský rybolov</v>
      </c>
      <c r="R226">
        <f>IF(ISNUMBER(SEARCH('1Př1'!$A$32,N226)),MAX($M$2:M225)+1,0)</f>
        <v>224.0</v>
      </c>
      <c r="S226" s="327" t="s">
        <v>1855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327" t="s">
        <v>1855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327" t="s">
        <v>1855</v>
      </c>
      <c r="Z226" t="str">
        <f>IFERROR(VLOOKUP(ROWS($Z$3:Z226),$X$3:$Y$992,2,0),"")</f>
        <v>Mořský rybolov</v>
      </c>
    </row>
    <row r="227" spans="10:26" ht="12.75">
      <c r="J227" s="337" t="s">
        <v>1857</v>
      </c>
      <c r="K227" s="325" t="s">
        <v>1858</v>
      </c>
      <c r="M227" s="326">
        <f>IF(ISNUMBER(SEARCH(ZAKL_DATA!$B$29,N227)),MAX($M$2:M226)+1,0)</f>
        <v>225.0</v>
      </c>
      <c r="N227" s="327" t="s">
        <v>1859</v>
      </c>
      <c r="O227" s="342" t="s">
        <v>1860</v>
      </c>
      <c r="Q227" s="329" t="str">
        <f>IFERROR(VLOOKUP(ROWS($Q$3:Q227),$M$3:$N$992,2,0),"")</f>
        <v>Sladkovodní rybolov</v>
      </c>
      <c r="R227">
        <f>IF(ISNUMBER(SEARCH('1Př1'!$A$32,N227)),MAX($M$2:M226)+1,0)</f>
        <v>225.0</v>
      </c>
      <c r="S227" s="327" t="s">
        <v>1859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327" t="s">
        <v>1859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327" t="s">
        <v>1859</v>
      </c>
      <c r="Z227" t="str">
        <f>IFERROR(VLOOKUP(ROWS($Z$3:Z227),$X$3:$Y$992,2,0),"")</f>
        <v>Sladkovodní rybolov</v>
      </c>
    </row>
    <row r="228" spans="10:26" ht="12.75">
      <c r="J228" s="337" t="s">
        <v>1861</v>
      </c>
      <c r="K228" s="325" t="s">
        <v>1862</v>
      </c>
      <c r="M228" s="326">
        <f>IF(ISNUMBER(SEARCH(ZAKL_DATA!$B$29,N228)),MAX($M$2:M227)+1,0)</f>
        <v>226.0</v>
      </c>
      <c r="N228" s="327" t="s">
        <v>1863</v>
      </c>
      <c r="O228" s="342" t="s">
        <v>1864</v>
      </c>
      <c r="Q228" s="329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327" t="s">
        <v>1863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327" t="s">
        <v>1863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327" t="s">
        <v>1863</v>
      </c>
      <c r="Z228" t="str">
        <f>IFERROR(VLOOKUP(ROWS($Z$3:Z228),$X$3:$Y$992,2,0),"")</f>
        <v>Výroba klenotů, bižuterie a příbuzných výrobků</v>
      </c>
    </row>
    <row r="229" spans="10:26" ht="12.75">
      <c r="J229" s="337" t="s">
        <v>1865</v>
      </c>
      <c r="K229" s="325" t="s">
        <v>1866</v>
      </c>
      <c r="M229" s="326">
        <f>IF(ISNUMBER(SEARCH(ZAKL_DATA!$B$29,N229)),MAX($M$2:M228)+1,0)</f>
        <v>227.0</v>
      </c>
      <c r="N229" s="327" t="s">
        <v>1867</v>
      </c>
      <c r="O229" s="342" t="s">
        <v>1868</v>
      </c>
      <c r="Q229" s="329" t="str">
        <f>IFERROR(VLOOKUP(ROWS($Q$3:Q229),$M$3:$N$992,2,0),"")</f>
        <v>Mořská akvakultura</v>
      </c>
      <c r="R229">
        <f>IF(ISNUMBER(SEARCH('1Př1'!$A$32,N229)),MAX($M$2:M228)+1,0)</f>
        <v>227.0</v>
      </c>
      <c r="S229" s="327" t="s">
        <v>1867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327" t="s">
        <v>1867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327" t="s">
        <v>1867</v>
      </c>
      <c r="Z229" t="str">
        <f>IFERROR(VLOOKUP(ROWS($Z$3:Z229),$X$3:$Y$992,2,0),"")</f>
        <v>Mořská akvakultura</v>
      </c>
    </row>
    <row r="230" spans="10:26" ht="12.75">
      <c r="J230" s="337" t="s">
        <v>1869</v>
      </c>
      <c r="K230" s="325" t="s">
        <v>1870</v>
      </c>
      <c r="M230" s="326">
        <f>IF(ISNUMBER(SEARCH(ZAKL_DATA!$B$29,N230)),MAX($M$2:M229)+1,0)</f>
        <v>228.0</v>
      </c>
      <c r="N230" s="327" t="s">
        <v>1871</v>
      </c>
      <c r="O230" s="342" t="s">
        <v>1872</v>
      </c>
      <c r="Q230" s="329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327" t="s">
        <v>1871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327" t="s">
        <v>1871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327" t="s">
        <v>1871</v>
      </c>
      <c r="Z230" t="str">
        <f>IFERROR(VLOOKUP(ROWS($Z$3:Z230),$X$3:$Y$992,2,0),"")</f>
        <v>Výroba hudebních nástrojů</v>
      </c>
    </row>
    <row r="231" spans="10:26" ht="12.75">
      <c r="J231" s="337" t="s">
        <v>1873</v>
      </c>
      <c r="K231" s="325" t="s">
        <v>1874</v>
      </c>
      <c r="M231" s="326">
        <f>IF(ISNUMBER(SEARCH(ZAKL_DATA!$B$29,N231)),MAX($M$2:M230)+1,0)</f>
        <v>229.0</v>
      </c>
      <c r="N231" s="327" t="s">
        <v>1875</v>
      </c>
      <c r="O231" s="342" t="s">
        <v>1876</v>
      </c>
      <c r="Q231" s="329" t="str">
        <f>IFERROR(VLOOKUP(ROWS($Q$3:Q231),$M$3:$N$992,2,0),"")</f>
        <v>Sladkovodní akvakultura</v>
      </c>
      <c r="R231">
        <f>IF(ISNUMBER(SEARCH('1Př1'!$A$32,N231)),MAX($M$2:M230)+1,0)</f>
        <v>229.0</v>
      </c>
      <c r="S231" s="327" t="s">
        <v>1875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327" t="s">
        <v>1875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327" t="s">
        <v>1875</v>
      </c>
      <c r="Z231" t="str">
        <f>IFERROR(VLOOKUP(ROWS($Z$3:Z231),$X$3:$Y$992,2,0),"")</f>
        <v>Sladkovodní akvakultura</v>
      </c>
    </row>
    <row r="232" spans="10:26" ht="12.75">
      <c r="J232" s="337" t="s">
        <v>1877</v>
      </c>
      <c r="K232" s="325" t="s">
        <v>1878</v>
      </c>
      <c r="M232" s="326">
        <f>IF(ISNUMBER(SEARCH(ZAKL_DATA!$B$29,N232)),MAX($M$2:M231)+1,0)</f>
        <v>230.0</v>
      </c>
      <c r="N232" s="327" t="s">
        <v>1879</v>
      </c>
      <c r="O232" s="342" t="s">
        <v>1880</v>
      </c>
      <c r="Q232" s="329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327" t="s">
        <v>1879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327" t="s">
        <v>1879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327" t="s">
        <v>1879</v>
      </c>
      <c r="Z232" t="str">
        <f>IFERROR(VLOOKUP(ROWS($Z$3:Z232),$X$3:$Y$992,2,0),"")</f>
        <v>Výroba sportovních potřeb</v>
      </c>
    </row>
    <row r="233" spans="10:26" ht="12.75">
      <c r="J233" s="337" t="s">
        <v>1881</v>
      </c>
      <c r="K233" s="325" t="s">
        <v>1882</v>
      </c>
      <c r="M233" s="326">
        <f>IF(ISNUMBER(SEARCH(ZAKL_DATA!$B$29,N233)),MAX($M$2:M232)+1,0)</f>
        <v>231.0</v>
      </c>
      <c r="N233" s="327" t="s">
        <v>1883</v>
      </c>
      <c r="O233" s="342" t="s">
        <v>1884</v>
      </c>
      <c r="Q233" s="329" t="str">
        <f>IFERROR(VLOOKUP(ROWS($Q$3:Q233),$M$3:$N$992,2,0),"")</f>
        <v>Výroba her a hraček</v>
      </c>
      <c r="R233">
        <f>IF(ISNUMBER(SEARCH('1Př1'!$A$32,N233)),MAX($M$2:M232)+1,0)</f>
        <v>231.0</v>
      </c>
      <c r="S233" s="327" t="s">
        <v>1883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327" t="s">
        <v>1883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327" t="s">
        <v>1883</v>
      </c>
      <c r="Z233" t="str">
        <f>IFERROR(VLOOKUP(ROWS($Z$3:Z233),$X$3:$Y$992,2,0),"")</f>
        <v>Výroba her a hraček</v>
      </c>
    </row>
    <row r="234" spans="10:26" ht="12.75">
      <c r="J234" s="337" t="s">
        <v>1885</v>
      </c>
      <c r="K234" s="325" t="s">
        <v>1886</v>
      </c>
      <c r="M234" s="326">
        <f>IF(ISNUMBER(SEARCH(ZAKL_DATA!$B$29,N234)),MAX($M$2:M233)+1,0)</f>
        <v>232.0</v>
      </c>
      <c r="N234" s="327" t="s">
        <v>1887</v>
      </c>
      <c r="O234" s="342" t="s">
        <v>1888</v>
      </c>
      <c r="Q234" s="329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327" t="s">
        <v>1887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327" t="s">
        <v>1887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327" t="s">
        <v>1887</v>
      </c>
      <c r="Z234" t="str">
        <f>IFERROR(VLOOKUP(ROWS($Z$3:Z234),$X$3:$Y$992,2,0),"")</f>
        <v>Výroba lékařských a dentálních nástrojů a potřeb</v>
      </c>
    </row>
    <row r="235" spans="10:26" ht="12.75">
      <c r="J235" s="337" t="s">
        <v>1889</v>
      </c>
      <c r="K235" s="325" t="s">
        <v>1890</v>
      </c>
      <c r="M235" s="326">
        <f>IF(ISNUMBER(SEARCH(ZAKL_DATA!$B$29,N235)),MAX($M$2:M234)+1,0)</f>
        <v>233.0</v>
      </c>
      <c r="N235" s="327" t="s">
        <v>1891</v>
      </c>
      <c r="O235" s="342" t="s">
        <v>1892</v>
      </c>
      <c r="Q235" s="329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327" t="s">
        <v>1891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327" t="s">
        <v>1891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327" t="s">
        <v>1891</v>
      </c>
      <c r="Z235" t="str">
        <f>IFERROR(VLOOKUP(ROWS($Z$3:Z235),$X$3:$Y$992,2,0),"")</f>
        <v>Zpracovatelský průmysl j. n.</v>
      </c>
    </row>
    <row r="236" spans="10:26" ht="12.75">
      <c r="J236" s="337" t="s">
        <v>1893</v>
      </c>
      <c r="K236" s="325" t="s">
        <v>1894</v>
      </c>
      <c r="M236" s="326">
        <f>IF(ISNUMBER(SEARCH(ZAKL_DATA!$B$29,N236)),MAX($M$2:M235)+1,0)</f>
        <v>234.0</v>
      </c>
      <c r="N236" s="327" t="s">
        <v>1895</v>
      </c>
      <c r="O236" s="342" t="s">
        <v>1896</v>
      </c>
      <c r="Q236" s="329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327" t="s">
        <v>1895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327" t="s">
        <v>1895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327" t="s">
        <v>1895</v>
      </c>
      <c r="Z236" t="str">
        <f>IFERROR(VLOOKUP(ROWS($Z$3:Z236),$X$3:$Y$992,2,0),"")</f>
        <v>Opravy kovodělných výrobků, strojů a zařízení</v>
      </c>
    </row>
    <row r="237" spans="10:26" ht="12.75">
      <c r="J237" s="336" t="s">
        <v>1897</v>
      </c>
      <c r="K237" s="325" t="s">
        <v>1898</v>
      </c>
      <c r="M237" s="326">
        <f>IF(ISNUMBER(SEARCH(ZAKL_DATA!$B$29,N237)),MAX($M$2:M236)+1,0)</f>
        <v>235.0</v>
      </c>
      <c r="N237" s="327" t="s">
        <v>1899</v>
      </c>
      <c r="O237" s="342" t="s">
        <v>1900</v>
      </c>
      <c r="Q237" s="329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327" t="s">
        <v>1899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327" t="s">
        <v>1899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327" t="s">
        <v>1899</v>
      </c>
      <c r="Z237" t="str">
        <f>IFERROR(VLOOKUP(ROWS($Z$3:Z237),$X$3:$Y$992,2,0),"")</f>
        <v>Instalace průmyslových strojů a zařízení</v>
      </c>
    </row>
    <row r="238" spans="10:26" ht="12.75">
      <c r="J238" s="337" t="s">
        <v>1901</v>
      </c>
      <c r="K238" s="325" t="s">
        <v>1902</v>
      </c>
      <c r="M238" s="326">
        <f>IF(ISNUMBER(SEARCH(ZAKL_DATA!$B$29,N238)),MAX($M$2:M237)+1,0)</f>
        <v>236.0</v>
      </c>
      <c r="N238" s="327" t="s">
        <v>1903</v>
      </c>
      <c r="O238" s="342" t="s">
        <v>1904</v>
      </c>
      <c r="Q238" s="329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327" t="s">
        <v>1903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327" t="s">
        <v>1903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327" t="s">
        <v>1903</v>
      </c>
      <c r="Z238" t="str">
        <f>IFERROR(VLOOKUP(ROWS($Z$3:Z238),$X$3:$Y$992,2,0),"")</f>
        <v>Výroba, přenos a rozvod elektřiny</v>
      </c>
    </row>
    <row r="239" spans="10:26" ht="12.75">
      <c r="J239" s="337" t="s">
        <v>1905</v>
      </c>
      <c r="K239" s="325" t="s">
        <v>1906</v>
      </c>
      <c r="M239" s="326">
        <f>IF(ISNUMBER(SEARCH(ZAKL_DATA!$B$29,N239)),MAX($M$2:M238)+1,0)</f>
        <v>237.0</v>
      </c>
      <c r="N239" s="327" t="s">
        <v>1907</v>
      </c>
      <c r="O239" s="342" t="s">
        <v>1908</v>
      </c>
      <c r="Q239" s="329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327" t="s">
        <v>1907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327" t="s">
        <v>1907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327" t="s">
        <v>1907</v>
      </c>
      <c r="Z239" t="str">
        <f>IFERROR(VLOOKUP(ROWS($Z$3:Z239),$X$3:$Y$992,2,0),"")</f>
        <v>Výroba plynu; rozvod plynných paliv prostřednictvím sítí</v>
      </c>
    </row>
    <row r="240" spans="10:26" ht="12.75">
      <c r="J240" s="337" t="s">
        <v>1909</v>
      </c>
      <c r="K240" s="325" t="s">
        <v>1910</v>
      </c>
      <c r="M240" s="326">
        <f>IF(ISNUMBER(SEARCH(ZAKL_DATA!$B$29,N240)),MAX($M$2:M239)+1,0)</f>
        <v>238.0</v>
      </c>
      <c r="N240" s="327" t="s">
        <v>1911</v>
      </c>
      <c r="O240" s="342" t="s">
        <v>1912</v>
      </c>
      <c r="Q240" s="329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327" t="s">
        <v>1911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327" t="s">
        <v>1911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327" t="s">
        <v>1911</v>
      </c>
      <c r="Z240" t="str">
        <f>IFERROR(VLOOKUP(ROWS($Z$3:Z240),$X$3:$Y$992,2,0),"")</f>
        <v>Výroba a rozvod tepla a klimatizovaného vzduchu, výroba ledu</v>
      </c>
    </row>
    <row r="241" spans="10:26" ht="12.75">
      <c r="J241" s="337" t="s">
        <v>1913</v>
      </c>
      <c r="K241" s="325" t="s">
        <v>1914</v>
      </c>
      <c r="M241" s="326">
        <f>IF(ISNUMBER(SEARCH(ZAKL_DATA!$B$29,N241)),MAX($M$2:M240)+1,0)</f>
        <v>239.0</v>
      </c>
      <c r="N241" s="327" t="s">
        <v>1915</v>
      </c>
      <c r="O241" s="342" t="s">
        <v>1916</v>
      </c>
      <c r="Q241" s="329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327" t="s">
        <v>1915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327" t="s">
        <v>1915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327" t="s">
        <v>1915</v>
      </c>
      <c r="Z241" t="str">
        <f>IFERROR(VLOOKUP(ROWS($Z$3:Z241),$X$3:$Y$992,2,0),"")</f>
        <v>Shromažďování a sběr odpadů</v>
      </c>
    </row>
    <row r="242" spans="10:26" ht="12.75">
      <c r="J242" s="337" t="s">
        <v>1917</v>
      </c>
      <c r="K242" s="325" t="s">
        <v>1918</v>
      </c>
      <c r="M242" s="326">
        <f>IF(ISNUMBER(SEARCH(ZAKL_DATA!$B$29,N242)),MAX($M$2:M241)+1,0)</f>
        <v>240.0</v>
      </c>
      <c r="N242" s="327" t="s">
        <v>1919</v>
      </c>
      <c r="O242" s="342" t="s">
        <v>1920</v>
      </c>
      <c r="Q242" s="329" t="str">
        <f>IFERROR(VLOOKUP(ROWS($Q$3:Q242),$M$3:$N$992,2,0),"")</f>
        <v>Odstraňování odpadů</v>
      </c>
      <c r="R242">
        <f>IF(ISNUMBER(SEARCH('1Př1'!$A$32,N242)),MAX($M$2:M241)+1,0)</f>
        <v>240.0</v>
      </c>
      <c r="S242" s="327" t="s">
        <v>1919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327" t="s">
        <v>1919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327" t="s">
        <v>1919</v>
      </c>
      <c r="Z242" t="str">
        <f>IFERROR(VLOOKUP(ROWS($Z$3:Z242),$X$3:$Y$992,2,0),"")</f>
        <v>Odstraňování odpadů</v>
      </c>
    </row>
    <row r="243" spans="10:26" ht="12.75">
      <c r="J243" s="337" t="s">
        <v>1921</v>
      </c>
      <c r="K243" s="325" t="s">
        <v>1922</v>
      </c>
      <c r="M243" s="326">
        <f>IF(ISNUMBER(SEARCH(ZAKL_DATA!$B$29,N243)),MAX($M$2:M242)+1,0)</f>
        <v>241.0</v>
      </c>
      <c r="N243" s="327" t="s">
        <v>1923</v>
      </c>
      <c r="O243" s="342" t="s">
        <v>1924</v>
      </c>
      <c r="Q243" s="329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327" t="s">
        <v>1923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327" t="s">
        <v>1923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327" t="s">
        <v>1923</v>
      </c>
      <c r="Z243" t="str">
        <f>IFERROR(VLOOKUP(ROWS($Z$3:Z243),$X$3:$Y$992,2,0),"")</f>
        <v>Úprava odpadů k dalšímu využití</v>
      </c>
    </row>
    <row r="244" spans="10:26" ht="12.75">
      <c r="J244" s="337" t="s">
        <v>1925</v>
      </c>
      <c r="K244" s="325" t="s">
        <v>1926</v>
      </c>
      <c r="M244" s="326">
        <f>IF(ISNUMBER(SEARCH(ZAKL_DATA!$B$29,N244)),MAX($M$2:M243)+1,0)</f>
        <v>242.0</v>
      </c>
      <c r="N244" s="327" t="s">
        <v>1927</v>
      </c>
      <c r="O244" s="342" t="s">
        <v>1928</v>
      </c>
      <c r="Q244" s="329" t="str">
        <f>IFERROR(VLOOKUP(ROWS($Q$3:Q244),$M$3:$N$992,2,0),"")</f>
        <v>Developerská činnost</v>
      </c>
      <c r="R244">
        <f>IF(ISNUMBER(SEARCH('1Př1'!$A$32,N244)),MAX($M$2:M243)+1,0)</f>
        <v>242.0</v>
      </c>
      <c r="S244" s="327" t="s">
        <v>1927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327" t="s">
        <v>1927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327" t="s">
        <v>1927</v>
      </c>
      <c r="Z244" t="str">
        <f>IFERROR(VLOOKUP(ROWS($Z$3:Z244),$X$3:$Y$992,2,0),"")</f>
        <v>Developerská činnost</v>
      </c>
    </row>
    <row r="245" spans="10:26" ht="12.75">
      <c r="J245" s="337" t="s">
        <v>1929</v>
      </c>
      <c r="K245" s="325" t="s">
        <v>1930</v>
      </c>
      <c r="M245" s="326">
        <f>IF(ISNUMBER(SEARCH(ZAKL_DATA!$B$29,N245)),MAX($M$2:M244)+1,0)</f>
        <v>243.0</v>
      </c>
      <c r="N245" s="327" t="s">
        <v>1931</v>
      </c>
      <c r="O245" s="342" t="s">
        <v>1932</v>
      </c>
      <c r="Q245" s="329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327" t="s">
        <v>1931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327" t="s">
        <v>1931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327" t="s">
        <v>1931</v>
      </c>
      <c r="Z245" t="str">
        <f>IFERROR(VLOOKUP(ROWS($Z$3:Z245),$X$3:$Y$992,2,0),"")</f>
        <v>Výstavba bytových a nebytových budov</v>
      </c>
    </row>
    <row r="246" spans="10:26" ht="12.75">
      <c r="J246" s="337" t="s">
        <v>1933</v>
      </c>
      <c r="K246" s="325" t="s">
        <v>1934</v>
      </c>
      <c r="M246" s="326">
        <f>IF(ISNUMBER(SEARCH(ZAKL_DATA!$B$29,N246)),MAX($M$2:M245)+1,0)</f>
        <v>244.0</v>
      </c>
      <c r="N246" s="327" t="s">
        <v>1935</v>
      </c>
      <c r="O246" s="342" t="s">
        <v>1936</v>
      </c>
      <c r="Q246" s="329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327" t="s">
        <v>1935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327" t="s">
        <v>1935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327" t="s">
        <v>1935</v>
      </c>
      <c r="Z246" t="str">
        <f>IFERROR(VLOOKUP(ROWS($Z$3:Z246),$X$3:$Y$992,2,0),"")</f>
        <v>Výstavba silnic a železnic</v>
      </c>
    </row>
    <row r="247" spans="10:26" ht="12.75">
      <c r="J247" s="337" t="s">
        <v>1937</v>
      </c>
      <c r="K247" s="325" t="s">
        <v>1938</v>
      </c>
      <c r="M247" s="326">
        <f>IF(ISNUMBER(SEARCH(ZAKL_DATA!$B$29,N247)),MAX($M$2:M246)+1,0)</f>
        <v>245.0</v>
      </c>
      <c r="N247" s="327" t="s">
        <v>1939</v>
      </c>
      <c r="O247" s="342" t="s">
        <v>1940</v>
      </c>
      <c r="Q247" s="329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327" t="s">
        <v>1939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327" t="s">
        <v>1939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327" t="s">
        <v>1939</v>
      </c>
      <c r="Z247" t="str">
        <f>IFERROR(VLOOKUP(ROWS($Z$3:Z247),$X$3:$Y$992,2,0),"")</f>
        <v>Výstavba inženýrských sítí</v>
      </c>
    </row>
    <row r="248" spans="10:26" ht="12.75">
      <c r="J248" s="337" t="s">
        <v>1941</v>
      </c>
      <c r="K248" s="325" t="s">
        <v>1942</v>
      </c>
      <c r="M248" s="326">
        <f>IF(ISNUMBER(SEARCH(ZAKL_DATA!$B$29,N248)),MAX($M$2:M247)+1,0)</f>
        <v>246.0</v>
      </c>
      <c r="N248" s="327" t="s">
        <v>1943</v>
      </c>
      <c r="O248" s="342" t="s">
        <v>1944</v>
      </c>
      <c r="Q248" s="329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327" t="s">
        <v>1943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327" t="s">
        <v>1943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327" t="s">
        <v>1943</v>
      </c>
      <c r="Z248" t="str">
        <f>IFERROR(VLOOKUP(ROWS($Z$3:Z248),$X$3:$Y$992,2,0),"")</f>
        <v>Výstavba ostatních staveb</v>
      </c>
    </row>
    <row r="249" spans="10:26" ht="12.75">
      <c r="J249" s="337" t="s">
        <v>1945</v>
      </c>
      <c r="K249" s="325" t="s">
        <v>1946</v>
      </c>
      <c r="M249" s="326">
        <f>IF(ISNUMBER(SEARCH(ZAKL_DATA!$B$29,N249)),MAX($M$2:M248)+1,0)</f>
        <v>247.0</v>
      </c>
      <c r="N249" s="327" t="s">
        <v>1947</v>
      </c>
      <c r="O249" s="342" t="s">
        <v>1948</v>
      </c>
      <c r="Q249" s="329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327" t="s">
        <v>1947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327" t="s">
        <v>1947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327" t="s">
        <v>1947</v>
      </c>
      <c r="Z249" t="str">
        <f>IFERROR(VLOOKUP(ROWS($Z$3:Z249),$X$3:$Y$992,2,0),"")</f>
        <v>Demolice a příprava staveniště</v>
      </c>
    </row>
    <row r="250" spans="10:26" ht="12.75">
      <c r="J250" s="337" t="s">
        <v>1949</v>
      </c>
      <c r="K250" s="325" t="s">
        <v>1950</v>
      </c>
      <c r="M250" s="326">
        <f>IF(ISNUMBER(SEARCH(ZAKL_DATA!$B$29,N250)),MAX($M$2:M249)+1,0)</f>
        <v>248.0</v>
      </c>
      <c r="N250" s="327" t="s">
        <v>1951</v>
      </c>
      <c r="O250" s="342" t="s">
        <v>1952</v>
      </c>
      <c r="Q250" s="329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327" t="s">
        <v>1951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327" t="s">
        <v>1951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327" t="s">
        <v>1951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37" t="s">
        <v>1953</v>
      </c>
      <c r="K251" s="325" t="s">
        <v>1954</v>
      </c>
      <c r="M251" s="326">
        <f>IF(ISNUMBER(SEARCH(ZAKL_DATA!$B$29,N251)),MAX($M$2:M250)+1,0)</f>
        <v>249.0</v>
      </c>
      <c r="N251" s="327" t="s">
        <v>1955</v>
      </c>
      <c r="O251" s="342" t="s">
        <v>1956</v>
      </c>
      <c r="Q251" s="329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327" t="s">
        <v>1955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327" t="s">
        <v>1955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327" t="s">
        <v>1955</v>
      </c>
      <c r="Z251" t="str">
        <f>IFERROR(VLOOKUP(ROWS($Z$3:Z251),$X$3:$Y$992,2,0),"")</f>
        <v>Kompletační a dokončovací práce</v>
      </c>
    </row>
    <row r="252" spans="10:26" ht="12.75">
      <c r="J252" s="337" t="s">
        <v>1957</v>
      </c>
      <c r="K252" s="325" t="s">
        <v>1958</v>
      </c>
      <c r="M252" s="326">
        <f>IF(ISNUMBER(SEARCH(ZAKL_DATA!$B$29,N252)),MAX($M$2:M251)+1,0)</f>
        <v>250.0</v>
      </c>
      <c r="N252" s="327" t="s">
        <v>1959</v>
      </c>
      <c r="O252" s="342" t="s">
        <v>1960</v>
      </c>
      <c r="Q252" s="329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327" t="s">
        <v>1959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327" t="s">
        <v>1959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327" t="s">
        <v>1959</v>
      </c>
      <c r="Z252" t="str">
        <f>IFERROR(VLOOKUP(ROWS($Z$3:Z252),$X$3:$Y$992,2,0),"")</f>
        <v>Ostatní specializované stavební činnosti</v>
      </c>
    </row>
    <row r="253" spans="10:26" ht="13.5" thickBot="1">
      <c r="J253" s="349" t="s">
        <v>1961</v>
      </c>
      <c r="K253" s="325" t="s">
        <v>1962</v>
      </c>
      <c r="M253" s="326">
        <f>IF(ISNUMBER(SEARCH(ZAKL_DATA!$B$29,N253)),MAX($M$2:M252)+1,0)</f>
        <v>251.0</v>
      </c>
      <c r="N253" s="327" t="s">
        <v>1963</v>
      </c>
      <c r="O253" s="342" t="s">
        <v>1964</v>
      </c>
      <c r="Q253" s="329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327" t="s">
        <v>1963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327" t="s">
        <v>1963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327" t="s">
        <v>1963</v>
      </c>
      <c r="Z253" t="str">
        <f>IFERROR(VLOOKUP(ROWS($Z$3:Z253),$X$3:$Y$992,2,0),"")</f>
        <v>Obchod s motorovými vozidly, kromě motocyklů</v>
      </c>
    </row>
    <row r="254" spans="13:26" ht="12.75">
      <c r="M254" s="326">
        <f>IF(ISNUMBER(SEARCH(ZAKL_DATA!$B$29,N254)),MAX($M$2:M253)+1,0)</f>
        <v>252.0</v>
      </c>
      <c r="N254" s="327" t="s">
        <v>1965</v>
      </c>
      <c r="O254" s="342" t="s">
        <v>1966</v>
      </c>
      <c r="Q254" s="329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327" t="s">
        <v>1965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327" t="s">
        <v>1965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327" t="s">
        <v>1965</v>
      </c>
      <c r="Z254" t="str">
        <f>IFERROR(VLOOKUP(ROWS($Z$3:Z254),$X$3:$Y$992,2,0),"")</f>
        <v>Opravy a údržba motorových vozidel, kromě motocyklů</v>
      </c>
    </row>
    <row r="255" spans="13:26" ht="12.75">
      <c r="M255" s="326">
        <f>IF(ISNUMBER(SEARCH(ZAKL_DATA!$B$29,N255)),MAX($M$2:M254)+1,0)</f>
        <v>253.0</v>
      </c>
      <c r="N255" s="327" t="s">
        <v>1967</v>
      </c>
      <c r="O255" s="342" t="s">
        <v>1968</v>
      </c>
      <c r="Q255" s="329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327" t="s">
        <v>1967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327" t="s">
        <v>1967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327" t="s">
        <v>1967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26">
        <f>IF(ISNUMBER(SEARCH(ZAKL_DATA!$B$29,N256)),MAX($M$2:M255)+1,0)</f>
        <v>254.0</v>
      </c>
      <c r="N256" s="327" t="s">
        <v>1969</v>
      </c>
      <c r="O256" s="342" t="s">
        <v>1970</v>
      </c>
      <c r="Q256" s="329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327" t="s">
        <v>1969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327" t="s">
        <v>1969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327" t="s">
        <v>1969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26">
        <f>IF(ISNUMBER(SEARCH(ZAKL_DATA!$B$29,N257)),MAX($M$2:M256)+1,0)</f>
        <v>255.0</v>
      </c>
      <c r="N257" s="327" t="s">
        <v>1971</v>
      </c>
      <c r="O257" s="342" t="s">
        <v>1972</v>
      </c>
      <c r="Q257" s="329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327" t="s">
        <v>1971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327" t="s">
        <v>1971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327" t="s">
        <v>1971</v>
      </c>
      <c r="Z257" t="str">
        <f>IFERROR(VLOOKUP(ROWS($Z$3:Z257),$X$3:$Y$992,2,0),"")</f>
        <v>Zprostředkování velkoobchodu a velkoobchod v zastoupení</v>
      </c>
    </row>
    <row r="258" spans="13:26" ht="12.75">
      <c r="M258" s="326">
        <f>IF(ISNUMBER(SEARCH(ZAKL_DATA!$B$29,N258)),MAX($M$2:M257)+1,0)</f>
        <v>256.0</v>
      </c>
      <c r="N258" s="327" t="s">
        <v>1973</v>
      </c>
      <c r="O258" s="342" t="s">
        <v>1974</v>
      </c>
      <c r="Q258" s="329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327" t="s">
        <v>1973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327" t="s">
        <v>1973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327" t="s">
        <v>1973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26">
        <f>IF(ISNUMBER(SEARCH(ZAKL_DATA!$B$29,N259)),MAX($M$2:M258)+1,0)</f>
        <v>257.0</v>
      </c>
      <c r="N259" s="327" t="s">
        <v>1975</v>
      </c>
      <c r="O259" s="342" t="s">
        <v>1976</v>
      </c>
      <c r="Q259" s="329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327" t="s">
        <v>1975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327" t="s">
        <v>1975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327" t="s">
        <v>1975</v>
      </c>
      <c r="Z259" t="str">
        <f>IFERROR(VLOOKUP(ROWS($Z$3:Z259),$X$3:$Y$992,2,0),"")</f>
        <v>Velkoobchod s potravinami, nápoji a tabákovými výrobky</v>
      </c>
    </row>
    <row r="260" spans="13:26" ht="12.75">
      <c r="M260" s="326">
        <f>IF(ISNUMBER(SEARCH(ZAKL_DATA!$B$29,N260)),MAX($M$2:M259)+1,0)</f>
        <v>258.0</v>
      </c>
      <c r="N260" s="327" t="s">
        <v>1977</v>
      </c>
      <c r="O260" s="342" t="s">
        <v>1978</v>
      </c>
      <c r="Q260" s="329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327" t="s">
        <v>1977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327" t="s">
        <v>1977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327" t="s">
        <v>1977</v>
      </c>
      <c r="Z260" t="str">
        <f>IFERROR(VLOOKUP(ROWS($Z$3:Z260),$X$3:$Y$992,2,0),"")</f>
        <v>Velkoobchod s výrobky převážně pro domácnost</v>
      </c>
    </row>
    <row r="261" spans="13:26" ht="12.75">
      <c r="M261" s="326">
        <f>IF(ISNUMBER(SEARCH(ZAKL_DATA!$B$29,N261)),MAX($M$2:M260)+1,0)</f>
        <v>259.0</v>
      </c>
      <c r="N261" s="327" t="s">
        <v>1979</v>
      </c>
      <c r="O261" s="342" t="s">
        <v>1980</v>
      </c>
      <c r="Q261" s="329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327" t="s">
        <v>1979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327" t="s">
        <v>1979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327" t="s">
        <v>1979</v>
      </c>
      <c r="Z261" t="str">
        <f>IFERROR(VLOOKUP(ROWS($Z$3:Z261),$X$3:$Y$992,2,0),"")</f>
        <v>Velkoobchod s počítačovým a komunikačním zařízením</v>
      </c>
    </row>
    <row r="262" spans="13:26" ht="12.75">
      <c r="M262" s="326">
        <f>IF(ISNUMBER(SEARCH(ZAKL_DATA!$B$29,N262)),MAX($M$2:M261)+1,0)</f>
        <v>260.0</v>
      </c>
      <c r="N262" s="327" t="s">
        <v>1981</v>
      </c>
      <c r="O262" s="342" t="s">
        <v>1982</v>
      </c>
      <c r="Q262" s="329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327" t="s">
        <v>1981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327" t="s">
        <v>1981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327" t="s">
        <v>1981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26">
        <f>IF(ISNUMBER(SEARCH(ZAKL_DATA!$B$29,N263)),MAX($M$2:M262)+1,0)</f>
        <v>261.0</v>
      </c>
      <c r="N263" s="327" t="s">
        <v>1983</v>
      </c>
      <c r="O263" s="342" t="s">
        <v>1984</v>
      </c>
      <c r="Q263" s="329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327" t="s">
        <v>1983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327" t="s">
        <v>1983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327" t="s">
        <v>1983</v>
      </c>
      <c r="Z263" t="str">
        <f>IFERROR(VLOOKUP(ROWS($Z$3:Z263),$X$3:$Y$992,2,0),"")</f>
        <v>Ostatní specializovaný velkoobchod</v>
      </c>
    </row>
    <row r="264" spans="13:26" ht="12.75">
      <c r="M264" s="326">
        <f>IF(ISNUMBER(SEARCH(ZAKL_DATA!$B$29,N264)),MAX($M$2:M263)+1,0)</f>
        <v>262.0</v>
      </c>
      <c r="N264" s="327" t="s">
        <v>1985</v>
      </c>
      <c r="O264" s="342" t="s">
        <v>1986</v>
      </c>
      <c r="Q264" s="329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327" t="s">
        <v>1985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327" t="s">
        <v>1985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327" t="s">
        <v>1985</v>
      </c>
      <c r="Z264" t="str">
        <f>IFERROR(VLOOKUP(ROWS($Z$3:Z264),$X$3:$Y$992,2,0),"")</f>
        <v>Nespecializovaný velkoobchod</v>
      </c>
    </row>
    <row r="265" spans="13:26" ht="12.75">
      <c r="M265" s="326">
        <f>IF(ISNUMBER(SEARCH(ZAKL_DATA!$B$29,N265)),MAX($M$2:M264)+1,0)</f>
        <v>263.0</v>
      </c>
      <c r="N265" s="327" t="s">
        <v>1987</v>
      </c>
      <c r="O265" s="342" t="s">
        <v>1988</v>
      </c>
      <c r="Q265" s="329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327" t="s">
        <v>1987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327" t="s">
        <v>1987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327" t="s">
        <v>1987</v>
      </c>
      <c r="Z265" t="str">
        <f>IFERROR(VLOOKUP(ROWS($Z$3:Z265),$X$3:$Y$992,2,0),"")</f>
        <v>Maloobchod v nespecializovaných prodejnách</v>
      </c>
    </row>
    <row r="266" spans="13:26" ht="12.75">
      <c r="M266" s="326">
        <f>IF(ISNUMBER(SEARCH(ZAKL_DATA!$B$29,N266)),MAX($M$2:M265)+1,0)</f>
        <v>264.0</v>
      </c>
      <c r="N266" s="327" t="s">
        <v>1989</v>
      </c>
      <c r="O266" s="342" t="s">
        <v>1990</v>
      </c>
      <c r="Q266" s="329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327" t="s">
        <v>1989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327" t="s">
        <v>1989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327" t="s">
        <v>1989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26">
        <f>IF(ISNUMBER(SEARCH(ZAKL_DATA!$B$29,N267)),MAX($M$2:M266)+1,0)</f>
        <v>265.0</v>
      </c>
      <c r="N267" s="327" t="s">
        <v>1991</v>
      </c>
      <c r="O267" s="342" t="s">
        <v>1992</v>
      </c>
      <c r="Q267" s="329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327" t="s">
        <v>1991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327" t="s">
        <v>1991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327" t="s">
        <v>1991</v>
      </c>
      <c r="Z267" t="str">
        <f>IFERROR(VLOOKUP(ROWS($Z$3:Z267),$X$3:$Y$992,2,0),"")</f>
        <v>Maloobchod s pohonnými hmotami ve specializovaných prodejnách</v>
      </c>
    </row>
    <row r="268" spans="13:26" ht="12.75">
      <c r="M268" s="326">
        <f>IF(ISNUMBER(SEARCH(ZAKL_DATA!$B$29,N268)),MAX($M$2:M267)+1,0)</f>
        <v>266.0</v>
      </c>
      <c r="N268" s="327" t="s">
        <v>1993</v>
      </c>
      <c r="O268" s="342" t="s">
        <v>1994</v>
      </c>
      <c r="Q268" s="329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327" t="s">
        <v>1993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327" t="s">
        <v>1993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327" t="s">
        <v>1993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26">
        <f>IF(ISNUMBER(SEARCH(ZAKL_DATA!$B$29,N269)),MAX($M$2:M268)+1,0)</f>
        <v>267.0</v>
      </c>
      <c r="N269" s="327" t="s">
        <v>1995</v>
      </c>
      <c r="O269" s="342" t="s">
        <v>1996</v>
      </c>
      <c r="Q269" s="329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327" t="s">
        <v>1995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327" t="s">
        <v>1995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327" t="s">
        <v>1995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26">
        <f>IF(ISNUMBER(SEARCH(ZAKL_DATA!$B$29,N270)),MAX($M$2:M269)+1,0)</f>
        <v>268.0</v>
      </c>
      <c r="N270" s="327" t="s">
        <v>1997</v>
      </c>
      <c r="O270" s="342" t="s">
        <v>1998</v>
      </c>
      <c r="Q270" s="329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327" t="s">
        <v>1997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327" t="s">
        <v>1997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327" t="s">
        <v>1997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26">
        <f>IF(ISNUMBER(SEARCH(ZAKL_DATA!$B$29,N271)),MAX($M$2:M270)+1,0)</f>
        <v>269.0</v>
      </c>
      <c r="N271" s="327" t="s">
        <v>1999</v>
      </c>
      <c r="O271" s="342" t="s">
        <v>2000</v>
      </c>
      <c r="Q271" s="329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327" t="s">
        <v>1999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327" t="s">
        <v>1999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327" t="s">
        <v>1999</v>
      </c>
      <c r="Z271" t="str">
        <f>IFERROR(VLOOKUP(ROWS($Z$3:Z271),$X$3:$Y$992,2,0),"")</f>
        <v>Maloobchod s ostatním zbožím ve specializovaných prodejnách</v>
      </c>
    </row>
    <row r="272" spans="13:26" ht="12.75">
      <c r="M272" s="326">
        <f>IF(ISNUMBER(SEARCH(ZAKL_DATA!$B$29,N272)),MAX($M$2:M271)+1,0)</f>
        <v>270.0</v>
      </c>
      <c r="N272" s="327" t="s">
        <v>2001</v>
      </c>
      <c r="O272" s="342" t="s">
        <v>2002</v>
      </c>
      <c r="Q272" s="329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327" t="s">
        <v>2001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327" t="s">
        <v>2001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327" t="s">
        <v>2001</v>
      </c>
      <c r="Z272" t="str">
        <f>IFERROR(VLOOKUP(ROWS($Z$3:Z272),$X$3:$Y$992,2,0),"")</f>
        <v>Maloobchod ve stáncích a na trzích</v>
      </c>
    </row>
    <row r="273" spans="13:26" ht="12.75">
      <c r="M273" s="326">
        <f>IF(ISNUMBER(SEARCH(ZAKL_DATA!$B$29,N273)),MAX($M$2:M272)+1,0)</f>
        <v>271.0</v>
      </c>
      <c r="N273" s="327" t="s">
        <v>2003</v>
      </c>
      <c r="O273" s="342" t="s">
        <v>2004</v>
      </c>
      <c r="Q273" s="329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327" t="s">
        <v>2003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327" t="s">
        <v>2003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327" t="s">
        <v>2003</v>
      </c>
      <c r="Z273" t="str">
        <f>IFERROR(VLOOKUP(ROWS($Z$3:Z273),$X$3:$Y$992,2,0),"")</f>
        <v>Maloobchod mimo prodejny, stánky a trhy</v>
      </c>
    </row>
    <row r="274" spans="13:26" ht="12.75">
      <c r="M274" s="326">
        <f>IF(ISNUMBER(SEARCH(ZAKL_DATA!$B$29,N274)),MAX($M$2:M273)+1,0)</f>
        <v>272.0</v>
      </c>
      <c r="N274" s="327" t="s">
        <v>2005</v>
      </c>
      <c r="O274" s="342" t="s">
        <v>2006</v>
      </c>
      <c r="Q274" s="329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327" t="s">
        <v>2005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327" t="s">
        <v>2005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327" t="s">
        <v>2005</v>
      </c>
      <c r="Z274" t="str">
        <f>IFERROR(VLOOKUP(ROWS($Z$3:Z274),$X$3:$Y$992,2,0),"")</f>
        <v>železniční osobní doprava meziměstská</v>
      </c>
    </row>
    <row r="275" spans="13:26" ht="12.75">
      <c r="M275" s="326">
        <f>IF(ISNUMBER(SEARCH(ZAKL_DATA!$B$29,N275)),MAX($M$2:M274)+1,0)</f>
        <v>273.0</v>
      </c>
      <c r="N275" s="327" t="s">
        <v>2007</v>
      </c>
      <c r="O275" s="342" t="s">
        <v>2008</v>
      </c>
      <c r="Q275" s="329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327" t="s">
        <v>2007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327" t="s">
        <v>2007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327" t="s">
        <v>2007</v>
      </c>
      <c r="Z275" t="str">
        <f>IFERROR(VLOOKUP(ROWS($Z$3:Z275),$X$3:$Y$992,2,0),"")</f>
        <v>železniční nákladní doprava</v>
      </c>
    </row>
    <row r="276" spans="13:26" ht="12.75">
      <c r="M276" s="326">
        <f>IF(ISNUMBER(SEARCH(ZAKL_DATA!$B$29,N276)),MAX($M$2:M275)+1,0)</f>
        <v>274.0</v>
      </c>
      <c r="N276" s="327" t="s">
        <v>2009</v>
      </c>
      <c r="O276" s="342" t="s">
        <v>2010</v>
      </c>
      <c r="Q276" s="329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327" t="s">
        <v>2009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327" t="s">
        <v>2009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327" t="s">
        <v>2009</v>
      </c>
      <c r="Z276" t="str">
        <f>IFERROR(VLOOKUP(ROWS($Z$3:Z276),$X$3:$Y$992,2,0),"")</f>
        <v>Ostatní pozemní osobní doprava</v>
      </c>
    </row>
    <row r="277" spans="13:26" ht="12.75">
      <c r="M277" s="326">
        <f>IF(ISNUMBER(SEARCH(ZAKL_DATA!$B$29,N277)),MAX($M$2:M276)+1,0)</f>
        <v>275.0</v>
      </c>
      <c r="N277" s="327" t="s">
        <v>2011</v>
      </c>
      <c r="O277" s="342" t="s">
        <v>2012</v>
      </c>
      <c r="Q277" s="329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327" t="s">
        <v>2011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327" t="s">
        <v>2011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327" t="s">
        <v>2011</v>
      </c>
      <c r="Z277" t="str">
        <f>IFERROR(VLOOKUP(ROWS($Z$3:Z277),$X$3:$Y$992,2,0),"")</f>
        <v>Silniční nákladní doprava a stěhovací služby</v>
      </c>
    </row>
    <row r="278" spans="13:26" ht="12.75">
      <c r="M278" s="326">
        <f>IF(ISNUMBER(SEARCH(ZAKL_DATA!$B$29,N278)),MAX($M$2:M277)+1,0)</f>
        <v>276.0</v>
      </c>
      <c r="N278" s="327" t="s">
        <v>2013</v>
      </c>
      <c r="O278" s="342" t="s">
        <v>2014</v>
      </c>
      <c r="Q278" s="329" t="str">
        <f>IFERROR(VLOOKUP(ROWS($Q$3:Q278),$M$3:$N$992,2,0),"")</f>
        <v>Potrubní doprava</v>
      </c>
      <c r="R278">
        <f>IF(ISNUMBER(SEARCH('1Př1'!$A$32,N278)),MAX($M$2:M277)+1,0)</f>
        <v>276.0</v>
      </c>
      <c r="S278" s="327" t="s">
        <v>2013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327" t="s">
        <v>2013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327" t="s">
        <v>2013</v>
      </c>
      <c r="Z278" t="str">
        <f>IFERROR(VLOOKUP(ROWS($Z$3:Z278),$X$3:$Y$992,2,0),"")</f>
        <v>Potrubní doprava</v>
      </c>
    </row>
    <row r="279" spans="13:26" ht="12.75">
      <c r="M279" s="326">
        <f>IF(ISNUMBER(SEARCH(ZAKL_DATA!$B$29,N279)),MAX($M$2:M278)+1,0)</f>
        <v>277.0</v>
      </c>
      <c r="N279" s="327" t="s">
        <v>2015</v>
      </c>
      <c r="O279" s="342" t="s">
        <v>2016</v>
      </c>
      <c r="Q279" s="329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327" t="s">
        <v>2015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327" t="s">
        <v>2015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327" t="s">
        <v>2015</v>
      </c>
      <c r="Z279" t="str">
        <f>IFERROR(VLOOKUP(ROWS($Z$3:Z279),$X$3:$Y$992,2,0),"")</f>
        <v>Námořní a pobřežní osobní doprava</v>
      </c>
    </row>
    <row r="280" spans="13:26" ht="12.75">
      <c r="M280" s="326">
        <f>IF(ISNUMBER(SEARCH(ZAKL_DATA!$B$29,N280)),MAX($M$2:M279)+1,0)</f>
        <v>278.0</v>
      </c>
      <c r="N280" s="327" t="s">
        <v>2017</v>
      </c>
      <c r="O280" s="342" t="s">
        <v>2018</v>
      </c>
      <c r="Q280" s="329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327" t="s">
        <v>2017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327" t="s">
        <v>2017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327" t="s">
        <v>2017</v>
      </c>
      <c r="Z280" t="str">
        <f>IFERROR(VLOOKUP(ROWS($Z$3:Z280),$X$3:$Y$992,2,0),"")</f>
        <v>Námořní a pobřežní nákladní doprava</v>
      </c>
    </row>
    <row r="281" spans="13:26" ht="12.75">
      <c r="M281" s="326">
        <f>IF(ISNUMBER(SEARCH(ZAKL_DATA!$B$29,N281)),MAX($M$2:M280)+1,0)</f>
        <v>279.0</v>
      </c>
      <c r="N281" s="327" t="s">
        <v>2019</v>
      </c>
      <c r="O281" s="342" t="s">
        <v>2020</v>
      </c>
      <c r="Q281" s="329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327" t="s">
        <v>2019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327" t="s">
        <v>2019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327" t="s">
        <v>2019</v>
      </c>
      <c r="Z281" t="str">
        <f>IFERROR(VLOOKUP(ROWS($Z$3:Z281),$X$3:$Y$992,2,0),"")</f>
        <v>Vnitrozemská vodní osobní doprava</v>
      </c>
    </row>
    <row r="282" spans="13:26" ht="12.75">
      <c r="M282" s="326">
        <f>IF(ISNUMBER(SEARCH(ZAKL_DATA!$B$29,N282)),MAX($M$2:M281)+1,0)</f>
        <v>280.0</v>
      </c>
      <c r="N282" s="327" t="s">
        <v>2021</v>
      </c>
      <c r="O282" s="342" t="s">
        <v>2022</v>
      </c>
      <c r="Q282" s="329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327" t="s">
        <v>2021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327" t="s">
        <v>2021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327" t="s">
        <v>2021</v>
      </c>
      <c r="Z282" t="str">
        <f>IFERROR(VLOOKUP(ROWS($Z$3:Z282),$X$3:$Y$992,2,0),"")</f>
        <v>Vnitrozemská vodní nákladní doprava</v>
      </c>
    </row>
    <row r="283" spans="13:26" ht="12.75">
      <c r="M283" s="326">
        <f>IF(ISNUMBER(SEARCH(ZAKL_DATA!$B$29,N283)),MAX($M$2:M282)+1,0)</f>
        <v>281.0</v>
      </c>
      <c r="N283" s="327" t="s">
        <v>2023</v>
      </c>
      <c r="O283" s="342" t="s">
        <v>2024</v>
      </c>
      <c r="Q283" s="329" t="str">
        <f>IFERROR(VLOOKUP(ROWS($Q$3:Q283),$M$3:$N$992,2,0),"")</f>
        <v>Letecká osobní doprava</v>
      </c>
      <c r="R283">
        <f>IF(ISNUMBER(SEARCH('1Př1'!$A$32,N283)),MAX($M$2:M282)+1,0)</f>
        <v>281.0</v>
      </c>
      <c r="S283" s="327" t="s">
        <v>2023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327" t="s">
        <v>2023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327" t="s">
        <v>2023</v>
      </c>
      <c r="Z283" t="str">
        <f>IFERROR(VLOOKUP(ROWS($Z$3:Z283),$X$3:$Y$992,2,0),"")</f>
        <v>Letecká osobní doprava</v>
      </c>
    </row>
    <row r="284" spans="13:26" ht="12.75">
      <c r="M284" s="326">
        <f>IF(ISNUMBER(SEARCH(ZAKL_DATA!$B$29,N284)),MAX($M$2:M283)+1,0)</f>
        <v>282.0</v>
      </c>
      <c r="N284" s="327" t="s">
        <v>2025</v>
      </c>
      <c r="O284" s="342" t="s">
        <v>2026</v>
      </c>
      <c r="Q284" s="329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327" t="s">
        <v>2025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327" t="s">
        <v>2025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327" t="s">
        <v>2025</v>
      </c>
      <c r="Z284" t="str">
        <f>IFERROR(VLOOKUP(ROWS($Z$3:Z284),$X$3:$Y$992,2,0),"")</f>
        <v>Letecká nákladní doprava a kosmická doprava</v>
      </c>
    </row>
    <row r="285" spans="13:26" ht="12.75">
      <c r="M285" s="326">
        <f>IF(ISNUMBER(SEARCH(ZAKL_DATA!$B$29,N285)),MAX($M$2:M284)+1,0)</f>
        <v>283.0</v>
      </c>
      <c r="N285" s="327" t="s">
        <v>2027</v>
      </c>
      <c r="O285" s="342" t="s">
        <v>2028</v>
      </c>
      <c r="Q285" s="329" t="str">
        <f>IFERROR(VLOOKUP(ROWS($Q$3:Q285),$M$3:$N$992,2,0),"")</f>
        <v>Skladování</v>
      </c>
      <c r="R285">
        <f>IF(ISNUMBER(SEARCH('1Př1'!$A$32,N285)),MAX($M$2:M284)+1,0)</f>
        <v>283.0</v>
      </c>
      <c r="S285" s="327" t="s">
        <v>2027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327" t="s">
        <v>2027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327" t="s">
        <v>2027</v>
      </c>
      <c r="Z285" t="str">
        <f>IFERROR(VLOOKUP(ROWS($Z$3:Z285),$X$3:$Y$992,2,0),"")</f>
        <v>Skladování</v>
      </c>
    </row>
    <row r="286" spans="13:26" ht="12.75">
      <c r="M286" s="326">
        <f>IF(ISNUMBER(SEARCH(ZAKL_DATA!$B$29,N286)),MAX($M$2:M285)+1,0)</f>
        <v>284.0</v>
      </c>
      <c r="N286" s="327" t="s">
        <v>2029</v>
      </c>
      <c r="O286" s="342" t="s">
        <v>2030</v>
      </c>
      <c r="Q286" s="329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327" t="s">
        <v>2029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327" t="s">
        <v>2029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327" t="s">
        <v>2029</v>
      </c>
      <c r="Z286" t="str">
        <f>IFERROR(VLOOKUP(ROWS($Z$3:Z286),$X$3:$Y$992,2,0),"")</f>
        <v>Vedlejší činnosti v dopravě</v>
      </c>
    </row>
    <row r="287" spans="13:26" ht="12.75">
      <c r="M287" s="326">
        <f>IF(ISNUMBER(SEARCH(ZAKL_DATA!$B$29,N287)),MAX($M$2:M286)+1,0)</f>
        <v>285.0</v>
      </c>
      <c r="N287" s="327" t="s">
        <v>2031</v>
      </c>
      <c r="O287" s="342" t="s">
        <v>2032</v>
      </c>
      <c r="Q287" s="329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327" t="s">
        <v>2031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327" t="s">
        <v>2031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327" t="s">
        <v>2031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26">
        <f>IF(ISNUMBER(SEARCH(ZAKL_DATA!$B$29,N288)),MAX($M$2:M287)+1,0)</f>
        <v>286.0</v>
      </c>
      <c r="N288" s="327" t="s">
        <v>2033</v>
      </c>
      <c r="O288" s="342" t="s">
        <v>2034</v>
      </c>
      <c r="Q288" s="329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327" t="s">
        <v>2033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327" t="s">
        <v>2033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327" t="s">
        <v>2033</v>
      </c>
      <c r="Z288" t="str">
        <f>IFERROR(VLOOKUP(ROWS($Z$3:Z288),$X$3:$Y$992,2,0),"")</f>
        <v>Ostatní poštovní a kurýrní činnosti</v>
      </c>
    </row>
    <row r="289" spans="13:26" ht="12.75">
      <c r="M289" s="326">
        <f>IF(ISNUMBER(SEARCH(ZAKL_DATA!$B$29,N289)),MAX($M$2:M288)+1,0)</f>
        <v>287.0</v>
      </c>
      <c r="N289" s="327" t="s">
        <v>2035</v>
      </c>
      <c r="O289" s="342" t="s">
        <v>2036</v>
      </c>
      <c r="Q289" s="329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327" t="s">
        <v>2035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327" t="s">
        <v>2035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327" t="s">
        <v>2035</v>
      </c>
      <c r="Z289" t="str">
        <f>IFERROR(VLOOKUP(ROWS($Z$3:Z289),$X$3:$Y$992,2,0),"")</f>
        <v>Ubytování v hotelích a podobných ubytovacích zařízeních</v>
      </c>
    </row>
    <row r="290" spans="13:26" ht="12.75">
      <c r="M290" s="326">
        <f>IF(ISNUMBER(SEARCH(ZAKL_DATA!$B$29,N290)),MAX($M$2:M289)+1,0)</f>
        <v>288.0</v>
      </c>
      <c r="N290" s="327" t="s">
        <v>2037</v>
      </c>
      <c r="O290" s="342" t="s">
        <v>2038</v>
      </c>
      <c r="Q290" s="329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327" t="s">
        <v>2037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327" t="s">
        <v>2037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327" t="s">
        <v>2037</v>
      </c>
      <c r="Z290" t="str">
        <f>IFERROR(VLOOKUP(ROWS($Z$3:Z290),$X$3:$Y$992,2,0),"")</f>
        <v>Rekreační a ostatní krátkodobé ubytování</v>
      </c>
    </row>
    <row r="291" spans="13:26" ht="12.75">
      <c r="M291" s="326">
        <f>IF(ISNUMBER(SEARCH(ZAKL_DATA!$B$29,N291)),MAX($M$2:M290)+1,0)</f>
        <v>289.0</v>
      </c>
      <c r="N291" s="327" t="s">
        <v>2039</v>
      </c>
      <c r="O291" s="342" t="s">
        <v>2040</v>
      </c>
      <c r="Q291" s="329" t="str">
        <f>IFERROR(VLOOKUP(ROWS($Q$3:Q291),$M$3:$N$992,2,0),"")</f>
        <v>Kempy a tábořiště</v>
      </c>
      <c r="R291">
        <f>IF(ISNUMBER(SEARCH('1Př1'!$A$32,N291)),MAX($M$2:M290)+1,0)</f>
        <v>289.0</v>
      </c>
      <c r="S291" s="327" t="s">
        <v>2039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327" t="s">
        <v>2039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327" t="s">
        <v>2039</v>
      </c>
      <c r="Z291" t="str">
        <f>IFERROR(VLOOKUP(ROWS($Z$3:Z291),$X$3:$Y$992,2,0),"")</f>
        <v>Kempy a tábořiště</v>
      </c>
    </row>
    <row r="292" spans="13:26" ht="12.75">
      <c r="M292" s="326">
        <f>IF(ISNUMBER(SEARCH(ZAKL_DATA!$B$29,N292)),MAX($M$2:M291)+1,0)</f>
        <v>290.0</v>
      </c>
      <c r="N292" s="327" t="s">
        <v>2041</v>
      </c>
      <c r="O292" s="342" t="s">
        <v>2042</v>
      </c>
      <c r="Q292" s="329" t="str">
        <f>IFERROR(VLOOKUP(ROWS($Q$3:Q292),$M$3:$N$992,2,0),"")</f>
        <v>Ostatní ubytování</v>
      </c>
      <c r="R292">
        <f>IF(ISNUMBER(SEARCH('1Př1'!$A$32,N292)),MAX($M$2:M291)+1,0)</f>
        <v>290.0</v>
      </c>
      <c r="S292" s="327" t="s">
        <v>2041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327" t="s">
        <v>2041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327" t="s">
        <v>2041</v>
      </c>
      <c r="Z292" t="str">
        <f>IFERROR(VLOOKUP(ROWS($Z$3:Z292),$X$3:$Y$992,2,0),"")</f>
        <v>Ostatní ubytování</v>
      </c>
    </row>
    <row r="293" spans="13:26" ht="12.75">
      <c r="M293" s="326">
        <f>IF(ISNUMBER(SEARCH(ZAKL_DATA!$B$29,N293)),MAX($M$2:M292)+1,0)</f>
        <v>291.0</v>
      </c>
      <c r="N293" s="327" t="s">
        <v>2043</v>
      </c>
      <c r="O293" s="342" t="s">
        <v>2044</v>
      </c>
      <c r="Q293" s="329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327" t="s">
        <v>2043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327" t="s">
        <v>2043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327" t="s">
        <v>2043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26">
        <f>IF(ISNUMBER(SEARCH(ZAKL_DATA!$B$29,N294)),MAX($M$2:M293)+1,0)</f>
        <v>292.0</v>
      </c>
      <c r="N294" s="327" t="s">
        <v>2045</v>
      </c>
      <c r="O294" s="342" t="s">
        <v>2046</v>
      </c>
      <c r="Q294" s="329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327" t="s">
        <v>2045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327" t="s">
        <v>2045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327" t="s">
        <v>2045</v>
      </c>
      <c r="Z294" t="str">
        <f>IFERROR(VLOOKUP(ROWS($Z$3:Z294),$X$3:$Y$992,2,0),"")</f>
        <v>Poskytování cateringových a ostatních stravovacích služeb</v>
      </c>
    </row>
    <row r="295" spans="13:26" ht="12.75">
      <c r="M295" s="326">
        <f>IF(ISNUMBER(SEARCH(ZAKL_DATA!$B$29,N295)),MAX($M$2:M294)+1,0)</f>
        <v>293.0</v>
      </c>
      <c r="N295" s="327" t="s">
        <v>2047</v>
      </c>
      <c r="O295" s="342" t="s">
        <v>2048</v>
      </c>
      <c r="Q295" s="329" t="str">
        <f>IFERROR(VLOOKUP(ROWS($Q$3:Q295),$M$3:$N$992,2,0),"")</f>
        <v>Pohostinství</v>
      </c>
      <c r="R295">
        <f>IF(ISNUMBER(SEARCH('1Př1'!$A$32,N295)),MAX($M$2:M294)+1,0)</f>
        <v>293.0</v>
      </c>
      <c r="S295" s="327" t="s">
        <v>2047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327" t="s">
        <v>2047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327" t="s">
        <v>2047</v>
      </c>
      <c r="Z295" t="str">
        <f>IFERROR(VLOOKUP(ROWS($Z$3:Z295),$X$3:$Y$992,2,0),"")</f>
        <v>Pohostinství</v>
      </c>
    </row>
    <row r="296" spans="13:26" ht="12.75">
      <c r="M296" s="326">
        <f>IF(ISNUMBER(SEARCH(ZAKL_DATA!$B$29,N296)),MAX($M$2:M295)+1,0)</f>
        <v>294.0</v>
      </c>
      <c r="N296" s="327" t="s">
        <v>2049</v>
      </c>
      <c r="O296" s="342" t="s">
        <v>2050</v>
      </c>
      <c r="Q296" s="329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327" t="s">
        <v>2049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327" t="s">
        <v>2049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327" t="s">
        <v>2049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26">
        <f>IF(ISNUMBER(SEARCH(ZAKL_DATA!$B$29,N297)),MAX($M$2:M296)+1,0)</f>
        <v>295.0</v>
      </c>
      <c r="N297" s="327" t="s">
        <v>2051</v>
      </c>
      <c r="O297" s="342" t="s">
        <v>2052</v>
      </c>
      <c r="Q297" s="329" t="str">
        <f>IFERROR(VLOOKUP(ROWS($Q$3:Q297),$M$3:$N$992,2,0),"")</f>
        <v>Vydávání softwaru</v>
      </c>
      <c r="R297">
        <f>IF(ISNUMBER(SEARCH('1Př1'!$A$32,N297)),MAX($M$2:M296)+1,0)</f>
        <v>295.0</v>
      </c>
      <c r="S297" s="327" t="s">
        <v>2051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327" t="s">
        <v>2051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327" t="s">
        <v>2051</v>
      </c>
      <c r="Z297" t="str">
        <f>IFERROR(VLOOKUP(ROWS($Z$3:Z297),$X$3:$Y$992,2,0),"")</f>
        <v>Vydávání softwaru</v>
      </c>
    </row>
    <row r="298" spans="13:26" ht="12.75">
      <c r="M298" s="326">
        <f>IF(ISNUMBER(SEARCH(ZAKL_DATA!$B$29,N298)),MAX($M$2:M297)+1,0)</f>
        <v>296.0</v>
      </c>
      <c r="N298" s="327" t="s">
        <v>2053</v>
      </c>
      <c r="O298" s="342" t="s">
        <v>2054</v>
      </c>
      <c r="Q298" s="329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327" t="s">
        <v>2053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327" t="s">
        <v>2053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327" t="s">
        <v>2053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26">
        <f>IF(ISNUMBER(SEARCH(ZAKL_DATA!$B$29,N299)),MAX($M$2:M298)+1,0)</f>
        <v>297.0</v>
      </c>
      <c r="N299" s="327" t="s">
        <v>2055</v>
      </c>
      <c r="O299" s="342" t="s">
        <v>2056</v>
      </c>
      <c r="Q299" s="329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327" t="s">
        <v>2055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327" t="s">
        <v>2055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327" t="s">
        <v>2055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26">
        <f>IF(ISNUMBER(SEARCH(ZAKL_DATA!$B$29,N300)),MAX($M$2:M299)+1,0)</f>
        <v>298.0</v>
      </c>
      <c r="N300" s="327" t="s">
        <v>2057</v>
      </c>
      <c r="O300" s="342" t="s">
        <v>2058</v>
      </c>
      <c r="Q300" s="329" t="str">
        <f>IFERROR(VLOOKUP(ROWS($Q$3:Q300),$M$3:$N$992,2,0),"")</f>
        <v>Rozhlasové vysílání</v>
      </c>
      <c r="R300">
        <f>IF(ISNUMBER(SEARCH('1Př1'!$A$32,N300)),MAX($M$2:M299)+1,0)</f>
        <v>298.0</v>
      </c>
      <c r="S300" s="327" t="s">
        <v>2057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327" t="s">
        <v>2057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327" t="s">
        <v>2057</v>
      </c>
      <c r="Z300" t="str">
        <f>IFERROR(VLOOKUP(ROWS($Z$3:Z300),$X$3:$Y$992,2,0),"")</f>
        <v>Rozhlasové vysílání</v>
      </c>
    </row>
    <row r="301" spans="13:26" ht="12.75">
      <c r="M301" s="326">
        <f>IF(ISNUMBER(SEARCH(ZAKL_DATA!$B$29,N301)),MAX($M$2:M300)+1,0)</f>
        <v>299.0</v>
      </c>
      <c r="N301" s="327" t="s">
        <v>2059</v>
      </c>
      <c r="O301" s="342" t="s">
        <v>2060</v>
      </c>
      <c r="Q301" s="329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327" t="s">
        <v>2059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327" t="s">
        <v>2059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327" t="s">
        <v>2059</v>
      </c>
      <c r="Z301" t="str">
        <f>IFERROR(VLOOKUP(ROWS($Z$3:Z301),$X$3:$Y$992,2,0),"")</f>
        <v>Tvorba televizních programů a televizní vysílání</v>
      </c>
    </row>
    <row r="302" spans="13:26" ht="12.75">
      <c r="M302" s="326">
        <f>IF(ISNUMBER(SEARCH(ZAKL_DATA!$B$29,N302)),MAX($M$2:M301)+1,0)</f>
        <v>300.0</v>
      </c>
      <c r="N302" s="327" t="s">
        <v>2061</v>
      </c>
      <c r="O302" s="342" t="s">
        <v>2062</v>
      </c>
      <c r="Q302" s="329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327" t="s">
        <v>2061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327" t="s">
        <v>2061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327" t="s">
        <v>2061</v>
      </c>
      <c r="Z302" t="str">
        <f>IFERROR(VLOOKUP(ROWS($Z$3:Z302),$X$3:$Y$992,2,0),"")</f>
        <v>Činnosti související s pevnou telekomunikační sítí</v>
      </c>
    </row>
    <row r="303" spans="13:26" ht="12.75">
      <c r="M303" s="326">
        <f>IF(ISNUMBER(SEARCH(ZAKL_DATA!$B$29,N303)),MAX($M$2:M302)+1,0)</f>
        <v>301.0</v>
      </c>
      <c r="N303" s="327" t="s">
        <v>2063</v>
      </c>
      <c r="O303" s="342" t="s">
        <v>2064</v>
      </c>
      <c r="Q303" s="329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327" t="s">
        <v>2063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327" t="s">
        <v>2063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327" t="s">
        <v>2063</v>
      </c>
      <c r="Z303" t="str">
        <f>IFERROR(VLOOKUP(ROWS($Z$3:Z303),$X$3:$Y$992,2,0),"")</f>
        <v>Činnosti související s bezdrátovou telekomunikační sítí</v>
      </c>
    </row>
    <row r="304" spans="13:26" ht="12.75">
      <c r="M304" s="326">
        <f>IF(ISNUMBER(SEARCH(ZAKL_DATA!$B$29,N304)),MAX($M$2:M303)+1,0)</f>
        <v>302.0</v>
      </c>
      <c r="N304" s="327" t="s">
        <v>2065</v>
      </c>
      <c r="O304" s="342" t="s">
        <v>2066</v>
      </c>
      <c r="Q304" s="329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327" t="s">
        <v>2065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327" t="s">
        <v>2065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327" t="s">
        <v>2065</v>
      </c>
      <c r="Z304" t="str">
        <f>IFERROR(VLOOKUP(ROWS($Z$3:Z304),$X$3:$Y$992,2,0),"")</f>
        <v>Činnosti související se satelitní telekomunikační sítí</v>
      </c>
    </row>
    <row r="305" spans="13:26" ht="12.75">
      <c r="M305" s="326">
        <f>IF(ISNUMBER(SEARCH(ZAKL_DATA!$B$29,N305)),MAX($M$2:M304)+1,0)</f>
        <v>303.0</v>
      </c>
      <c r="N305" s="327" t="s">
        <v>2067</v>
      </c>
      <c r="O305" s="342" t="s">
        <v>2068</v>
      </c>
      <c r="Q305" s="329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327" t="s">
        <v>2067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327" t="s">
        <v>2067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327" t="s">
        <v>2067</v>
      </c>
      <c r="Z305" t="str">
        <f>IFERROR(VLOOKUP(ROWS($Z$3:Z305),$X$3:$Y$992,2,0),"")</f>
        <v>Ostatní telekomunikační činnosti</v>
      </c>
    </row>
    <row r="306" spans="13:26" ht="12.75">
      <c r="M306" s="326">
        <f>IF(ISNUMBER(SEARCH(ZAKL_DATA!$B$29,N306)),MAX($M$2:M305)+1,0)</f>
        <v>304.0</v>
      </c>
      <c r="N306" s="327" t="s">
        <v>2069</v>
      </c>
      <c r="O306" s="342" t="s">
        <v>2070</v>
      </c>
      <c r="Q306" s="329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327" t="s">
        <v>2069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327" t="s">
        <v>2069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327" t="s">
        <v>2069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26">
        <f>IF(ISNUMBER(SEARCH(ZAKL_DATA!$B$29,N307)),MAX($M$2:M306)+1,0)</f>
        <v>305.0</v>
      </c>
      <c r="N307" s="327" t="s">
        <v>2071</v>
      </c>
      <c r="O307" s="342" t="s">
        <v>2072</v>
      </c>
      <c r="Q307" s="329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327" t="s">
        <v>2071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327" t="s">
        <v>2071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327" t="s">
        <v>2071</v>
      </c>
      <c r="Z307" t="str">
        <f>IFERROR(VLOOKUP(ROWS($Z$3:Z307),$X$3:$Y$992,2,0),"")</f>
        <v>Ostatní informační činnosti</v>
      </c>
    </row>
    <row r="308" spans="13:26" ht="12.75">
      <c r="M308" s="326">
        <f>IF(ISNUMBER(SEARCH(ZAKL_DATA!$B$29,N308)),MAX($M$2:M307)+1,0)</f>
        <v>306.0</v>
      </c>
      <c r="N308" s="327" t="s">
        <v>2073</v>
      </c>
      <c r="O308" s="342" t="s">
        <v>2074</v>
      </c>
      <c r="Q308" s="329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327" t="s">
        <v>2073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327" t="s">
        <v>2073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327" t="s">
        <v>2073</v>
      </c>
      <c r="Z308" t="str">
        <f>IFERROR(VLOOKUP(ROWS($Z$3:Z308),$X$3:$Y$992,2,0),"")</f>
        <v>Peněžní zprostředkování</v>
      </c>
    </row>
    <row r="309" spans="13:26" ht="12.75">
      <c r="M309" s="326">
        <f>IF(ISNUMBER(SEARCH(ZAKL_DATA!$B$29,N309)),MAX($M$2:M308)+1,0)</f>
        <v>307.0</v>
      </c>
      <c r="N309" s="327" t="s">
        <v>2075</v>
      </c>
      <c r="O309" s="342" t="s">
        <v>2076</v>
      </c>
      <c r="Q309" s="329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327" t="s">
        <v>2075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327" t="s">
        <v>2075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327" t="s">
        <v>2075</v>
      </c>
      <c r="Z309" t="str">
        <f>IFERROR(VLOOKUP(ROWS($Z$3:Z309),$X$3:$Y$992,2,0),"")</f>
        <v>Činnosti holdingových společností</v>
      </c>
    </row>
    <row r="310" spans="13:26" ht="12.75">
      <c r="M310" s="326">
        <f>IF(ISNUMBER(SEARCH(ZAKL_DATA!$B$29,N310)),MAX($M$2:M309)+1,0)</f>
        <v>308.0</v>
      </c>
      <c r="N310" s="327" t="s">
        <v>2077</v>
      </c>
      <c r="O310" s="342" t="s">
        <v>2078</v>
      </c>
      <c r="Q310" s="329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327" t="s">
        <v>2077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327" t="s">
        <v>2077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327" t="s">
        <v>2077</v>
      </c>
      <c r="Z310" t="str">
        <f>IFERROR(VLOOKUP(ROWS($Z$3:Z310),$X$3:$Y$992,2,0),"")</f>
        <v>Činnosti trustů, fondů a podobných finančních subjektů</v>
      </c>
    </row>
    <row r="311" spans="13:26" ht="12.75">
      <c r="M311" s="326">
        <f>IF(ISNUMBER(SEARCH(ZAKL_DATA!$B$29,N311)),MAX($M$2:M310)+1,0)</f>
        <v>309.0</v>
      </c>
      <c r="N311" s="327" t="s">
        <v>2079</v>
      </c>
      <c r="O311" s="342" t="s">
        <v>2080</v>
      </c>
      <c r="Q311" s="329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327" t="s">
        <v>2079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327" t="s">
        <v>2079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327" t="s">
        <v>2079</v>
      </c>
      <c r="Z311" t="str">
        <f>IFERROR(VLOOKUP(ROWS($Z$3:Z311),$X$3:$Y$992,2,0),"")</f>
        <v>Ostatní finanční zprostředkování</v>
      </c>
    </row>
    <row r="312" spans="13:26" ht="12.75">
      <c r="M312" s="326">
        <f>IF(ISNUMBER(SEARCH(ZAKL_DATA!$B$29,N312)),MAX($M$2:M311)+1,0)</f>
        <v>310.0</v>
      </c>
      <c r="N312" s="327" t="s">
        <v>291</v>
      </c>
      <c r="O312" s="342" t="s">
        <v>2081</v>
      </c>
      <c r="Q312" s="329" t="str">
        <f>IFERROR(VLOOKUP(ROWS($Q$3:Q312),$M$3:$N$992,2,0),"")</f>
        <v>Pojištění</v>
      </c>
      <c r="R312">
        <f>IF(ISNUMBER(SEARCH('1Př1'!$A$32,N312)),MAX($M$2:M311)+1,0)</f>
        <v>310.0</v>
      </c>
      <c r="S312" s="327" t="s">
        <v>291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327" t="s">
        <v>291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327" t="s">
        <v>291</v>
      </c>
      <c r="Z312" t="str">
        <f>IFERROR(VLOOKUP(ROWS($Z$3:Z312),$X$3:$Y$992,2,0),"")</f>
        <v>Pojištění</v>
      </c>
    </row>
    <row r="313" spans="13:26" ht="12.75">
      <c r="M313" s="326">
        <f>IF(ISNUMBER(SEARCH(ZAKL_DATA!$B$29,N313)),MAX($M$2:M312)+1,0)</f>
        <v>311.0</v>
      </c>
      <c r="N313" s="327" t="s">
        <v>2082</v>
      </c>
      <c r="O313" s="342" t="s">
        <v>2083</v>
      </c>
      <c r="Q313" s="329" t="str">
        <f>IFERROR(VLOOKUP(ROWS($Q$3:Q313),$M$3:$N$992,2,0),"")</f>
        <v>Zajištění</v>
      </c>
      <c r="R313">
        <f>IF(ISNUMBER(SEARCH('1Př1'!$A$32,N313)),MAX($M$2:M312)+1,0)</f>
        <v>311.0</v>
      </c>
      <c r="S313" s="327" t="s">
        <v>2082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327" t="s">
        <v>2082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327" t="s">
        <v>2082</v>
      </c>
      <c r="Z313" t="str">
        <f>IFERROR(VLOOKUP(ROWS($Z$3:Z313),$X$3:$Y$992,2,0),"")</f>
        <v>Zajištění</v>
      </c>
    </row>
    <row r="314" spans="13:26" ht="12.75">
      <c r="M314" s="326">
        <f>IF(ISNUMBER(SEARCH(ZAKL_DATA!$B$29,N314)),MAX($M$2:M313)+1,0)</f>
        <v>312.0</v>
      </c>
      <c r="N314" s="327" t="s">
        <v>2084</v>
      </c>
      <c r="O314" s="342" t="s">
        <v>2085</v>
      </c>
      <c r="Q314" s="329" t="str">
        <f>IFERROR(VLOOKUP(ROWS($Q$3:Q314),$M$3:$N$992,2,0),"")</f>
        <v>Penzijní financování</v>
      </c>
      <c r="R314">
        <f>IF(ISNUMBER(SEARCH('1Př1'!$A$32,N314)),MAX($M$2:M313)+1,0)</f>
        <v>312.0</v>
      </c>
      <c r="S314" s="327" t="s">
        <v>2084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327" t="s">
        <v>2084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327" t="s">
        <v>2084</v>
      </c>
      <c r="Z314" t="str">
        <f>IFERROR(VLOOKUP(ROWS($Z$3:Z314),$X$3:$Y$992,2,0),"")</f>
        <v>Penzijní financování</v>
      </c>
    </row>
    <row r="315" spans="13:26" ht="12.75">
      <c r="M315" s="326">
        <f>IF(ISNUMBER(SEARCH(ZAKL_DATA!$B$29,N315)),MAX($M$2:M314)+1,0)</f>
        <v>313.0</v>
      </c>
      <c r="N315" s="327" t="s">
        <v>2086</v>
      </c>
      <c r="O315" s="342" t="s">
        <v>2087</v>
      </c>
      <c r="Q315" s="329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327" t="s">
        <v>2086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327" t="s">
        <v>2086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327" t="s">
        <v>2086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26">
        <f>IF(ISNUMBER(SEARCH(ZAKL_DATA!$B$29,N316)),MAX($M$2:M315)+1,0)</f>
        <v>314.0</v>
      </c>
      <c r="N316" s="327" t="s">
        <v>2088</v>
      </c>
      <c r="O316" s="342" t="s">
        <v>2089</v>
      </c>
      <c r="Q316" s="329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327" t="s">
        <v>2088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327" t="s">
        <v>2088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327" t="s">
        <v>2088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26">
        <f>IF(ISNUMBER(SEARCH(ZAKL_DATA!$B$29,N317)),MAX($M$2:M316)+1,0)</f>
        <v>315.0</v>
      </c>
      <c r="N317" s="327" t="s">
        <v>2090</v>
      </c>
      <c r="O317" s="342" t="s">
        <v>2091</v>
      </c>
      <c r="Q317" s="329" t="str">
        <f>IFERROR(VLOOKUP(ROWS($Q$3:Q317),$M$3:$N$992,2,0),"")</f>
        <v>Správa fondů</v>
      </c>
      <c r="R317">
        <f>IF(ISNUMBER(SEARCH('1Př1'!$A$32,N317)),MAX($M$2:M316)+1,0)</f>
        <v>315.0</v>
      </c>
      <c r="S317" s="327" t="s">
        <v>2090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327" t="s">
        <v>2090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327" t="s">
        <v>2090</v>
      </c>
      <c r="Z317" t="str">
        <f>IFERROR(VLOOKUP(ROWS($Z$3:Z317),$X$3:$Y$992,2,0),"")</f>
        <v>Správa fondů</v>
      </c>
    </row>
    <row r="318" spans="13:26" ht="12.75">
      <c r="M318" s="326">
        <f>IF(ISNUMBER(SEARCH(ZAKL_DATA!$B$29,N318)),MAX($M$2:M317)+1,0)</f>
        <v>316.0</v>
      </c>
      <c r="N318" s="327" t="s">
        <v>2092</v>
      </c>
      <c r="O318" s="342" t="s">
        <v>2093</v>
      </c>
      <c r="Q318" s="329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327" t="s">
        <v>2092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327" t="s">
        <v>2092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327" t="s">
        <v>2092</v>
      </c>
      <c r="Z318" t="str">
        <f>IFERROR(VLOOKUP(ROWS($Z$3:Z318),$X$3:$Y$992,2,0),"")</f>
        <v>Nákup a následný prodej vlastních nemovitostí</v>
      </c>
    </row>
    <row r="319" spans="13:26" ht="12.75">
      <c r="M319" s="326">
        <f>IF(ISNUMBER(SEARCH(ZAKL_DATA!$B$29,N319)),MAX($M$2:M318)+1,0)</f>
        <v>317.0</v>
      </c>
      <c r="N319" s="327" t="s">
        <v>2094</v>
      </c>
      <c r="O319" s="342" t="s">
        <v>2095</v>
      </c>
      <c r="Q319" s="329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327" t="s">
        <v>2094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327" t="s">
        <v>2094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327" t="s">
        <v>2094</v>
      </c>
      <c r="Z319" t="str">
        <f>IFERROR(VLOOKUP(ROWS($Z$3:Z319),$X$3:$Y$992,2,0),"")</f>
        <v>Pronájem a správa vlastních nebo pronajatých nemovitostí</v>
      </c>
    </row>
    <row r="320" spans="13:26" ht="12.75">
      <c r="M320" s="326">
        <f>IF(ISNUMBER(SEARCH(ZAKL_DATA!$B$29,N320)),MAX($M$2:M319)+1,0)</f>
        <v>318.0</v>
      </c>
      <c r="N320" s="327" t="s">
        <v>2096</v>
      </c>
      <c r="O320" s="342" t="s">
        <v>2097</v>
      </c>
      <c r="Q320" s="329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327" t="s">
        <v>2096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327" t="s">
        <v>2096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327" t="s">
        <v>2096</v>
      </c>
      <c r="Z320" t="str">
        <f>IFERROR(VLOOKUP(ROWS($Z$3:Z320),$X$3:$Y$992,2,0),"")</f>
        <v>Činnosti v oblasti nemovitostí na základě smlouvy nebo dohody</v>
      </c>
    </row>
    <row r="321" spans="13:26" ht="12.75">
      <c r="M321" s="326">
        <f>IF(ISNUMBER(SEARCH(ZAKL_DATA!$B$29,N321)),MAX($M$2:M320)+1,0)</f>
        <v>319.0</v>
      </c>
      <c r="N321" s="327" t="s">
        <v>2098</v>
      </c>
      <c r="O321" s="342" t="s">
        <v>2099</v>
      </c>
      <c r="Q321" s="329" t="str">
        <f>IFERROR(VLOOKUP(ROWS($Q$3:Q321),$M$3:$N$992,2,0),"")</f>
        <v>Právní činnosti</v>
      </c>
      <c r="R321">
        <f>IF(ISNUMBER(SEARCH('1Př1'!$A$32,N321)),MAX($M$2:M320)+1,0)</f>
        <v>319.0</v>
      </c>
      <c r="S321" s="327" t="s">
        <v>2098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327" t="s">
        <v>2098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327" t="s">
        <v>2098</v>
      </c>
      <c r="Z321" t="str">
        <f>IFERROR(VLOOKUP(ROWS($Z$3:Z321),$X$3:$Y$992,2,0),"")</f>
        <v>Právní činnosti</v>
      </c>
    </row>
    <row r="322" spans="13:26" ht="12.75">
      <c r="M322" s="326">
        <f>IF(ISNUMBER(SEARCH(ZAKL_DATA!$B$29,N322)),MAX($M$2:M321)+1,0)</f>
        <v>320.0</v>
      </c>
      <c r="N322" s="327" t="s">
        <v>2100</v>
      </c>
      <c r="O322" s="342" t="s">
        <v>2101</v>
      </c>
      <c r="Q322" s="329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327" t="s">
        <v>2100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327" t="s">
        <v>2100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327" t="s">
        <v>2100</v>
      </c>
      <c r="Z322" t="str">
        <f>IFERROR(VLOOKUP(ROWS($Z$3:Z322),$X$3:$Y$992,2,0),"")</f>
        <v>Účetnické a auditorské činnosti; daňové poradenství</v>
      </c>
    </row>
    <row r="323" spans="13:26" ht="12.75">
      <c r="M323" s="326">
        <f>IF(ISNUMBER(SEARCH(ZAKL_DATA!$B$29,N323)),MAX($M$2:M322)+1,0)</f>
        <v>321.0</v>
      </c>
      <c r="N323" s="327" t="s">
        <v>2102</v>
      </c>
      <c r="O323" s="342" t="s">
        <v>2103</v>
      </c>
      <c r="Q323" s="329" t="str">
        <f>IFERROR(VLOOKUP(ROWS($Q$3:Q323),$M$3:$N$992,2,0),"")</f>
        <v>Činnosti vedení podniků</v>
      </c>
      <c r="R323">
        <f>IF(ISNUMBER(SEARCH('1Př1'!$A$32,N323)),MAX($M$2:M322)+1,0)</f>
        <v>321.0</v>
      </c>
      <c r="S323" s="327" t="s">
        <v>2102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327" t="s">
        <v>2102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327" t="s">
        <v>2102</v>
      </c>
      <c r="Z323" t="str">
        <f>IFERROR(VLOOKUP(ROWS($Z$3:Z323),$X$3:$Y$992,2,0),"")</f>
        <v>Činnosti vedení podniků</v>
      </c>
    </row>
    <row r="324" spans="13:26" ht="12.75">
      <c r="M324" s="326">
        <f>IF(ISNUMBER(SEARCH(ZAKL_DATA!$B$29,N324)),MAX($M$2:M323)+1,0)</f>
        <v>322.0</v>
      </c>
      <c r="N324" s="327" t="s">
        <v>2104</v>
      </c>
      <c r="O324" s="342" t="s">
        <v>2105</v>
      </c>
      <c r="Q324" s="329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327" t="s">
        <v>2104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327" t="s">
        <v>2104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327" t="s">
        <v>2104</v>
      </c>
      <c r="Z324" t="str">
        <f>IFERROR(VLOOKUP(ROWS($Z$3:Z324),$X$3:$Y$992,2,0),"")</f>
        <v>Poradenství v oblasti řízení</v>
      </c>
    </row>
    <row r="325" spans="13:26" ht="12.75">
      <c r="M325" s="326">
        <f>IF(ISNUMBER(SEARCH(ZAKL_DATA!$B$29,N325)),MAX($M$2:M324)+1,0)</f>
        <v>323.0</v>
      </c>
      <c r="N325" s="327" t="s">
        <v>2106</v>
      </c>
      <c r="O325" s="342" t="s">
        <v>2107</v>
      </c>
      <c r="Q325" s="329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327" t="s">
        <v>2106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327" t="s">
        <v>2106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327" t="s">
        <v>2106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26">
        <f>IF(ISNUMBER(SEARCH(ZAKL_DATA!$B$29,N326)),MAX($M$2:M325)+1,0)</f>
        <v>324.0</v>
      </c>
      <c r="N326" s="327" t="s">
        <v>2108</v>
      </c>
      <c r="O326" s="342" t="s">
        <v>2109</v>
      </c>
      <c r="Q326" s="329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327" t="s">
        <v>2108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327" t="s">
        <v>2108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327" t="s">
        <v>2108</v>
      </c>
      <c r="Z326" t="str">
        <f>IFERROR(VLOOKUP(ROWS($Z$3:Z326),$X$3:$Y$992,2,0),"")</f>
        <v>Technické zkoušky a analýzy</v>
      </c>
    </row>
    <row r="327" spans="13:26" ht="12.75">
      <c r="M327" s="326">
        <f>IF(ISNUMBER(SEARCH(ZAKL_DATA!$B$29,N327)),MAX($M$2:M326)+1,0)</f>
        <v>325.0</v>
      </c>
      <c r="N327" s="327" t="s">
        <v>2110</v>
      </c>
      <c r="O327" s="342" t="s">
        <v>2111</v>
      </c>
      <c r="Q327" s="329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327" t="s">
        <v>2110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327" t="s">
        <v>2110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327" t="s">
        <v>2110</v>
      </c>
      <c r="Z327" t="str">
        <f>IFERROR(VLOOKUP(ROWS($Z$3:Z327),$X$3:$Y$992,2,0),"")</f>
        <v>Výzkum a vývoj v oblasti přírodních a technických věd</v>
      </c>
    </row>
    <row r="328" spans="13:26" ht="12.75">
      <c r="M328" s="326">
        <f>IF(ISNUMBER(SEARCH(ZAKL_DATA!$B$29,N328)),MAX($M$2:M327)+1,0)</f>
        <v>326.0</v>
      </c>
      <c r="N328" s="327" t="s">
        <v>2112</v>
      </c>
      <c r="O328" s="342" t="s">
        <v>2113</v>
      </c>
      <c r="Q328" s="329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327" t="s">
        <v>2112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327" t="s">
        <v>2112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327" t="s">
        <v>2112</v>
      </c>
      <c r="Z328" t="str">
        <f>IFERROR(VLOOKUP(ROWS($Z$3:Z328),$X$3:$Y$992,2,0),"")</f>
        <v>Těžba a úprava uranových a thoriových rud</v>
      </c>
    </row>
    <row r="329" spans="13:26" ht="12.75">
      <c r="M329" s="326">
        <f>IF(ISNUMBER(SEARCH(ZAKL_DATA!$B$29,N329)),MAX($M$2:M328)+1,0)</f>
        <v>327.0</v>
      </c>
      <c r="N329" s="327" t="s">
        <v>2114</v>
      </c>
      <c r="O329" s="342" t="s">
        <v>2115</v>
      </c>
      <c r="Q329" s="329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327" t="s">
        <v>2114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327" t="s">
        <v>2114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327" t="s">
        <v>2114</v>
      </c>
      <c r="Z329" t="str">
        <f>IFERROR(VLOOKUP(ROWS($Z$3:Z329),$X$3:$Y$992,2,0),"")</f>
        <v>Výzkum a vývoj v oblasti společenských a humanitních věd</v>
      </c>
    </row>
    <row r="330" spans="13:26" ht="12.75">
      <c r="M330" s="326">
        <f>IF(ISNUMBER(SEARCH(ZAKL_DATA!$B$29,N330)),MAX($M$2:M329)+1,0)</f>
        <v>328.0</v>
      </c>
      <c r="N330" s="327" t="s">
        <v>2116</v>
      </c>
      <c r="O330" s="342" t="s">
        <v>2117</v>
      </c>
      <c r="Q330" s="329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327" t="s">
        <v>2116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327" t="s">
        <v>2116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327" t="s">
        <v>2116</v>
      </c>
      <c r="Z330" t="str">
        <f>IFERROR(VLOOKUP(ROWS($Z$3:Z330),$X$3:$Y$992,2,0),"")</f>
        <v>Těžba a úprava ostatních neželezných rud</v>
      </c>
    </row>
    <row r="331" spans="13:26" ht="12.75">
      <c r="M331" s="326">
        <f>IF(ISNUMBER(SEARCH(ZAKL_DATA!$B$29,N331)),MAX($M$2:M330)+1,0)</f>
        <v>329.0</v>
      </c>
      <c r="N331" s="327" t="s">
        <v>2118</v>
      </c>
      <c r="O331" s="342" t="s">
        <v>2119</v>
      </c>
      <c r="Q331" s="329" t="str">
        <f>IFERROR(VLOOKUP(ROWS($Q$3:Q331),$M$3:$N$992,2,0),"")</f>
        <v>Reklamní činnosti</v>
      </c>
      <c r="R331">
        <f>IF(ISNUMBER(SEARCH('1Př1'!$A$32,N331)),MAX($M$2:M330)+1,0)</f>
        <v>329.0</v>
      </c>
      <c r="S331" s="327" t="s">
        <v>2118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327" t="s">
        <v>2118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327" t="s">
        <v>2118</v>
      </c>
      <c r="Z331" t="str">
        <f>IFERROR(VLOOKUP(ROWS($Z$3:Z331),$X$3:$Y$992,2,0),"")</f>
        <v>Reklamní činnosti</v>
      </c>
    </row>
    <row r="332" spans="13:26" ht="12.75">
      <c r="M332" s="326">
        <f>IF(ISNUMBER(SEARCH(ZAKL_DATA!$B$29,N332)),MAX($M$2:M331)+1,0)</f>
        <v>330.0</v>
      </c>
      <c r="N332" s="327" t="s">
        <v>2120</v>
      </c>
      <c r="O332" s="342" t="s">
        <v>2121</v>
      </c>
      <c r="Q332" s="329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327" t="s">
        <v>2120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327" t="s">
        <v>2120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327" t="s">
        <v>2120</v>
      </c>
      <c r="Z332" t="str">
        <f>IFERROR(VLOOKUP(ROWS($Z$3:Z332),$X$3:$Y$992,2,0),"")</f>
        <v>Průzkum trhu a veřejného mínění</v>
      </c>
    </row>
    <row r="333" spans="13:26" ht="12.75">
      <c r="M333" s="326">
        <f>IF(ISNUMBER(SEARCH(ZAKL_DATA!$B$29,N333)),MAX($M$2:M332)+1,0)</f>
        <v>331.0</v>
      </c>
      <c r="N333" s="327" t="s">
        <v>2122</v>
      </c>
      <c r="O333" s="342" t="s">
        <v>2123</v>
      </c>
      <c r="Q333" s="329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327" t="s">
        <v>2122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327" t="s">
        <v>2122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327" t="s">
        <v>2122</v>
      </c>
      <c r="Z333" t="str">
        <f>IFERROR(VLOOKUP(ROWS($Z$3:Z333),$X$3:$Y$992,2,0),"")</f>
        <v>Specializované návrhářské činnosti</v>
      </c>
    </row>
    <row r="334" spans="13:26" ht="12.75">
      <c r="M334" s="326">
        <f>IF(ISNUMBER(SEARCH(ZAKL_DATA!$B$29,N334)),MAX($M$2:M333)+1,0)</f>
        <v>332.0</v>
      </c>
      <c r="N334" s="327" t="s">
        <v>2124</v>
      </c>
      <c r="O334" s="342" t="s">
        <v>2125</v>
      </c>
      <c r="Q334" s="329" t="str">
        <f>IFERROR(VLOOKUP(ROWS($Q$3:Q334),$M$3:$N$992,2,0),"")</f>
        <v>Fotografické činnosti</v>
      </c>
      <c r="R334">
        <f>IF(ISNUMBER(SEARCH('1Př1'!$A$32,N334)),MAX($M$2:M333)+1,0)</f>
        <v>332.0</v>
      </c>
      <c r="S334" s="327" t="s">
        <v>2124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327" t="s">
        <v>2124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327" t="s">
        <v>2124</v>
      </c>
      <c r="Z334" t="str">
        <f>IFERROR(VLOOKUP(ROWS($Z$3:Z334),$X$3:$Y$992,2,0),"")</f>
        <v>Fotografické činnosti</v>
      </c>
    </row>
    <row r="335" spans="13:26" ht="12.75">
      <c r="M335" s="326">
        <f>IF(ISNUMBER(SEARCH(ZAKL_DATA!$B$29,N335)),MAX($M$2:M334)+1,0)</f>
        <v>333.0</v>
      </c>
      <c r="N335" s="327" t="s">
        <v>2126</v>
      </c>
      <c r="O335" s="342" t="s">
        <v>2127</v>
      </c>
      <c r="Q335" s="329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327" t="s">
        <v>2126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327" t="s">
        <v>2126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327" t="s">
        <v>2126</v>
      </c>
      <c r="Z335" t="str">
        <f>IFERROR(VLOOKUP(ROWS($Z$3:Z335),$X$3:$Y$992,2,0),"")</f>
        <v>Překladatelské a tlumočnické činnosti</v>
      </c>
    </row>
    <row r="336" spans="13:26" ht="12.75">
      <c r="M336" s="326">
        <f>IF(ISNUMBER(SEARCH(ZAKL_DATA!$B$29,N336)),MAX($M$2:M335)+1,0)</f>
        <v>334.0</v>
      </c>
      <c r="N336" s="327" t="s">
        <v>2128</v>
      </c>
      <c r="O336" s="342" t="s">
        <v>2129</v>
      </c>
      <c r="Q336" s="329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327" t="s">
        <v>2128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327" t="s">
        <v>2128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327" t="s">
        <v>2128</v>
      </c>
      <c r="Z336" t="str">
        <f>IFERROR(VLOOKUP(ROWS($Z$3:Z336),$X$3:$Y$992,2,0),"")</f>
        <v>Ostatní profesní, vědecké a technické činnosti j. n.</v>
      </c>
    </row>
    <row r="337" spans="13:26" ht="12.75">
      <c r="M337" s="326">
        <f>IF(ISNUMBER(SEARCH(ZAKL_DATA!$B$29,N337)),MAX($M$2:M336)+1,0)</f>
        <v>335.0</v>
      </c>
      <c r="N337" s="327" t="s">
        <v>2130</v>
      </c>
      <c r="O337" s="342" t="s">
        <v>2131</v>
      </c>
      <c r="Q337" s="329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327" t="s">
        <v>2130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327" t="s">
        <v>2130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327" t="s">
        <v>2130</v>
      </c>
      <c r="Z337" t="str">
        <f>IFERROR(VLOOKUP(ROWS($Z$3:Z337),$X$3:$Y$992,2,0),"")</f>
        <v>Pronájem a leasing motorových vozidel, kromě motocyklů</v>
      </c>
    </row>
    <row r="338" spans="13:26" ht="12.75">
      <c r="M338" s="326">
        <f>IF(ISNUMBER(SEARCH(ZAKL_DATA!$B$29,N338)),MAX($M$2:M337)+1,0)</f>
        <v>336.0</v>
      </c>
      <c r="N338" s="327" t="s">
        <v>2132</v>
      </c>
      <c r="O338" s="342" t="s">
        <v>2133</v>
      </c>
      <c r="Q338" s="329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327" t="s">
        <v>2132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327" t="s">
        <v>2132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327" t="s">
        <v>2132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26">
        <f>IF(ISNUMBER(SEARCH(ZAKL_DATA!$B$29,N339)),MAX($M$2:M338)+1,0)</f>
        <v>337.0</v>
      </c>
      <c r="N339" s="327" t="s">
        <v>2134</v>
      </c>
      <c r="O339" s="342" t="s">
        <v>2135</v>
      </c>
      <c r="Q339" s="329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327" t="s">
        <v>2134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327" t="s">
        <v>2134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327" t="s">
        <v>2134</v>
      </c>
      <c r="Z339" t="str">
        <f>IFERROR(VLOOKUP(ROWS($Z$3:Z339),$X$3:$Y$992,2,0),"")</f>
        <v>Pronájem a leasing ostatních strojů, zařízení a výrobků</v>
      </c>
    </row>
    <row r="340" spans="13:26" ht="12.75">
      <c r="M340" s="326">
        <f>IF(ISNUMBER(SEARCH(ZAKL_DATA!$B$29,N340)),MAX($M$2:M339)+1,0)</f>
        <v>338.0</v>
      </c>
      <c r="N340" s="327" t="s">
        <v>2136</v>
      </c>
      <c r="O340" s="342" t="s">
        <v>2137</v>
      </c>
      <c r="Q340" s="329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327" t="s">
        <v>2136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327" t="s">
        <v>2136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327" t="s">
        <v>2136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26">
        <f>IF(ISNUMBER(SEARCH(ZAKL_DATA!$B$29,N341)),MAX($M$2:M340)+1,0)</f>
        <v>339.0</v>
      </c>
      <c r="N341" s="327" t="s">
        <v>2138</v>
      </c>
      <c r="O341" s="342" t="s">
        <v>2139</v>
      </c>
      <c r="Q341" s="329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327" t="s">
        <v>2138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327" t="s">
        <v>2138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327" t="s">
        <v>2138</v>
      </c>
      <c r="Z341" t="str">
        <f>IFERROR(VLOOKUP(ROWS($Z$3:Z341),$X$3:$Y$992,2,0),"")</f>
        <v>Činnosti agentur zprostředkujících zaměstnání</v>
      </c>
    </row>
    <row r="342" spans="13:26" ht="12.75">
      <c r="M342" s="326">
        <f>IF(ISNUMBER(SEARCH(ZAKL_DATA!$B$29,N342)),MAX($M$2:M341)+1,0)</f>
        <v>340.0</v>
      </c>
      <c r="N342" s="327" t="s">
        <v>2140</v>
      </c>
      <c r="O342" s="342" t="s">
        <v>2141</v>
      </c>
      <c r="Q342" s="329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327" t="s">
        <v>2140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327" t="s">
        <v>2140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327" t="s">
        <v>2140</v>
      </c>
      <c r="Z342" t="str">
        <f>IFERROR(VLOOKUP(ROWS($Z$3:Z342),$X$3:$Y$992,2,0),"")</f>
        <v>Činnosti agentur zprostředkujících práci na přechodnou dobu</v>
      </c>
    </row>
    <row r="343" spans="13:26" ht="12.75">
      <c r="M343" s="326">
        <f>IF(ISNUMBER(SEARCH(ZAKL_DATA!$B$29,N343)),MAX($M$2:M342)+1,0)</f>
        <v>341.0</v>
      </c>
      <c r="N343" s="327" t="s">
        <v>2142</v>
      </c>
      <c r="O343" s="342" t="s">
        <v>2143</v>
      </c>
      <c r="Q343" s="329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327" t="s">
        <v>2142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327" t="s">
        <v>2142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327" t="s">
        <v>2142</v>
      </c>
      <c r="Z343" t="str">
        <f>IFERROR(VLOOKUP(ROWS($Z$3:Z343),$X$3:$Y$992,2,0),"")</f>
        <v>Ostatní poskytování lidských zdrojů</v>
      </c>
    </row>
    <row r="344" spans="13:26" ht="12.75">
      <c r="M344" s="326">
        <f>IF(ISNUMBER(SEARCH(ZAKL_DATA!$B$29,N344)),MAX($M$2:M343)+1,0)</f>
        <v>342.0</v>
      </c>
      <c r="N344" s="327" t="s">
        <v>2144</v>
      </c>
      <c r="O344" s="342" t="s">
        <v>2145</v>
      </c>
      <c r="Q344" s="329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327" t="s">
        <v>2144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327" t="s">
        <v>2144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327" t="s">
        <v>2144</v>
      </c>
      <c r="Z344" t="str">
        <f>IFERROR(VLOOKUP(ROWS($Z$3:Z344),$X$3:$Y$992,2,0),"")</f>
        <v>Činnosti cestovních agentur a cestovních kanceláří</v>
      </c>
    </row>
    <row r="345" spans="13:26" ht="12.75">
      <c r="M345" s="326">
        <f>IF(ISNUMBER(SEARCH(ZAKL_DATA!$B$29,N345)),MAX($M$2:M344)+1,0)</f>
        <v>343.0</v>
      </c>
      <c r="N345" s="327" t="s">
        <v>2146</v>
      </c>
      <c r="O345" s="342" t="s">
        <v>2147</v>
      </c>
      <c r="Q345" s="329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327" t="s">
        <v>2146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327" t="s">
        <v>2146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327" t="s">
        <v>2146</v>
      </c>
      <c r="Z345" t="str">
        <f>IFERROR(VLOOKUP(ROWS($Z$3:Z345),$X$3:$Y$992,2,0),"")</f>
        <v>Ostatní rezervační a související činnosti</v>
      </c>
    </row>
    <row r="346" spans="13:26" ht="12.75">
      <c r="M346" s="326">
        <f>IF(ISNUMBER(SEARCH(ZAKL_DATA!$B$29,N346)),MAX($M$2:M345)+1,0)</f>
        <v>344.0</v>
      </c>
      <c r="N346" s="327" t="s">
        <v>2148</v>
      </c>
      <c r="O346" s="342" t="s">
        <v>2149</v>
      </c>
      <c r="Q346" s="329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327" t="s">
        <v>2148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327" t="s">
        <v>2148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327" t="s">
        <v>2148</v>
      </c>
      <c r="Z346" t="str">
        <f>IFERROR(VLOOKUP(ROWS($Z$3:Z346),$X$3:$Y$992,2,0),"")</f>
        <v>Činnosti soukromých bezpečnostních agentur</v>
      </c>
    </row>
    <row r="347" spans="13:26" ht="12.75">
      <c r="M347" s="326">
        <f>IF(ISNUMBER(SEARCH(ZAKL_DATA!$B$29,N347)),MAX($M$2:M346)+1,0)</f>
        <v>345.0</v>
      </c>
      <c r="N347" s="327" t="s">
        <v>2150</v>
      </c>
      <c r="O347" s="342" t="s">
        <v>2151</v>
      </c>
      <c r="Q347" s="329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327" t="s">
        <v>2150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327" t="s">
        <v>2150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327" t="s">
        <v>2150</v>
      </c>
      <c r="Z347" t="str">
        <f>IFERROR(VLOOKUP(ROWS($Z$3:Z347),$X$3:$Y$992,2,0),"")</f>
        <v>Činnosti související s provozem bezpečnostních systémů</v>
      </c>
    </row>
    <row r="348" spans="13:26" ht="12.75">
      <c r="M348" s="326">
        <f>IF(ISNUMBER(SEARCH(ZAKL_DATA!$B$29,N348)),MAX($M$2:M347)+1,0)</f>
        <v>346.0</v>
      </c>
      <c r="N348" s="327" t="s">
        <v>2152</v>
      </c>
      <c r="O348" s="342" t="s">
        <v>2153</v>
      </c>
      <c r="Q348" s="329" t="str">
        <f>IFERROR(VLOOKUP(ROWS($Q$3:Q348),$M$3:$N$992,2,0),"")</f>
        <v>Pátrací činnosti</v>
      </c>
      <c r="R348">
        <f>IF(ISNUMBER(SEARCH('1Př1'!$A$32,N348)),MAX($M$2:M347)+1,0)</f>
        <v>346.0</v>
      </c>
      <c r="S348" s="327" t="s">
        <v>2152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327" t="s">
        <v>2152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327" t="s">
        <v>2152</v>
      </c>
      <c r="Z348" t="str">
        <f>IFERROR(VLOOKUP(ROWS($Z$3:Z348),$X$3:$Y$992,2,0),"")</f>
        <v>Pátrací činnosti</v>
      </c>
    </row>
    <row r="349" spans="13:26" ht="12.75">
      <c r="M349" s="326">
        <f>IF(ISNUMBER(SEARCH(ZAKL_DATA!$B$29,N349)),MAX($M$2:M348)+1,0)</f>
        <v>347.0</v>
      </c>
      <c r="N349" s="327" t="s">
        <v>2154</v>
      </c>
      <c r="O349" s="342" t="s">
        <v>2155</v>
      </c>
      <c r="Q349" s="329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327" t="s">
        <v>2154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327" t="s">
        <v>2154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327" t="s">
        <v>2154</v>
      </c>
      <c r="Z349" t="str">
        <f>IFERROR(VLOOKUP(ROWS($Z$3:Z349),$X$3:$Y$992,2,0),"")</f>
        <v>Kombinované pomocné činnosti</v>
      </c>
    </row>
    <row r="350" spans="13:26" ht="12.75">
      <c r="M350" s="326">
        <f>IF(ISNUMBER(SEARCH(ZAKL_DATA!$B$29,N350)),MAX($M$2:M349)+1,0)</f>
        <v>348.0</v>
      </c>
      <c r="N350" s="327" t="s">
        <v>2156</v>
      </c>
      <c r="O350" s="342" t="s">
        <v>2157</v>
      </c>
      <c r="Q350" s="329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327" t="s">
        <v>2156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327" t="s">
        <v>2156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327" t="s">
        <v>2156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26">
        <f>IF(ISNUMBER(SEARCH(ZAKL_DATA!$B$29,N351)),MAX($M$2:M350)+1,0)</f>
        <v>349.0</v>
      </c>
      <c r="N351" s="327" t="s">
        <v>2158</v>
      </c>
      <c r="O351" s="342" t="s">
        <v>2159</v>
      </c>
      <c r="Q351" s="329" t="str">
        <f>IFERROR(VLOOKUP(ROWS($Q$3:Q351),$M$3:$N$992,2,0),"")</f>
        <v>Úklidové činnosti</v>
      </c>
      <c r="R351">
        <f>IF(ISNUMBER(SEARCH('1Př1'!$A$32,N351)),MAX($M$2:M350)+1,0)</f>
        <v>349.0</v>
      </c>
      <c r="S351" s="327" t="s">
        <v>2158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327" t="s">
        <v>2158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327" t="s">
        <v>2158</v>
      </c>
      <c r="Z351" t="str">
        <f>IFERROR(VLOOKUP(ROWS($Z$3:Z351),$X$3:$Y$992,2,0),"")</f>
        <v>Úklidové činnosti</v>
      </c>
    </row>
    <row r="352" spans="13:26" ht="12.75">
      <c r="M352" s="326">
        <f>IF(ISNUMBER(SEARCH(ZAKL_DATA!$B$29,N352)),MAX($M$2:M351)+1,0)</f>
        <v>350.0</v>
      </c>
      <c r="N352" s="327" t="s">
        <v>2160</v>
      </c>
      <c r="O352" s="342" t="s">
        <v>2161</v>
      </c>
      <c r="Q352" s="329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327" t="s">
        <v>2160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327" t="s">
        <v>2160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327" t="s">
        <v>2160</v>
      </c>
      <c r="Z352" t="str">
        <f>IFERROR(VLOOKUP(ROWS($Z$3:Z352),$X$3:$Y$992,2,0),"")</f>
        <v>Provoz pískoven a štěrkopískoven; těžba jílů a kaolinu</v>
      </c>
    </row>
    <row r="353" spans="13:26" ht="12.75">
      <c r="M353" s="326">
        <f>IF(ISNUMBER(SEARCH(ZAKL_DATA!$B$29,N353)),MAX($M$2:M352)+1,0)</f>
        <v>351.0</v>
      </c>
      <c r="N353" s="327" t="s">
        <v>2162</v>
      </c>
      <c r="O353" s="342" t="s">
        <v>2163</v>
      </c>
      <c r="Q353" s="329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327" t="s">
        <v>2162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327" t="s">
        <v>2162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327" t="s">
        <v>2162</v>
      </c>
      <c r="Z353" t="str">
        <f>IFERROR(VLOOKUP(ROWS($Z$3:Z353),$X$3:$Y$992,2,0),"")</f>
        <v>Činnosti související s úpravou krajiny</v>
      </c>
    </row>
    <row r="354" spans="13:26" ht="12.75">
      <c r="M354" s="326">
        <f>IF(ISNUMBER(SEARCH(ZAKL_DATA!$B$29,N354)),MAX($M$2:M353)+1,0)</f>
        <v>352.0</v>
      </c>
      <c r="N354" s="327" t="s">
        <v>2164</v>
      </c>
      <c r="O354" s="342" t="s">
        <v>2165</v>
      </c>
      <c r="Q354" s="329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327" t="s">
        <v>2164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327" t="s">
        <v>2164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327" t="s">
        <v>2164</v>
      </c>
      <c r="Z354" t="str">
        <f>IFERROR(VLOOKUP(ROWS($Z$3:Z354),$X$3:$Y$992,2,0),"")</f>
        <v>Administrativní a kancelářské činnosti</v>
      </c>
    </row>
    <row r="355" spans="13:26" ht="12.75">
      <c r="M355" s="326">
        <f>IF(ISNUMBER(SEARCH(ZAKL_DATA!$B$29,N355)),MAX($M$2:M354)+1,0)</f>
        <v>353.0</v>
      </c>
      <c r="N355" s="327" t="s">
        <v>2166</v>
      </c>
      <c r="O355" s="342" t="s">
        <v>2167</v>
      </c>
      <c r="Q355" s="329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327" t="s">
        <v>2166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327" t="s">
        <v>2166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327" t="s">
        <v>2166</v>
      </c>
      <c r="Z355" t="str">
        <f>IFERROR(VLOOKUP(ROWS($Z$3:Z355),$X$3:$Y$992,2,0),"")</f>
        <v>Činnosti zprostředkovatelských středisek po telefonu</v>
      </c>
    </row>
    <row r="356" spans="13:26" ht="12.75">
      <c r="M356" s="326">
        <f>IF(ISNUMBER(SEARCH(ZAKL_DATA!$B$29,N356)),MAX($M$2:M355)+1,0)</f>
        <v>354.0</v>
      </c>
      <c r="N356" s="327" t="s">
        <v>2168</v>
      </c>
      <c r="O356" s="342" t="s">
        <v>2169</v>
      </c>
      <c r="Q356" s="329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327" t="s">
        <v>2168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327" t="s">
        <v>2168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327" t="s">
        <v>2168</v>
      </c>
      <c r="Z356" t="str">
        <f>IFERROR(VLOOKUP(ROWS($Z$3:Z356),$X$3:$Y$992,2,0),"")</f>
        <v>Pořádání konferencí a hospodářských výstav</v>
      </c>
    </row>
    <row r="357" spans="13:26" ht="12.75">
      <c r="M357" s="326">
        <f>IF(ISNUMBER(SEARCH(ZAKL_DATA!$B$29,N357)),MAX($M$2:M356)+1,0)</f>
        <v>355.0</v>
      </c>
      <c r="N357" s="327" t="s">
        <v>2170</v>
      </c>
      <c r="O357" s="342" t="s">
        <v>2171</v>
      </c>
      <c r="Q357" s="329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327" t="s">
        <v>2170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327" t="s">
        <v>2170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327" t="s">
        <v>2170</v>
      </c>
      <c r="Z357" t="str">
        <f>IFERROR(VLOOKUP(ROWS($Z$3:Z357),$X$3:$Y$992,2,0),"")</f>
        <v>Podpůrné činnosti pro podnikání j. n.</v>
      </c>
    </row>
    <row r="358" spans="13:26" ht="12.75">
      <c r="M358" s="326">
        <f>IF(ISNUMBER(SEARCH(ZAKL_DATA!$B$29,N358)),MAX($M$2:M357)+1,0)</f>
        <v>356.0</v>
      </c>
      <c r="N358" s="327" t="s">
        <v>2172</v>
      </c>
      <c r="O358" s="342" t="s">
        <v>2173</v>
      </c>
      <c r="Q358" s="329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327" t="s">
        <v>2172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327" t="s">
        <v>2172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327" t="s">
        <v>2172</v>
      </c>
      <c r="Z358" t="str">
        <f>IFERROR(VLOOKUP(ROWS($Z$3:Z358),$X$3:$Y$992,2,0),"")</f>
        <v>Veřejná správa a hospodářská a sociální politika</v>
      </c>
    </row>
    <row r="359" spans="13:26" ht="12.75">
      <c r="M359" s="326">
        <f>IF(ISNUMBER(SEARCH(ZAKL_DATA!$B$29,N359)),MAX($M$2:M358)+1,0)</f>
        <v>357.0</v>
      </c>
      <c r="N359" s="327" t="s">
        <v>2174</v>
      </c>
      <c r="O359" s="342" t="s">
        <v>2175</v>
      </c>
      <c r="Q359" s="329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327" t="s">
        <v>2174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327" t="s">
        <v>2174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327" t="s">
        <v>2174</v>
      </c>
      <c r="Z359" t="str">
        <f>IFERROR(VLOOKUP(ROWS($Z$3:Z359),$X$3:$Y$992,2,0),"")</f>
        <v>Činnosti pro společnost jako celek</v>
      </c>
    </row>
    <row r="360" spans="13:26" ht="12.75">
      <c r="M360" s="326">
        <f>IF(ISNUMBER(SEARCH(ZAKL_DATA!$B$29,N360)),MAX($M$2:M359)+1,0)</f>
        <v>358.0</v>
      </c>
      <c r="N360" s="327" t="s">
        <v>2176</v>
      </c>
      <c r="O360" s="342" t="s">
        <v>2177</v>
      </c>
      <c r="Q360" s="329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327" t="s">
        <v>2176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327" t="s">
        <v>2176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327" t="s">
        <v>2176</v>
      </c>
      <c r="Z360" t="str">
        <f>IFERROR(VLOOKUP(ROWS($Z$3:Z360),$X$3:$Y$992,2,0),"")</f>
        <v>Činnosti v oblasti povinného sociálního zabezpečení</v>
      </c>
    </row>
    <row r="361" spans="13:26" ht="12.75">
      <c r="M361" s="326">
        <f>IF(ISNUMBER(SEARCH(ZAKL_DATA!$B$29,N361)),MAX($M$2:M360)+1,0)</f>
        <v>359.0</v>
      </c>
      <c r="N361" s="327" t="s">
        <v>2178</v>
      </c>
      <c r="O361" s="342" t="s">
        <v>2179</v>
      </c>
      <c r="Q361" s="329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327" t="s">
        <v>2178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327" t="s">
        <v>2178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327" t="s">
        <v>2178</v>
      </c>
      <c r="Z361" t="str">
        <f>IFERROR(VLOOKUP(ROWS($Z$3:Z361),$X$3:$Y$992,2,0),"")</f>
        <v>Předškolní vzdělávání</v>
      </c>
    </row>
    <row r="362" spans="13:26" ht="12.75">
      <c r="M362" s="326">
        <f>IF(ISNUMBER(SEARCH(ZAKL_DATA!$B$29,N362)),MAX($M$2:M361)+1,0)</f>
        <v>360.0</v>
      </c>
      <c r="N362" s="327" t="s">
        <v>2180</v>
      </c>
      <c r="O362" s="342" t="s">
        <v>2181</v>
      </c>
      <c r="Q362" s="329" t="str">
        <f>IFERROR(VLOOKUP(ROWS($Q$3:Q362),$M$3:$N$992,2,0),"")</f>
        <v>Primární vzdělávání</v>
      </c>
      <c r="R362">
        <f>IF(ISNUMBER(SEARCH('1Př1'!$A$32,N362)),MAX($M$2:M361)+1,0)</f>
        <v>360.0</v>
      </c>
      <c r="S362" s="327" t="s">
        <v>2180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327" t="s">
        <v>2180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327" t="s">
        <v>2180</v>
      </c>
      <c r="Z362" t="str">
        <f>IFERROR(VLOOKUP(ROWS($Z$3:Z362),$X$3:$Y$992,2,0),"")</f>
        <v>Primární vzdělávání</v>
      </c>
    </row>
    <row r="363" spans="13:26" ht="12.75">
      <c r="M363" s="326">
        <f>IF(ISNUMBER(SEARCH(ZAKL_DATA!$B$29,N363)),MAX($M$2:M362)+1,0)</f>
        <v>361.0</v>
      </c>
      <c r="N363" s="327" t="s">
        <v>2182</v>
      </c>
      <c r="O363" s="342" t="s">
        <v>2183</v>
      </c>
      <c r="Q363" s="329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327" t="s">
        <v>2182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327" t="s">
        <v>2182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327" t="s">
        <v>2182</v>
      </c>
      <c r="Z363" t="str">
        <f>IFERROR(VLOOKUP(ROWS($Z$3:Z363),$X$3:$Y$992,2,0),"")</f>
        <v>Sekundární vzdělávání</v>
      </c>
    </row>
    <row r="364" spans="13:26" ht="12.75">
      <c r="M364" s="326">
        <f>IF(ISNUMBER(SEARCH(ZAKL_DATA!$B$29,N364)),MAX($M$2:M363)+1,0)</f>
        <v>362.0</v>
      </c>
      <c r="N364" s="327" t="s">
        <v>2184</v>
      </c>
      <c r="O364" s="342" t="s">
        <v>2185</v>
      </c>
      <c r="Q364" s="329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327" t="s">
        <v>2184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327" t="s">
        <v>2184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327" t="s">
        <v>2184</v>
      </c>
      <c r="Z364" t="str">
        <f>IFERROR(VLOOKUP(ROWS($Z$3:Z364),$X$3:$Y$992,2,0),"")</f>
        <v>Postsekundární vzdělávání</v>
      </c>
    </row>
    <row r="365" spans="13:26" ht="12.75">
      <c r="M365" s="326">
        <f>IF(ISNUMBER(SEARCH(ZAKL_DATA!$B$29,N365)),MAX($M$2:M364)+1,0)</f>
        <v>363.0</v>
      </c>
      <c r="N365" s="327" t="s">
        <v>2186</v>
      </c>
      <c r="O365" s="342" t="s">
        <v>2187</v>
      </c>
      <c r="Q365" s="329" t="str">
        <f>IFERROR(VLOOKUP(ROWS($Q$3:Q365),$M$3:$N$992,2,0),"")</f>
        <v>Ostatní vzdělávání</v>
      </c>
      <c r="R365">
        <f>IF(ISNUMBER(SEARCH('1Př1'!$A$32,N365)),MAX($M$2:M364)+1,0)</f>
        <v>363.0</v>
      </c>
      <c r="S365" s="327" t="s">
        <v>2186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327" t="s">
        <v>2186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327" t="s">
        <v>2186</v>
      </c>
      <c r="Z365" t="str">
        <f>IFERROR(VLOOKUP(ROWS($Z$3:Z365),$X$3:$Y$992,2,0),"")</f>
        <v>Ostatní vzdělávání</v>
      </c>
    </row>
    <row r="366" spans="13:26" ht="12.75">
      <c r="M366" s="326">
        <f>IF(ISNUMBER(SEARCH(ZAKL_DATA!$B$29,N366)),MAX($M$2:M365)+1,0)</f>
        <v>364.0</v>
      </c>
      <c r="N366" s="327" t="s">
        <v>2188</v>
      </c>
      <c r="O366" s="342" t="s">
        <v>2189</v>
      </c>
      <c r="Q366" s="329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327" t="s">
        <v>2188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327" t="s">
        <v>2188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327" t="s">
        <v>2188</v>
      </c>
      <c r="Z366" t="str">
        <f>IFERROR(VLOOKUP(ROWS($Z$3:Z366),$X$3:$Y$992,2,0),"")</f>
        <v>Podpůrné činnosti ve vzdělávání</v>
      </c>
    </row>
    <row r="367" spans="13:26" ht="12.75">
      <c r="M367" s="326">
        <f>IF(ISNUMBER(SEARCH(ZAKL_DATA!$B$29,N367)),MAX($M$2:M366)+1,0)</f>
        <v>365.0</v>
      </c>
      <c r="N367" s="327" t="s">
        <v>2190</v>
      </c>
      <c r="O367" s="342" t="s">
        <v>2191</v>
      </c>
      <c r="Q367" s="329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327" t="s">
        <v>2190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327" t="s">
        <v>2190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327" t="s">
        <v>2190</v>
      </c>
      <c r="Z367" t="str">
        <f>IFERROR(VLOOKUP(ROWS($Z$3:Z367),$X$3:$Y$992,2,0),"")</f>
        <v>Ústavní zdravotní péče</v>
      </c>
    </row>
    <row r="368" spans="13:26" ht="12.75">
      <c r="M368" s="326">
        <f>IF(ISNUMBER(SEARCH(ZAKL_DATA!$B$29,N368)),MAX($M$2:M367)+1,0)</f>
        <v>366.0</v>
      </c>
      <c r="N368" s="327" t="s">
        <v>2192</v>
      </c>
      <c r="O368" s="342" t="s">
        <v>2193</v>
      </c>
      <c r="Q368" s="329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327" t="s">
        <v>2192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327" t="s">
        <v>2192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327" t="s">
        <v>2192</v>
      </c>
      <c r="Z368" t="str">
        <f>IFERROR(VLOOKUP(ROWS($Z$3:Z368),$X$3:$Y$992,2,0),"")</f>
        <v>Ambulantní a zubní zdravotní péče</v>
      </c>
    </row>
    <row r="369" spans="13:26" ht="12.75">
      <c r="M369" s="326">
        <f>IF(ISNUMBER(SEARCH(ZAKL_DATA!$B$29,N369)),MAX($M$2:M368)+1,0)</f>
        <v>367.0</v>
      </c>
      <c r="N369" s="327" t="s">
        <v>2194</v>
      </c>
      <c r="O369" s="342" t="s">
        <v>2195</v>
      </c>
      <c r="Q369" s="329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327" t="s">
        <v>2194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327" t="s">
        <v>2194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327" t="s">
        <v>2194</v>
      </c>
      <c r="Z369" t="str">
        <f>IFERROR(VLOOKUP(ROWS($Z$3:Z369),$X$3:$Y$992,2,0),"")</f>
        <v>Ostatní činnosti související se zdravotní péčí</v>
      </c>
    </row>
    <row r="370" spans="13:26" ht="12.75">
      <c r="M370" s="326">
        <f>IF(ISNUMBER(SEARCH(ZAKL_DATA!$B$29,N370)),MAX($M$2:M369)+1,0)</f>
        <v>368.0</v>
      </c>
      <c r="N370" s="327" t="s">
        <v>2196</v>
      </c>
      <c r="O370" s="342" t="s">
        <v>1245</v>
      </c>
      <c r="Q370" s="329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327" t="s">
        <v>2196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327" t="s">
        <v>2196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327" t="s">
        <v>2196</v>
      </c>
      <c r="Z370" t="str">
        <f>IFERROR(VLOOKUP(ROWS($Z$3:Z370),$X$3:$Y$992,2,0),"")</f>
        <v>Ústavní sociální péče</v>
      </c>
    </row>
    <row r="371" spans="13:26" ht="12.75">
      <c r="M371" s="326">
        <f>IF(ISNUMBER(SEARCH(ZAKL_DATA!$B$29,N371)),MAX($M$2:M370)+1,0)</f>
        <v>369.0</v>
      </c>
      <c r="N371" s="327" t="s">
        <v>2197</v>
      </c>
      <c r="O371" s="342" t="s">
        <v>2198</v>
      </c>
      <c r="Q371" s="329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327" t="s">
        <v>2197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327" t="s">
        <v>2197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327" t="s">
        <v>2197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26">
        <f>IF(ISNUMBER(SEARCH(ZAKL_DATA!$B$29,N372)),MAX($M$2:M371)+1,0)</f>
        <v>370.0</v>
      </c>
      <c r="N372" s="327" t="s">
        <v>2199</v>
      </c>
      <c r="O372" s="342" t="s">
        <v>2200</v>
      </c>
      <c r="Q372" s="329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327" t="s">
        <v>2199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327" t="s">
        <v>2199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327" t="s">
        <v>2199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26">
        <f>IF(ISNUMBER(SEARCH(ZAKL_DATA!$B$29,N373)),MAX($M$2:M372)+1,0)</f>
        <v>371.0</v>
      </c>
      <c r="N373" s="327" t="s">
        <v>2201</v>
      </c>
      <c r="O373" s="342" t="s">
        <v>2202</v>
      </c>
      <c r="Q373" s="329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327" t="s">
        <v>2201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327" t="s">
        <v>2201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327" t="s">
        <v>2201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26">
        <f>IF(ISNUMBER(SEARCH(ZAKL_DATA!$B$29,N374)),MAX($M$2:M373)+1,0)</f>
        <v>372.0</v>
      </c>
      <c r="N374" s="327" t="s">
        <v>2203</v>
      </c>
      <c r="O374" s="342" t="s">
        <v>2204</v>
      </c>
      <c r="Q374" s="329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327" t="s">
        <v>2203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327" t="s">
        <v>2203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327" t="s">
        <v>2203</v>
      </c>
      <c r="Z374" t="str">
        <f>IFERROR(VLOOKUP(ROWS($Z$3:Z374),$X$3:$Y$992,2,0),"")</f>
        <v>Ostatní pobytové služby sociální péče</v>
      </c>
    </row>
    <row r="375" spans="13:26" ht="12.75">
      <c r="M375" s="326">
        <f>IF(ISNUMBER(SEARCH(ZAKL_DATA!$B$29,N375)),MAX($M$2:M374)+1,0)</f>
        <v>373.0</v>
      </c>
      <c r="N375" s="327" t="s">
        <v>2205</v>
      </c>
      <c r="O375" s="342" t="s">
        <v>2206</v>
      </c>
      <c r="Q375" s="329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327" t="s">
        <v>2205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327" t="s">
        <v>2205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327" t="s">
        <v>2205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26">
        <f>IF(ISNUMBER(SEARCH(ZAKL_DATA!$B$29,N376)),MAX($M$2:M375)+1,0)</f>
        <v>374.0</v>
      </c>
      <c r="N376" s="327" t="s">
        <v>2207</v>
      </c>
      <c r="O376" s="342" t="s">
        <v>2208</v>
      </c>
      <c r="Q376" s="329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327" t="s">
        <v>2207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327" t="s">
        <v>2207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327" t="s">
        <v>2207</v>
      </c>
      <c r="Z376" t="str">
        <f>IFERROR(VLOOKUP(ROWS($Z$3:Z376),$X$3:$Y$992,2,0),"")</f>
        <v>Ostatní ambulantní nebo terénní sociální služby</v>
      </c>
    </row>
    <row r="377" spans="13:26" ht="12.75">
      <c r="M377" s="326">
        <f>IF(ISNUMBER(SEARCH(ZAKL_DATA!$B$29,N377)),MAX($M$2:M376)+1,0)</f>
        <v>375.0</v>
      </c>
      <c r="N377" s="327" t="s">
        <v>2209</v>
      </c>
      <c r="O377" s="342" t="s">
        <v>2210</v>
      </c>
      <c r="Q377" s="329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327" t="s">
        <v>2209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327" t="s">
        <v>2209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327" t="s">
        <v>2209</v>
      </c>
      <c r="Z377" t="str">
        <f>IFERROR(VLOOKUP(ROWS($Z$3:Z377),$X$3:$Y$992,2,0),"")</f>
        <v>Těžba chemických minerálů a minerálů pro výrobu hnojiv</v>
      </c>
    </row>
    <row r="378" spans="13:26" ht="12.75">
      <c r="M378" s="326">
        <f>IF(ISNUMBER(SEARCH(ZAKL_DATA!$B$29,N378)),MAX($M$2:M377)+1,0)</f>
        <v>376.0</v>
      </c>
      <c r="N378" s="327" t="s">
        <v>2211</v>
      </c>
      <c r="O378" s="342" t="s">
        <v>2212</v>
      </c>
      <c r="Q378" s="329" t="str">
        <f>IFERROR(VLOOKUP(ROWS($Q$3:Q378),$M$3:$N$992,2,0),"")</f>
        <v>Těžba rašeliny</v>
      </c>
      <c r="R378">
        <f>IF(ISNUMBER(SEARCH('1Př1'!$A$32,N378)),MAX($M$2:M377)+1,0)</f>
        <v>376.0</v>
      </c>
      <c r="S378" s="327" t="s">
        <v>2211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327" t="s">
        <v>2211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327" t="s">
        <v>2211</v>
      </c>
      <c r="Z378" t="str">
        <f>IFERROR(VLOOKUP(ROWS($Z$3:Z378),$X$3:$Y$992,2,0),"")</f>
        <v>Těžba rašeliny</v>
      </c>
    </row>
    <row r="379" spans="13:26" ht="12.75">
      <c r="M379" s="326">
        <f>IF(ISNUMBER(SEARCH(ZAKL_DATA!$B$29,N379)),MAX($M$2:M378)+1,0)</f>
        <v>377.0</v>
      </c>
      <c r="N379" s="327" t="s">
        <v>2213</v>
      </c>
      <c r="O379" s="342" t="s">
        <v>2214</v>
      </c>
      <c r="Q379" s="329" t="str">
        <f>IFERROR(VLOOKUP(ROWS($Q$3:Q379),$M$3:$N$992,2,0),"")</f>
        <v>Těžba soli</v>
      </c>
      <c r="R379">
        <f>IF(ISNUMBER(SEARCH('1Př1'!$A$32,N379)),MAX($M$2:M378)+1,0)</f>
        <v>377.0</v>
      </c>
      <c r="S379" s="327" t="s">
        <v>2213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327" t="s">
        <v>2213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327" t="s">
        <v>2213</v>
      </c>
      <c r="Z379" t="str">
        <f>IFERROR(VLOOKUP(ROWS($Z$3:Z379),$X$3:$Y$992,2,0),"")</f>
        <v>Těžba soli</v>
      </c>
    </row>
    <row r="380" spans="13:26" ht="12.75">
      <c r="M380" s="326">
        <f>IF(ISNUMBER(SEARCH(ZAKL_DATA!$B$29,N380)),MAX($M$2:M379)+1,0)</f>
        <v>378.0</v>
      </c>
      <c r="N380" s="327" t="s">
        <v>2215</v>
      </c>
      <c r="O380" s="342" t="s">
        <v>2216</v>
      </c>
      <c r="Q380" s="329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327" t="s">
        <v>2215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327" t="s">
        <v>2215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327" t="s">
        <v>2215</v>
      </c>
      <c r="Z380" t="str">
        <f>IFERROR(VLOOKUP(ROWS($Z$3:Z380),$X$3:$Y$992,2,0),"")</f>
        <v>Ostatní těžba a dobývání j. n.</v>
      </c>
    </row>
    <row r="381" spans="13:26" ht="12.75">
      <c r="M381" s="326">
        <f>IF(ISNUMBER(SEARCH(ZAKL_DATA!$B$29,N381)),MAX($M$2:M380)+1,0)</f>
        <v>379.0</v>
      </c>
      <c r="N381" s="327" t="s">
        <v>2217</v>
      </c>
      <c r="O381" s="342" t="s">
        <v>2218</v>
      </c>
      <c r="Q381" s="329" t="str">
        <f>IFERROR(VLOOKUP(ROWS($Q$3:Q381),$M$3:$N$992,2,0),"")</f>
        <v>Sportovní činnosti</v>
      </c>
      <c r="R381">
        <f>IF(ISNUMBER(SEARCH('1Př1'!$A$32,N381)),MAX($M$2:M380)+1,0)</f>
        <v>379.0</v>
      </c>
      <c r="S381" s="327" t="s">
        <v>2217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327" t="s">
        <v>2217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327" t="s">
        <v>2217</v>
      </c>
      <c r="Z381" t="str">
        <f>IFERROR(VLOOKUP(ROWS($Z$3:Z381),$X$3:$Y$992,2,0),"")</f>
        <v>Sportovní činnosti</v>
      </c>
    </row>
    <row r="382" spans="13:26" ht="12.75">
      <c r="M382" s="326">
        <f>IF(ISNUMBER(SEARCH(ZAKL_DATA!$B$29,N382)),MAX($M$2:M381)+1,0)</f>
        <v>380.0</v>
      </c>
      <c r="N382" s="327" t="s">
        <v>2219</v>
      </c>
      <c r="O382" s="342" t="s">
        <v>2220</v>
      </c>
      <c r="Q382" s="329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327" t="s">
        <v>2219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327" t="s">
        <v>2219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327" t="s">
        <v>2219</v>
      </c>
      <c r="Z382" t="str">
        <f>IFERROR(VLOOKUP(ROWS($Z$3:Z382),$X$3:$Y$992,2,0),"")</f>
        <v>Ostatní zábavní a rekreační činnosti</v>
      </c>
    </row>
    <row r="383" spans="13:26" ht="12.75">
      <c r="M383" s="326">
        <f>IF(ISNUMBER(SEARCH(ZAKL_DATA!$B$29,N383)),MAX($M$2:M382)+1,0)</f>
        <v>381.0</v>
      </c>
      <c r="N383" s="327" t="s">
        <v>2221</v>
      </c>
      <c r="O383" s="342" t="s">
        <v>2222</v>
      </c>
      <c r="Q383" s="329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327" t="s">
        <v>2221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327" t="s">
        <v>2221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327" t="s">
        <v>2221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26">
        <f>IF(ISNUMBER(SEARCH(ZAKL_DATA!$B$29,N384)),MAX($M$2:M383)+1,0)</f>
        <v>382.0</v>
      </c>
      <c r="N384" s="327" t="s">
        <v>2223</v>
      </c>
      <c r="O384" s="342" t="s">
        <v>2224</v>
      </c>
      <c r="Q384" s="329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327" t="s">
        <v>2223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327" t="s">
        <v>2223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327" t="s">
        <v>2223</v>
      </c>
      <c r="Z384" t="str">
        <f>IFERROR(VLOOKUP(ROWS($Z$3:Z384),$X$3:$Y$992,2,0),"")</f>
        <v>Činnosti odborových svazů</v>
      </c>
    </row>
    <row r="385" spans="13:26" ht="12.75">
      <c r="M385" s="326">
        <f>IF(ISNUMBER(SEARCH(ZAKL_DATA!$B$29,N385)),MAX($M$2:M384)+1,0)</f>
        <v>383.0</v>
      </c>
      <c r="N385" s="327" t="s">
        <v>2225</v>
      </c>
      <c r="O385" s="342" t="s">
        <v>2226</v>
      </c>
      <c r="Q385" s="329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327" t="s">
        <v>2225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327" t="s">
        <v>2225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327" t="s">
        <v>2225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26">
        <f>IF(ISNUMBER(SEARCH(ZAKL_DATA!$B$29,N386)),MAX($M$2:M385)+1,0)</f>
        <v>384.0</v>
      </c>
      <c r="N386" s="327" t="s">
        <v>2227</v>
      </c>
      <c r="O386" s="342" t="s">
        <v>2228</v>
      </c>
      <c r="Q386" s="329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327" t="s">
        <v>2227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327" t="s">
        <v>2227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327" t="s">
        <v>2227</v>
      </c>
      <c r="Z386" t="str">
        <f>IFERROR(VLOOKUP(ROWS($Z$3:Z386),$X$3:$Y$992,2,0),"")</f>
        <v>Opravy počítačů a komunikačních zařízení</v>
      </c>
    </row>
    <row r="387" spans="13:26" ht="12.75">
      <c r="M387" s="326">
        <f>IF(ISNUMBER(SEARCH(ZAKL_DATA!$B$29,N387)),MAX($M$2:M386)+1,0)</f>
        <v>385.0</v>
      </c>
      <c r="N387" s="327" t="s">
        <v>2229</v>
      </c>
      <c r="O387" s="342" t="s">
        <v>2230</v>
      </c>
      <c r="Q387" s="329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327" t="s">
        <v>2229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327" t="s">
        <v>2229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327" t="s">
        <v>2229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26">
        <f>IF(ISNUMBER(SEARCH(ZAKL_DATA!$B$29,N388)),MAX($M$2:M387)+1,0)</f>
        <v>386.0</v>
      </c>
      <c r="N388" s="327" t="s">
        <v>2231</v>
      </c>
      <c r="O388" s="342" t="s">
        <v>2232</v>
      </c>
      <c r="Q388" s="329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327" t="s">
        <v>2231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327" t="s">
        <v>2231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327" t="s">
        <v>2231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26">
        <f>IF(ISNUMBER(SEARCH(ZAKL_DATA!$B$29,N389)),MAX($M$2:M388)+1,0)</f>
        <v>387.0</v>
      </c>
      <c r="N389" s="327" t="s">
        <v>2233</v>
      </c>
      <c r="O389" s="342" t="s">
        <v>2234</v>
      </c>
      <c r="Q389" s="329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327" t="s">
        <v>2233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327" t="s">
        <v>2233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327" t="s">
        <v>2233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26">
        <f>IF(ISNUMBER(SEARCH(ZAKL_DATA!$B$29,N390)),MAX($M$2:M389)+1,0)</f>
        <v>388.0</v>
      </c>
      <c r="N390" s="327" t="s">
        <v>2235</v>
      </c>
      <c r="O390" s="342" t="s">
        <v>2236</v>
      </c>
      <c r="Q390" s="329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327" t="s">
        <v>2235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327" t="s">
        <v>2235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327" t="s">
        <v>2235</v>
      </c>
      <c r="Z390" t="str">
        <f>IFERROR(VLOOKUP(ROWS($Z$3:Z390),$X$3:$Y$992,2,0),"")</f>
        <v>Zpracování a konzervování masa, kromě drůbežího</v>
      </c>
    </row>
    <row r="391" spans="13:26" ht="12.75">
      <c r="M391" s="326">
        <f>IF(ISNUMBER(SEARCH(ZAKL_DATA!$B$29,N391)),MAX($M$2:M390)+1,0)</f>
        <v>389.0</v>
      </c>
      <c r="N391" s="327" t="s">
        <v>2237</v>
      </c>
      <c r="O391" s="342" t="s">
        <v>2238</v>
      </c>
      <c r="Q391" s="329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327" t="s">
        <v>2237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327" t="s">
        <v>2237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327" t="s">
        <v>2237</v>
      </c>
      <c r="Z391" t="str">
        <f>IFERROR(VLOOKUP(ROWS($Z$3:Z391),$X$3:$Y$992,2,0),"")</f>
        <v>Zpracování a konzervování drůbežího masa</v>
      </c>
    </row>
    <row r="392" spans="13:26" ht="12.75">
      <c r="M392" s="326">
        <f>IF(ISNUMBER(SEARCH(ZAKL_DATA!$B$29,N392)),MAX($M$2:M391)+1,0)</f>
        <v>390.0</v>
      </c>
      <c r="N392" s="327" t="s">
        <v>2239</v>
      </c>
      <c r="O392" s="342" t="s">
        <v>2240</v>
      </c>
      <c r="Q392" s="329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327" t="s">
        <v>2239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327" t="s">
        <v>2239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327" t="s">
        <v>2239</v>
      </c>
      <c r="Z392" t="str">
        <f>IFERROR(VLOOKUP(ROWS($Z$3:Z392),$X$3:$Y$992,2,0),"")</f>
        <v>Výroba masných výrobků a výrobků z drůbežího masa</v>
      </c>
    </row>
    <row r="393" spans="13:26" ht="12.75">
      <c r="M393" s="326">
        <f>IF(ISNUMBER(SEARCH(ZAKL_DATA!$B$29,N393)),MAX($M$2:M392)+1,0)</f>
        <v>391.0</v>
      </c>
      <c r="N393" s="327" t="s">
        <v>2241</v>
      </c>
      <c r="O393" s="342" t="s">
        <v>2242</v>
      </c>
      <c r="Q393" s="329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327" t="s">
        <v>2241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327" t="s">
        <v>2241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327" t="s">
        <v>2241</v>
      </c>
      <c r="Z393" t="str">
        <f>IFERROR(VLOOKUP(ROWS($Z$3:Z393),$X$3:$Y$992,2,0),"")</f>
        <v>Zpracování a konzervování brambor</v>
      </c>
    </row>
    <row r="394" spans="13:26" ht="12.75">
      <c r="M394" s="326">
        <f>IF(ISNUMBER(SEARCH(ZAKL_DATA!$B$29,N394)),MAX($M$2:M393)+1,0)</f>
        <v>392.0</v>
      </c>
      <c r="N394" s="327" t="s">
        <v>2243</v>
      </c>
      <c r="O394" s="342" t="s">
        <v>2244</v>
      </c>
      <c r="Q394" s="329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327" t="s">
        <v>2243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327" t="s">
        <v>2243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327" t="s">
        <v>2243</v>
      </c>
      <c r="Z394" t="str">
        <f>IFERROR(VLOOKUP(ROWS($Z$3:Z394),$X$3:$Y$992,2,0),"")</f>
        <v>Výroba ovocných a zeleninových šťáv</v>
      </c>
    </row>
    <row r="395" spans="13:26" ht="12.75">
      <c r="M395" s="326">
        <f>IF(ISNUMBER(SEARCH(ZAKL_DATA!$B$29,N395)),MAX($M$2:M394)+1,0)</f>
        <v>393.0</v>
      </c>
      <c r="N395" s="327" t="s">
        <v>2245</v>
      </c>
      <c r="O395" s="342" t="s">
        <v>2246</v>
      </c>
      <c r="Q395" s="329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327" t="s">
        <v>2245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327" t="s">
        <v>2245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327" t="s">
        <v>2245</v>
      </c>
      <c r="Z395" t="str">
        <f>IFERROR(VLOOKUP(ROWS($Z$3:Z395),$X$3:$Y$992,2,0),"")</f>
        <v>Ostatní zpracování a konzervování ovoce a zeleniny</v>
      </c>
    </row>
    <row r="396" spans="13:26" ht="12.75">
      <c r="M396" s="326">
        <f>IF(ISNUMBER(SEARCH(ZAKL_DATA!$B$29,N396)),MAX($M$2:M395)+1,0)</f>
        <v>394.0</v>
      </c>
      <c r="N396" s="327" t="s">
        <v>2247</v>
      </c>
      <c r="O396" s="342" t="s">
        <v>2248</v>
      </c>
      <c r="Q396" s="329" t="str">
        <f>IFERROR(VLOOKUP(ROWS($Q$3:Q396),$M$3:$N$992,2,0),"")</f>
        <v>Výroba olejů a tuků</v>
      </c>
      <c r="R396">
        <f>IF(ISNUMBER(SEARCH('1Př1'!$A$32,N396)),MAX($M$2:M395)+1,0)</f>
        <v>394.0</v>
      </c>
      <c r="S396" s="327" t="s">
        <v>2247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327" t="s">
        <v>2247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327" t="s">
        <v>2247</v>
      </c>
      <c r="Z396" t="str">
        <f>IFERROR(VLOOKUP(ROWS($Z$3:Z396),$X$3:$Y$992,2,0),"")</f>
        <v>Výroba olejů a tuků</v>
      </c>
    </row>
    <row r="397" spans="13:26" ht="12.75">
      <c r="M397" s="326">
        <f>IF(ISNUMBER(SEARCH(ZAKL_DATA!$B$29,N397)),MAX($M$2:M396)+1,0)</f>
        <v>395.0</v>
      </c>
      <c r="N397" s="327" t="s">
        <v>2249</v>
      </c>
      <c r="O397" s="342" t="s">
        <v>2250</v>
      </c>
      <c r="Q397" s="329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327" t="s">
        <v>2249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327" t="s">
        <v>2249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327" t="s">
        <v>2249</v>
      </c>
      <c r="Z397" t="str">
        <f>IFERROR(VLOOKUP(ROWS($Z$3:Z397),$X$3:$Y$992,2,0),"")</f>
        <v>Výroba margarínu a podobných jedlých tuků</v>
      </c>
    </row>
    <row r="398" spans="13:26" ht="12.75">
      <c r="M398" s="326">
        <f>IF(ISNUMBER(SEARCH(ZAKL_DATA!$B$29,N398)),MAX($M$2:M397)+1,0)</f>
        <v>396.0</v>
      </c>
      <c r="N398" s="327" t="s">
        <v>2251</v>
      </c>
      <c r="O398" s="342" t="s">
        <v>2252</v>
      </c>
      <c r="Q398" s="329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327" t="s">
        <v>2251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327" t="s">
        <v>2251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327" t="s">
        <v>2251</v>
      </c>
      <c r="Z398" t="str">
        <f>IFERROR(VLOOKUP(ROWS($Z$3:Z398),$X$3:$Y$992,2,0),"")</f>
        <v>Zpracování mléka, výroba mléčných výrobků a sýrů</v>
      </c>
    </row>
    <row r="399" spans="13:26" ht="12.75">
      <c r="M399" s="326">
        <f>IF(ISNUMBER(SEARCH(ZAKL_DATA!$B$29,N399)),MAX($M$2:M398)+1,0)</f>
        <v>397.0</v>
      </c>
      <c r="N399" s="327" t="s">
        <v>2253</v>
      </c>
      <c r="O399" s="342" t="s">
        <v>2254</v>
      </c>
      <c r="Q399" s="329" t="str">
        <f>IFERROR(VLOOKUP(ROWS($Q$3:Q399),$M$3:$N$992,2,0),"")</f>
        <v>Výroba zmrzliny</v>
      </c>
      <c r="R399">
        <f>IF(ISNUMBER(SEARCH('1Př1'!$A$32,N399)),MAX($M$2:M398)+1,0)</f>
        <v>397.0</v>
      </c>
      <c r="S399" s="327" t="s">
        <v>2253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327" t="s">
        <v>2253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327" t="s">
        <v>2253</v>
      </c>
      <c r="Z399" t="str">
        <f>IFERROR(VLOOKUP(ROWS($Z$3:Z399),$X$3:$Y$992,2,0),"")</f>
        <v>Výroba zmrzliny</v>
      </c>
    </row>
    <row r="400" spans="13:26" ht="12.75">
      <c r="M400" s="326">
        <f>IF(ISNUMBER(SEARCH(ZAKL_DATA!$B$29,N400)),MAX($M$2:M399)+1,0)</f>
        <v>398.0</v>
      </c>
      <c r="N400" s="327" t="s">
        <v>2255</v>
      </c>
      <c r="O400" s="342" t="s">
        <v>2256</v>
      </c>
      <c r="Q400" s="329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327" t="s">
        <v>2255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327" t="s">
        <v>2255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327" t="s">
        <v>2255</v>
      </c>
      <c r="Z400" t="str">
        <f>IFERROR(VLOOKUP(ROWS($Z$3:Z400),$X$3:$Y$992,2,0),"")</f>
        <v>Výroba mlýnských výrobků</v>
      </c>
    </row>
    <row r="401" spans="13:26" ht="12.75">
      <c r="M401" s="326">
        <f>IF(ISNUMBER(SEARCH(ZAKL_DATA!$B$29,N401)),MAX($M$2:M400)+1,0)</f>
        <v>399.0</v>
      </c>
      <c r="N401" s="327" t="s">
        <v>2257</v>
      </c>
      <c r="O401" s="342" t="s">
        <v>2258</v>
      </c>
      <c r="Q401" s="329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327" t="s">
        <v>2257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327" t="s">
        <v>2257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327" t="s">
        <v>2257</v>
      </c>
      <c r="Z401" t="str">
        <f>IFERROR(VLOOKUP(ROWS($Z$3:Z401),$X$3:$Y$992,2,0),"")</f>
        <v>Výroba škrobárenských výrobků</v>
      </c>
    </row>
    <row r="402" spans="13:26" ht="12.75">
      <c r="M402" s="326">
        <f>IF(ISNUMBER(SEARCH(ZAKL_DATA!$B$29,N402)),MAX($M$2:M401)+1,0)</f>
        <v>400.0</v>
      </c>
      <c r="N402" s="327" t="s">
        <v>2259</v>
      </c>
      <c r="O402" s="342" t="s">
        <v>2260</v>
      </c>
      <c r="Q402" s="329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327" t="s">
        <v>2259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327" t="s">
        <v>2259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327" t="s">
        <v>2259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26">
        <f>IF(ISNUMBER(SEARCH(ZAKL_DATA!$B$29,N403)),MAX($M$2:M402)+1,0)</f>
        <v>401.0</v>
      </c>
      <c r="N403" s="327" t="s">
        <v>2261</v>
      </c>
      <c r="O403" s="342" t="s">
        <v>2262</v>
      </c>
      <c r="Q403" s="329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327" t="s">
        <v>2261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327" t="s">
        <v>2261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327" t="s">
        <v>2261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26">
        <f>IF(ISNUMBER(SEARCH(ZAKL_DATA!$B$29,N404)),MAX($M$2:M403)+1,0)</f>
        <v>402.0</v>
      </c>
      <c r="N404" s="327" t="s">
        <v>2263</v>
      </c>
      <c r="O404" s="342" t="s">
        <v>2264</v>
      </c>
      <c r="Q404" s="329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327" t="s">
        <v>2263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327" t="s">
        <v>2263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327" t="s">
        <v>2263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26">
        <f>IF(ISNUMBER(SEARCH(ZAKL_DATA!$B$29,N405)),MAX($M$2:M404)+1,0)</f>
        <v>403.0</v>
      </c>
      <c r="N405" s="327" t="s">
        <v>2265</v>
      </c>
      <c r="O405" s="342" t="s">
        <v>2266</v>
      </c>
      <c r="Q405" s="329" t="str">
        <f>IFERROR(VLOOKUP(ROWS($Q$3:Q405),$M$3:$N$992,2,0),"")</f>
        <v>Výroba cukru</v>
      </c>
      <c r="R405">
        <f>IF(ISNUMBER(SEARCH('1Př1'!$A$32,N405)),MAX($M$2:M404)+1,0)</f>
        <v>403.0</v>
      </c>
      <c r="S405" s="327" t="s">
        <v>2265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327" t="s">
        <v>2265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327" t="s">
        <v>2265</v>
      </c>
      <c r="Z405" t="str">
        <f>IFERROR(VLOOKUP(ROWS($Z$3:Z405),$X$3:$Y$992,2,0),"")</f>
        <v>Výroba cukru</v>
      </c>
    </row>
    <row r="406" spans="13:26" ht="12.75">
      <c r="M406" s="326">
        <f>IF(ISNUMBER(SEARCH(ZAKL_DATA!$B$29,N406)),MAX($M$2:M405)+1,0)</f>
        <v>404.0</v>
      </c>
      <c r="N406" s="327" t="s">
        <v>2267</v>
      </c>
      <c r="O406" s="342" t="s">
        <v>2268</v>
      </c>
      <c r="Q406" s="329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327" t="s">
        <v>2267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327" t="s">
        <v>2267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327" t="s">
        <v>2267</v>
      </c>
      <c r="Z406" t="str">
        <f>IFERROR(VLOOKUP(ROWS($Z$3:Z406),$X$3:$Y$992,2,0),"")</f>
        <v>Výroba kakaa, čokolády a cukrovinek</v>
      </c>
    </row>
    <row r="407" spans="13:26" ht="12.75">
      <c r="M407" s="326">
        <f>IF(ISNUMBER(SEARCH(ZAKL_DATA!$B$29,N407)),MAX($M$2:M406)+1,0)</f>
        <v>405.0</v>
      </c>
      <c r="N407" s="327" t="s">
        <v>2269</v>
      </c>
      <c r="O407" s="342" t="s">
        <v>2270</v>
      </c>
      <c r="Q407" s="329" t="str">
        <f>IFERROR(VLOOKUP(ROWS($Q$3:Q407),$M$3:$N$992,2,0),"")</f>
        <v>Zpracování čaje a kávy</v>
      </c>
      <c r="R407">
        <f>IF(ISNUMBER(SEARCH('1Př1'!$A$32,N407)),MAX($M$2:M406)+1,0)</f>
        <v>405.0</v>
      </c>
      <c r="S407" s="327" t="s">
        <v>2269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327" t="s">
        <v>2269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327" t="s">
        <v>2269</v>
      </c>
      <c r="Z407" t="str">
        <f>IFERROR(VLOOKUP(ROWS($Z$3:Z407),$X$3:$Y$992,2,0),"")</f>
        <v>Zpracování čaje a kávy</v>
      </c>
    </row>
    <row r="408" spans="13:26" ht="12.75">
      <c r="M408" s="326">
        <f>IF(ISNUMBER(SEARCH(ZAKL_DATA!$B$29,N408)),MAX($M$2:M407)+1,0)</f>
        <v>406.0</v>
      </c>
      <c r="N408" s="327" t="s">
        <v>2271</v>
      </c>
      <c r="O408" s="342" t="s">
        <v>2272</v>
      </c>
      <c r="Q408" s="329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327" t="s">
        <v>2271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327" t="s">
        <v>2271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327" t="s">
        <v>2271</v>
      </c>
      <c r="Z408" t="str">
        <f>IFERROR(VLOOKUP(ROWS($Z$3:Z408),$X$3:$Y$992,2,0),"")</f>
        <v>Výroba koření a aromatických výtažků</v>
      </c>
    </row>
    <row r="409" spans="13:26" ht="12.75">
      <c r="M409" s="326">
        <f>IF(ISNUMBER(SEARCH(ZAKL_DATA!$B$29,N409)),MAX($M$2:M408)+1,0)</f>
        <v>407.0</v>
      </c>
      <c r="N409" s="327" t="s">
        <v>2273</v>
      </c>
      <c r="O409" s="342" t="s">
        <v>2274</v>
      </c>
      <c r="Q409" s="329" t="str">
        <f>IFERROR(VLOOKUP(ROWS($Q$3:Q409),$M$3:$N$992,2,0),"")</f>
        <v>Výroba hotových pokrmů</v>
      </c>
      <c r="R409">
        <f>IF(ISNUMBER(SEARCH('1Př1'!$A$32,N409)),MAX($M$2:M408)+1,0)</f>
        <v>407.0</v>
      </c>
      <c r="S409" s="327" t="s">
        <v>2273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327" t="s">
        <v>2273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327" t="s">
        <v>2273</v>
      </c>
      <c r="Z409" t="str">
        <f>IFERROR(VLOOKUP(ROWS($Z$3:Z409),$X$3:$Y$992,2,0),"")</f>
        <v>Výroba hotových pokrmů</v>
      </c>
    </row>
    <row r="410" spans="13:26" ht="12.75">
      <c r="M410" s="326">
        <f>IF(ISNUMBER(SEARCH(ZAKL_DATA!$B$29,N410)),MAX($M$2:M409)+1,0)</f>
        <v>408.0</v>
      </c>
      <c r="N410" s="327" t="s">
        <v>2275</v>
      </c>
      <c r="O410" s="342" t="s">
        <v>2276</v>
      </c>
      <c r="Q410" s="329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327" t="s">
        <v>2275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327" t="s">
        <v>2275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327" t="s">
        <v>2275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26">
        <f>IF(ISNUMBER(SEARCH(ZAKL_DATA!$B$29,N411)),MAX($M$2:M410)+1,0)</f>
        <v>409.0</v>
      </c>
      <c r="N411" s="327" t="s">
        <v>2277</v>
      </c>
      <c r="O411" s="342" t="s">
        <v>2278</v>
      </c>
      <c r="Q411" s="329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327" t="s">
        <v>2277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327" t="s">
        <v>2277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327" t="s">
        <v>2277</v>
      </c>
      <c r="Z411" t="str">
        <f>IFERROR(VLOOKUP(ROWS($Z$3:Z411),$X$3:$Y$992,2,0),"")</f>
        <v>Výroba ostatních potravinářských výrobků j. n.</v>
      </c>
    </row>
    <row r="412" spans="13:26" ht="12.75">
      <c r="M412" s="326">
        <f>IF(ISNUMBER(SEARCH(ZAKL_DATA!$B$29,N412)),MAX($M$2:M411)+1,0)</f>
        <v>410.0</v>
      </c>
      <c r="N412" s="327" t="s">
        <v>2279</v>
      </c>
      <c r="O412" s="342" t="s">
        <v>2280</v>
      </c>
      <c r="Q412" s="329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327" t="s">
        <v>2279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327" t="s">
        <v>2279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327" t="s">
        <v>2279</v>
      </c>
      <c r="Z412" t="str">
        <f>IFERROR(VLOOKUP(ROWS($Z$3:Z412),$X$3:$Y$992,2,0),"")</f>
        <v>Výroba průmyslových krmiv pro hospodářská zvířata</v>
      </c>
    </row>
    <row r="413" spans="13:26" ht="12.75">
      <c r="M413" s="326">
        <f>IF(ISNUMBER(SEARCH(ZAKL_DATA!$B$29,N413)),MAX($M$2:M412)+1,0)</f>
        <v>411.0</v>
      </c>
      <c r="N413" s="327" t="s">
        <v>2281</v>
      </c>
      <c r="O413" s="342" t="s">
        <v>2282</v>
      </c>
      <c r="Q413" s="329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327" t="s">
        <v>2281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327" t="s">
        <v>2281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327" t="s">
        <v>2281</v>
      </c>
      <c r="Z413" t="str">
        <f>IFERROR(VLOOKUP(ROWS($Z$3:Z413),$X$3:$Y$992,2,0),"")</f>
        <v>Výroba průmyslových krmiv pro zvířata v zájmovém chovu</v>
      </c>
    </row>
    <row r="414" spans="13:26" ht="12.75">
      <c r="M414" s="326">
        <f>IF(ISNUMBER(SEARCH(ZAKL_DATA!$B$29,N414)),MAX($M$2:M413)+1,0)</f>
        <v>412.0</v>
      </c>
      <c r="N414" s="327" t="s">
        <v>2283</v>
      </c>
      <c r="O414" s="342" t="s">
        <v>2284</v>
      </c>
      <c r="Q414" s="329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327" t="s">
        <v>2283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327" t="s">
        <v>2283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327" t="s">
        <v>2283</v>
      </c>
      <c r="Z414" t="str">
        <f>IFERROR(VLOOKUP(ROWS($Z$3:Z414),$X$3:$Y$992,2,0),"")</f>
        <v>Destilace, rektifikace a míchání lihovin</v>
      </c>
    </row>
    <row r="415" spans="13:26" ht="12.75">
      <c r="M415" s="326">
        <f>IF(ISNUMBER(SEARCH(ZAKL_DATA!$B$29,N415)),MAX($M$2:M414)+1,0)</f>
        <v>413.0</v>
      </c>
      <c r="N415" s="327" t="s">
        <v>2285</v>
      </c>
      <c r="O415" s="342" t="s">
        <v>2286</v>
      </c>
      <c r="Q415" s="329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327" t="s">
        <v>2285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327" t="s">
        <v>2285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327" t="s">
        <v>2285</v>
      </c>
      <c r="Z415" t="str">
        <f>IFERROR(VLOOKUP(ROWS($Z$3:Z415),$X$3:$Y$992,2,0),"")</f>
        <v>Výroba vína z vinných hroznů</v>
      </c>
    </row>
    <row r="416" spans="13:26" ht="12.75">
      <c r="M416" s="326">
        <f>IF(ISNUMBER(SEARCH(ZAKL_DATA!$B$29,N416)),MAX($M$2:M415)+1,0)</f>
        <v>414.0</v>
      </c>
      <c r="N416" s="327" t="s">
        <v>2287</v>
      </c>
      <c r="O416" s="342" t="s">
        <v>2288</v>
      </c>
      <c r="Q416" s="329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327" t="s">
        <v>2287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327" t="s">
        <v>2287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327" t="s">
        <v>2287</v>
      </c>
      <c r="Z416" t="str">
        <f>IFERROR(VLOOKUP(ROWS($Z$3:Z416),$X$3:$Y$992,2,0),"")</f>
        <v>Výroba jablečného vína a jiných ovocných vín</v>
      </c>
    </row>
    <row r="417" spans="13:26" ht="12.75">
      <c r="M417" s="326">
        <f>IF(ISNUMBER(SEARCH(ZAKL_DATA!$B$29,N417)),MAX($M$2:M416)+1,0)</f>
        <v>415.0</v>
      </c>
      <c r="N417" s="327" t="s">
        <v>2289</v>
      </c>
      <c r="O417" s="342" t="s">
        <v>2290</v>
      </c>
      <c r="Q417" s="329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327" t="s">
        <v>2289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327" t="s">
        <v>2289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327" t="s">
        <v>2289</v>
      </c>
      <c r="Z417" t="str">
        <f>IFERROR(VLOOKUP(ROWS($Z$3:Z417),$X$3:$Y$992,2,0),"")</f>
        <v>Výroba ostatních nedestilovaných kvašených nápojů</v>
      </c>
    </row>
    <row r="418" spans="13:26" ht="12.75">
      <c r="M418" s="326">
        <f>IF(ISNUMBER(SEARCH(ZAKL_DATA!$B$29,N418)),MAX($M$2:M417)+1,0)</f>
        <v>416.0</v>
      </c>
      <c r="N418" s="327" t="s">
        <v>2291</v>
      </c>
      <c r="O418" s="342" t="s">
        <v>2292</v>
      </c>
      <c r="Q418" s="329" t="str">
        <f>IFERROR(VLOOKUP(ROWS($Q$3:Q418),$M$3:$N$992,2,0),"")</f>
        <v>Výroba piva</v>
      </c>
      <c r="R418">
        <f>IF(ISNUMBER(SEARCH('1Př1'!$A$32,N418)),MAX($M$2:M417)+1,0)</f>
        <v>416.0</v>
      </c>
      <c r="S418" s="327" t="s">
        <v>2291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327" t="s">
        <v>2291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327" t="s">
        <v>2291</v>
      </c>
      <c r="Z418" t="str">
        <f>IFERROR(VLOOKUP(ROWS($Z$3:Z418),$X$3:$Y$992,2,0),"")</f>
        <v>Výroba piva</v>
      </c>
    </row>
    <row r="419" spans="13:26" ht="12.75">
      <c r="M419" s="326">
        <f>IF(ISNUMBER(SEARCH(ZAKL_DATA!$B$29,N419)),MAX($M$2:M418)+1,0)</f>
        <v>417.0</v>
      </c>
      <c r="N419" s="327" t="s">
        <v>2293</v>
      </c>
      <c r="O419" s="342" t="s">
        <v>2294</v>
      </c>
      <c r="Q419" s="329" t="str">
        <f>IFERROR(VLOOKUP(ROWS($Q$3:Q419),$M$3:$N$992,2,0),"")</f>
        <v>Výroba sladu</v>
      </c>
      <c r="R419">
        <f>IF(ISNUMBER(SEARCH('1Př1'!$A$32,N419)),MAX($M$2:M418)+1,0)</f>
        <v>417.0</v>
      </c>
      <c r="S419" s="327" t="s">
        <v>2293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327" t="s">
        <v>2293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327" t="s">
        <v>2293</v>
      </c>
      <c r="Z419" t="str">
        <f>IFERROR(VLOOKUP(ROWS($Z$3:Z419),$X$3:$Y$992,2,0),"")</f>
        <v>Výroba sladu</v>
      </c>
    </row>
    <row r="420" spans="13:26" ht="12.75">
      <c r="M420" s="326">
        <f>IF(ISNUMBER(SEARCH(ZAKL_DATA!$B$29,N420)),MAX($M$2:M419)+1,0)</f>
        <v>418.0</v>
      </c>
      <c r="N420" s="327" t="s">
        <v>2295</v>
      </c>
      <c r="O420" s="342" t="s">
        <v>2296</v>
      </c>
      <c r="Q420" s="329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327" t="s">
        <v>2295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327" t="s">
        <v>2295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327" t="s">
        <v>2295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26">
        <f>IF(ISNUMBER(SEARCH(ZAKL_DATA!$B$29,N421)),MAX($M$2:M420)+1,0)</f>
        <v>419.0</v>
      </c>
      <c r="N421" s="327" t="s">
        <v>2297</v>
      </c>
      <c r="O421" s="342" t="s">
        <v>2298</v>
      </c>
      <c r="Q421" s="329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327" t="s">
        <v>2297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327" t="s">
        <v>2297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327" t="s">
        <v>2297</v>
      </c>
      <c r="Z421" t="str">
        <f>IFERROR(VLOOKUP(ROWS($Z$3:Z421),$X$3:$Y$992,2,0),"")</f>
        <v>Výroba pletených a háčkovaných materiálů</v>
      </c>
    </row>
    <row r="422" spans="13:26" ht="12.75">
      <c r="M422" s="326">
        <f>IF(ISNUMBER(SEARCH(ZAKL_DATA!$B$29,N422)),MAX($M$2:M421)+1,0)</f>
        <v>420.0</v>
      </c>
      <c r="N422" s="327" t="s">
        <v>2299</v>
      </c>
      <c r="O422" s="342" t="s">
        <v>2300</v>
      </c>
      <c r="Q422" s="329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327" t="s">
        <v>2299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327" t="s">
        <v>2299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327" t="s">
        <v>2299</v>
      </c>
      <c r="Z422" t="str">
        <f>IFERROR(VLOOKUP(ROWS($Z$3:Z422),$X$3:$Y$992,2,0),"")</f>
        <v>Výroba konfekčních textilních výrobků, kromě oděvů</v>
      </c>
    </row>
    <row r="423" spans="13:26" ht="12.75">
      <c r="M423" s="326">
        <f>IF(ISNUMBER(SEARCH(ZAKL_DATA!$B$29,N423)),MAX($M$2:M422)+1,0)</f>
        <v>421.0</v>
      </c>
      <c r="N423" s="327" t="s">
        <v>2301</v>
      </c>
      <c r="O423" s="342" t="s">
        <v>2302</v>
      </c>
      <c r="Q423" s="329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327" t="s">
        <v>2301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327" t="s">
        <v>2301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327" t="s">
        <v>2301</v>
      </c>
      <c r="Z423" t="str">
        <f>IFERROR(VLOOKUP(ROWS($Z$3:Z423),$X$3:$Y$992,2,0),"")</f>
        <v>Výroba koberců a kobercových předložek</v>
      </c>
    </row>
    <row r="424" spans="13:26" ht="12.75">
      <c r="M424" s="326">
        <f>IF(ISNUMBER(SEARCH(ZAKL_DATA!$B$29,N424)),MAX($M$2:M423)+1,0)</f>
        <v>422.0</v>
      </c>
      <c r="N424" s="327" t="s">
        <v>2303</v>
      </c>
      <c r="O424" s="342" t="s">
        <v>2304</v>
      </c>
      <c r="Q424" s="329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327" t="s">
        <v>2303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327" t="s">
        <v>2303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327" t="s">
        <v>2303</v>
      </c>
      <c r="Z424" t="str">
        <f>IFERROR(VLOOKUP(ROWS($Z$3:Z424),$X$3:$Y$992,2,0),"")</f>
        <v>Výroba lan, provazů a síťovaných výrobků</v>
      </c>
    </row>
    <row r="425" spans="13:26" ht="12.75">
      <c r="M425" s="326">
        <f>IF(ISNUMBER(SEARCH(ZAKL_DATA!$B$29,N425)),MAX($M$2:M424)+1,0)</f>
        <v>423.0</v>
      </c>
      <c r="N425" s="327" t="s">
        <v>2305</v>
      </c>
      <c r="O425" s="342" t="s">
        <v>2306</v>
      </c>
      <c r="Q425" s="329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327" t="s">
        <v>2305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327" t="s">
        <v>2305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327" t="s">
        <v>2305</v>
      </c>
      <c r="Z425" t="str">
        <f>IFERROR(VLOOKUP(ROWS($Z$3:Z425),$X$3:$Y$992,2,0),"")</f>
        <v>Výroba netkaných textilií a výrobků z nich, kromě oděvů</v>
      </c>
    </row>
    <row r="426" spans="13:26" ht="12.75">
      <c r="M426" s="326">
        <f>IF(ISNUMBER(SEARCH(ZAKL_DATA!$B$29,N426)),MAX($M$2:M425)+1,0)</f>
        <v>424.0</v>
      </c>
      <c r="N426" s="327" t="s">
        <v>2307</v>
      </c>
      <c r="O426" s="342" t="s">
        <v>2308</v>
      </c>
      <c r="Q426" s="329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327" t="s">
        <v>2307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327" t="s">
        <v>2307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327" t="s">
        <v>2307</v>
      </c>
      <c r="Z426" t="str">
        <f>IFERROR(VLOOKUP(ROWS($Z$3:Z426),$X$3:$Y$992,2,0),"")</f>
        <v>Výroba ostatních technických a průmyslových textilií</v>
      </c>
    </row>
    <row r="427" spans="13:26" ht="12.75">
      <c r="M427" s="326">
        <f>IF(ISNUMBER(SEARCH(ZAKL_DATA!$B$29,N427)),MAX($M$2:M426)+1,0)</f>
        <v>425.0</v>
      </c>
      <c r="N427" s="327" t="s">
        <v>2309</v>
      </c>
      <c r="O427" s="342" t="s">
        <v>2310</v>
      </c>
      <c r="Q427" s="329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327" t="s">
        <v>2309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327" t="s">
        <v>2309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327" t="s">
        <v>2309</v>
      </c>
      <c r="Z427" t="str">
        <f>IFERROR(VLOOKUP(ROWS($Z$3:Z427),$X$3:$Y$992,2,0),"")</f>
        <v>Výroba ostatních textilií j. n.</v>
      </c>
    </row>
    <row r="428" spans="13:26" ht="12.75">
      <c r="M428" s="326">
        <f>IF(ISNUMBER(SEARCH(ZAKL_DATA!$B$29,N428)),MAX($M$2:M427)+1,0)</f>
        <v>426.0</v>
      </c>
      <c r="N428" s="327" t="s">
        <v>2311</v>
      </c>
      <c r="O428" s="342" t="s">
        <v>2312</v>
      </c>
      <c r="Q428" s="329" t="str">
        <f>IFERROR(VLOOKUP(ROWS($Q$3:Q428),$M$3:$N$992,2,0),"")</f>
        <v>Výroba kožených oděvů</v>
      </c>
      <c r="R428">
        <f>IF(ISNUMBER(SEARCH('1Př1'!$A$32,N428)),MAX($M$2:M427)+1,0)</f>
        <v>426.0</v>
      </c>
      <c r="S428" s="327" t="s">
        <v>2311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327" t="s">
        <v>2311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327" t="s">
        <v>2311</v>
      </c>
      <c r="Z428" t="str">
        <f>IFERROR(VLOOKUP(ROWS($Z$3:Z428),$X$3:$Y$992,2,0),"")</f>
        <v>Výroba kožených oděvů</v>
      </c>
    </row>
    <row r="429" spans="13:26" ht="12.75">
      <c r="M429" s="326">
        <f>IF(ISNUMBER(SEARCH(ZAKL_DATA!$B$29,N429)),MAX($M$2:M428)+1,0)</f>
        <v>427.0</v>
      </c>
      <c r="N429" s="327" t="s">
        <v>2313</v>
      </c>
      <c r="O429" s="342" t="s">
        <v>2314</v>
      </c>
      <c r="Q429" s="329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327" t="s">
        <v>2313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327" t="s">
        <v>2313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327" t="s">
        <v>2313</v>
      </c>
      <c r="Z429" t="str">
        <f>IFERROR(VLOOKUP(ROWS($Z$3:Z429),$X$3:$Y$992,2,0),"")</f>
        <v>Výroba pracovních oděvů</v>
      </c>
    </row>
    <row r="430" spans="13:26" ht="12.75">
      <c r="M430" s="326">
        <f>IF(ISNUMBER(SEARCH(ZAKL_DATA!$B$29,N430)),MAX($M$2:M429)+1,0)</f>
        <v>428.0</v>
      </c>
      <c r="N430" s="327" t="s">
        <v>2315</v>
      </c>
      <c r="O430" s="342" t="s">
        <v>2316</v>
      </c>
      <c r="Q430" s="329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327" t="s">
        <v>2315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327" t="s">
        <v>2315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327" t="s">
        <v>2315</v>
      </c>
      <c r="Z430" t="str">
        <f>IFERROR(VLOOKUP(ROWS($Z$3:Z430),$X$3:$Y$992,2,0),"")</f>
        <v>Výroba ostatních svrchních oděvů</v>
      </c>
    </row>
    <row r="431" spans="13:26" ht="12.75">
      <c r="M431" s="326">
        <f>IF(ISNUMBER(SEARCH(ZAKL_DATA!$B$29,N431)),MAX($M$2:M430)+1,0)</f>
        <v>429.0</v>
      </c>
      <c r="N431" s="327" t="s">
        <v>2317</v>
      </c>
      <c r="O431" s="342" t="s">
        <v>2318</v>
      </c>
      <c r="Q431" s="329" t="str">
        <f>IFERROR(VLOOKUP(ROWS($Q$3:Q431),$M$3:$N$992,2,0),"")</f>
        <v>Výroba osobního prádla</v>
      </c>
      <c r="R431">
        <f>IF(ISNUMBER(SEARCH('1Př1'!$A$32,N431)),MAX($M$2:M430)+1,0)</f>
        <v>429.0</v>
      </c>
      <c r="S431" s="327" t="s">
        <v>2317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327" t="s">
        <v>2317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327" t="s">
        <v>2317</v>
      </c>
      <c r="Z431" t="str">
        <f>IFERROR(VLOOKUP(ROWS($Z$3:Z431),$X$3:$Y$992,2,0),"")</f>
        <v>Výroba osobního prádla</v>
      </c>
    </row>
    <row r="432" spans="13:26" ht="12.75">
      <c r="M432" s="326">
        <f>IF(ISNUMBER(SEARCH(ZAKL_DATA!$B$29,N432)),MAX($M$2:M431)+1,0)</f>
        <v>430.0</v>
      </c>
      <c r="N432" s="327" t="s">
        <v>2319</v>
      </c>
      <c r="O432" s="342" t="s">
        <v>2320</v>
      </c>
      <c r="Q432" s="329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327" t="s">
        <v>2319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327" t="s">
        <v>2319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327" t="s">
        <v>2319</v>
      </c>
      <c r="Z432" t="str">
        <f>IFERROR(VLOOKUP(ROWS($Z$3:Z432),$X$3:$Y$992,2,0),"")</f>
        <v>Výroba ostatních oděvů a oděvních doplňků</v>
      </c>
    </row>
    <row r="433" spans="13:26" ht="12.75">
      <c r="M433" s="326">
        <f>IF(ISNUMBER(SEARCH(ZAKL_DATA!$B$29,N433)),MAX($M$2:M432)+1,0)</f>
        <v>431.0</v>
      </c>
      <c r="N433" s="327" t="s">
        <v>2321</v>
      </c>
      <c r="O433" s="342" t="s">
        <v>2322</v>
      </c>
      <c r="Q433" s="329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327" t="s">
        <v>2321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327" t="s">
        <v>2321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327" t="s">
        <v>2321</v>
      </c>
      <c r="Z433" t="str">
        <f>IFERROR(VLOOKUP(ROWS($Z$3:Z433),$X$3:$Y$992,2,0),"")</f>
        <v>Výroba pletených a háčkovaných punčochových výrobků</v>
      </c>
    </row>
    <row r="434" spans="13:26" ht="12.75">
      <c r="M434" s="326">
        <f>IF(ISNUMBER(SEARCH(ZAKL_DATA!$B$29,N434)),MAX($M$2:M433)+1,0)</f>
        <v>432.0</v>
      </c>
      <c r="N434" s="327" t="s">
        <v>2323</v>
      </c>
      <c r="O434" s="342" t="s">
        <v>2324</v>
      </c>
      <c r="Q434" s="329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327" t="s">
        <v>2323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327" t="s">
        <v>2323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327" t="s">
        <v>2323</v>
      </c>
      <c r="Z434" t="str">
        <f>IFERROR(VLOOKUP(ROWS($Z$3:Z434),$X$3:$Y$992,2,0),"")</f>
        <v>Výroba ostatních pletených a háčkovaných oděvů</v>
      </c>
    </row>
    <row r="435" spans="13:26" ht="12.75">
      <c r="M435" s="326">
        <f>IF(ISNUMBER(SEARCH(ZAKL_DATA!$B$29,N435)),MAX($M$2:M434)+1,0)</f>
        <v>433.0</v>
      </c>
      <c r="N435" s="327" t="s">
        <v>2325</v>
      </c>
      <c r="O435" s="342" t="s">
        <v>2326</v>
      </c>
      <c r="Q435" s="329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327" t="s">
        <v>2325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327" t="s">
        <v>2325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327" t="s">
        <v>2325</v>
      </c>
      <c r="Z435" t="str">
        <f>IFERROR(VLOOKUP(ROWS($Z$3:Z435),$X$3:$Y$992,2,0),"")</f>
        <v>Chov drobných hospodářských zvířat</v>
      </c>
    </row>
    <row r="436" spans="13:26" ht="12.75">
      <c r="M436" s="326">
        <f>IF(ISNUMBER(SEARCH(ZAKL_DATA!$B$29,N436)),MAX($M$2:M435)+1,0)</f>
        <v>434.0</v>
      </c>
      <c r="N436" s="327" t="s">
        <v>2327</v>
      </c>
      <c r="O436" s="342" t="s">
        <v>2328</v>
      </c>
      <c r="Q436" s="329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327" t="s">
        <v>2327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327" t="s">
        <v>2327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327" t="s">
        <v>2327</v>
      </c>
      <c r="Z436" t="str">
        <f>IFERROR(VLOOKUP(ROWS($Z$3:Z436),$X$3:$Y$992,2,0),"")</f>
        <v>Chov kožešinových zvířat</v>
      </c>
    </row>
    <row r="437" spans="13:26" ht="12.75">
      <c r="M437" s="326">
        <f>IF(ISNUMBER(SEARCH(ZAKL_DATA!$B$29,N437)),MAX($M$2:M436)+1,0)</f>
        <v>435.0</v>
      </c>
      <c r="N437" s="327" t="s">
        <v>2329</v>
      </c>
      <c r="O437" s="342" t="s">
        <v>2330</v>
      </c>
      <c r="Q437" s="329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327" t="s">
        <v>2329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327" t="s">
        <v>2329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327" t="s">
        <v>2329</v>
      </c>
      <c r="Z437" t="str">
        <f>IFERROR(VLOOKUP(ROWS($Z$3:Z437),$X$3:$Y$992,2,0),"")</f>
        <v>Chov zvířat pro zájmový chov</v>
      </c>
    </row>
    <row r="438" spans="13:26" ht="12.75">
      <c r="M438" s="326">
        <f>IF(ISNUMBER(SEARCH(ZAKL_DATA!$B$29,N438)),MAX($M$2:M437)+1,0)</f>
        <v>436.0</v>
      </c>
      <c r="N438" s="327" t="s">
        <v>2331</v>
      </c>
      <c r="O438" s="342" t="s">
        <v>2332</v>
      </c>
      <c r="Q438" s="329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327" t="s">
        <v>2331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327" t="s">
        <v>2331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327" t="s">
        <v>2331</v>
      </c>
      <c r="Z438" t="str">
        <f>IFERROR(VLOOKUP(ROWS($Z$3:Z438),$X$3:$Y$992,2,0),"")</f>
        <v>Chov ostatních zvířat j. n.</v>
      </c>
    </row>
    <row r="439" spans="13:26" ht="12.75">
      <c r="M439" s="326">
        <f>IF(ISNUMBER(SEARCH(ZAKL_DATA!$B$29,N439)),MAX($M$2:M438)+1,0)</f>
        <v>437.0</v>
      </c>
      <c r="N439" s="327" t="s">
        <v>2333</v>
      </c>
      <c r="O439" s="342" t="s">
        <v>2334</v>
      </c>
      <c r="Q439" s="329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327" t="s">
        <v>2333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327" t="s">
        <v>2333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327" t="s">
        <v>2333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26">
        <f>IF(ISNUMBER(SEARCH(ZAKL_DATA!$B$29,N440)),MAX($M$2:M439)+1,0)</f>
        <v>438.0</v>
      </c>
      <c r="N440" s="327" t="s">
        <v>2335</v>
      </c>
      <c r="O440" s="342" t="s">
        <v>2336</v>
      </c>
      <c r="Q440" s="329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327" t="s">
        <v>2335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327" t="s">
        <v>2335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327" t="s">
        <v>2335</v>
      </c>
      <c r="Z440" t="str">
        <f>IFERROR(VLOOKUP(ROWS($Z$3:Z440),$X$3:$Y$992,2,0),"")</f>
        <v>Výroba brašnářských, sedlářských a podobných výrobků</v>
      </c>
    </row>
    <row r="441" spans="13:26" ht="12.75">
      <c r="M441" s="326">
        <f>IF(ISNUMBER(SEARCH(ZAKL_DATA!$B$29,N441)),MAX($M$2:M440)+1,0)</f>
        <v>439.0</v>
      </c>
      <c r="N441" s="327" t="s">
        <v>2337</v>
      </c>
      <c r="O441" s="342" t="s">
        <v>2338</v>
      </c>
      <c r="Q441" s="329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327" t="s">
        <v>2337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327" t="s">
        <v>2337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327" t="s">
        <v>2337</v>
      </c>
      <c r="Z441" t="str">
        <f>IFERROR(VLOOKUP(ROWS($Z$3:Z441),$X$3:$Y$992,2,0),"")</f>
        <v>Výroba dýh a desek na bázi dřeva</v>
      </c>
    </row>
    <row r="442" spans="13:26" ht="12.75">
      <c r="M442" s="326">
        <f>IF(ISNUMBER(SEARCH(ZAKL_DATA!$B$29,N442)),MAX($M$2:M441)+1,0)</f>
        <v>440.0</v>
      </c>
      <c r="N442" s="327" t="s">
        <v>2339</v>
      </c>
      <c r="O442" s="342" t="s">
        <v>2340</v>
      </c>
      <c r="Q442" s="329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327" t="s">
        <v>2339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327" t="s">
        <v>2339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327" t="s">
        <v>2339</v>
      </c>
      <c r="Z442" t="str">
        <f>IFERROR(VLOOKUP(ROWS($Z$3:Z442),$X$3:$Y$992,2,0),"")</f>
        <v>Výroba sestavených parketových podlah</v>
      </c>
    </row>
    <row r="443" spans="13:26" ht="12.75">
      <c r="M443" s="326">
        <f>IF(ISNUMBER(SEARCH(ZAKL_DATA!$B$29,N443)),MAX($M$2:M442)+1,0)</f>
        <v>441.0</v>
      </c>
      <c r="N443" s="327" t="s">
        <v>2341</v>
      </c>
      <c r="O443" s="342" t="s">
        <v>2342</v>
      </c>
      <c r="Q443" s="329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327" t="s">
        <v>2341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327" t="s">
        <v>2341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327" t="s">
        <v>2341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26">
        <f>IF(ISNUMBER(SEARCH(ZAKL_DATA!$B$29,N444)),MAX($M$2:M443)+1,0)</f>
        <v>442.0</v>
      </c>
      <c r="N444" s="327" t="s">
        <v>2343</v>
      </c>
      <c r="O444" s="342" t="s">
        <v>2344</v>
      </c>
      <c r="Q444" s="329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327" t="s">
        <v>2343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327" t="s">
        <v>2343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327" t="s">
        <v>2343</v>
      </c>
      <c r="Z444" t="str">
        <f>IFERROR(VLOOKUP(ROWS($Z$3:Z444),$X$3:$Y$992,2,0),"")</f>
        <v>Výroba dřevěných obalů</v>
      </c>
    </row>
    <row r="445" spans="13:26" ht="12.75">
      <c r="M445" s="326">
        <f>IF(ISNUMBER(SEARCH(ZAKL_DATA!$B$29,N445)),MAX($M$2:M444)+1,0)</f>
        <v>443.0</v>
      </c>
      <c r="N445" s="327" t="s">
        <v>2345</v>
      </c>
      <c r="O445" s="342" t="s">
        <v>2346</v>
      </c>
      <c r="Q445" s="329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327" t="s">
        <v>2345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327" t="s">
        <v>2345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327" t="s">
        <v>2345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26">
        <f>IF(ISNUMBER(SEARCH(ZAKL_DATA!$B$29,N446)),MAX($M$2:M445)+1,0)</f>
        <v>444.0</v>
      </c>
      <c r="N446" s="327" t="s">
        <v>2347</v>
      </c>
      <c r="O446" s="342" t="s">
        <v>2348</v>
      </c>
      <c r="Q446" s="329" t="str">
        <f>IFERROR(VLOOKUP(ROWS($Q$3:Q446),$M$3:$N$992,2,0),"")</f>
        <v>Výroba buničiny</v>
      </c>
      <c r="R446">
        <f>IF(ISNUMBER(SEARCH('1Př1'!$A$32,N446)),MAX($M$2:M445)+1,0)</f>
        <v>444.0</v>
      </c>
      <c r="S446" s="327" t="s">
        <v>2347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327" t="s">
        <v>2347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327" t="s">
        <v>2347</v>
      </c>
      <c r="Z446" t="str">
        <f>IFERROR(VLOOKUP(ROWS($Z$3:Z446),$X$3:$Y$992,2,0),"")</f>
        <v>Výroba buničiny</v>
      </c>
    </row>
    <row r="447" spans="13:26" ht="12.75">
      <c r="M447" s="326">
        <f>IF(ISNUMBER(SEARCH(ZAKL_DATA!$B$29,N447)),MAX($M$2:M446)+1,0)</f>
        <v>445.0</v>
      </c>
      <c r="N447" s="327" t="s">
        <v>2349</v>
      </c>
      <c r="O447" s="342" t="s">
        <v>2350</v>
      </c>
      <c r="Q447" s="329" t="str">
        <f>IFERROR(VLOOKUP(ROWS($Q$3:Q447),$M$3:$N$992,2,0),"")</f>
        <v>Výroba papíru a lepenky</v>
      </c>
      <c r="R447">
        <f>IF(ISNUMBER(SEARCH('1Př1'!$A$32,N447)),MAX($M$2:M446)+1,0)</f>
        <v>445.0</v>
      </c>
      <c r="S447" s="327" t="s">
        <v>2349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327" t="s">
        <v>2349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327" t="s">
        <v>2349</v>
      </c>
      <c r="Z447" t="str">
        <f>IFERROR(VLOOKUP(ROWS($Z$3:Z447),$X$3:$Y$992,2,0),"")</f>
        <v>Výroba papíru a lepenky</v>
      </c>
    </row>
    <row r="448" spans="13:26" ht="12.75">
      <c r="M448" s="326">
        <f>IF(ISNUMBER(SEARCH(ZAKL_DATA!$B$29,N448)),MAX($M$2:M447)+1,0)</f>
        <v>446.0</v>
      </c>
      <c r="N448" s="327" t="s">
        <v>2351</v>
      </c>
      <c r="O448" s="342" t="s">
        <v>2352</v>
      </c>
      <c r="Q448" s="329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327" t="s">
        <v>2351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327" t="s">
        <v>2351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327" t="s">
        <v>2351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26">
        <f>IF(ISNUMBER(SEARCH(ZAKL_DATA!$B$29,N449)),MAX($M$2:M448)+1,0)</f>
        <v>447.0</v>
      </c>
      <c r="N449" s="327" t="s">
        <v>2353</v>
      </c>
      <c r="O449" s="342" t="s">
        <v>2354</v>
      </c>
      <c r="Q449" s="329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327" t="s">
        <v>2353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327" t="s">
        <v>2353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327" t="s">
        <v>2353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26">
        <f>IF(ISNUMBER(SEARCH(ZAKL_DATA!$B$29,N450)),MAX($M$2:M449)+1,0)</f>
        <v>448.0</v>
      </c>
      <c r="N450" s="327" t="s">
        <v>2355</v>
      </c>
      <c r="O450" s="342" t="s">
        <v>2356</v>
      </c>
      <c r="Q450" s="329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327" t="s">
        <v>2355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327" t="s">
        <v>2355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327" t="s">
        <v>2355</v>
      </c>
      <c r="Z450" t="str">
        <f>IFERROR(VLOOKUP(ROWS($Z$3:Z450),$X$3:$Y$992,2,0),"")</f>
        <v>Výroba kancelářských potřeb z papíru</v>
      </c>
    </row>
    <row r="451" spans="13:26" ht="12.75">
      <c r="M451" s="326">
        <f>IF(ISNUMBER(SEARCH(ZAKL_DATA!$B$29,N451)),MAX($M$2:M450)+1,0)</f>
        <v>449.0</v>
      </c>
      <c r="N451" s="327" t="s">
        <v>2357</v>
      </c>
      <c r="O451" s="342" t="s">
        <v>2358</v>
      </c>
      <c r="Q451" s="329" t="str">
        <f>IFERROR(VLOOKUP(ROWS($Q$3:Q451),$M$3:$N$992,2,0),"")</f>
        <v>Výroba tapet</v>
      </c>
      <c r="R451">
        <f>IF(ISNUMBER(SEARCH('1Př1'!$A$32,N451)),MAX($M$2:M450)+1,0)</f>
        <v>449.0</v>
      </c>
      <c r="S451" s="327" t="s">
        <v>2357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327" t="s">
        <v>2357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327" t="s">
        <v>2357</v>
      </c>
      <c r="Z451" t="str">
        <f>IFERROR(VLOOKUP(ROWS($Z$3:Z451),$X$3:$Y$992,2,0),"")</f>
        <v>Výroba tapet</v>
      </c>
    </row>
    <row r="452" spans="13:26" ht="12.75">
      <c r="M452" s="326">
        <f>IF(ISNUMBER(SEARCH(ZAKL_DATA!$B$29,N452)),MAX($M$2:M451)+1,0)</f>
        <v>450.0</v>
      </c>
      <c r="N452" s="327" t="s">
        <v>2359</v>
      </c>
      <c r="O452" s="342" t="s">
        <v>2360</v>
      </c>
      <c r="Q452" s="329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327" t="s">
        <v>2359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327" t="s">
        <v>2359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327" t="s">
        <v>2359</v>
      </c>
      <c r="Z452" t="str">
        <f>IFERROR(VLOOKUP(ROWS($Z$3:Z452),$X$3:$Y$992,2,0),"")</f>
        <v>Výroba ostatních výrobků z papíru a lepenky</v>
      </c>
    </row>
    <row r="453" spans="13:26" ht="12.75">
      <c r="M453" s="326">
        <f>IF(ISNUMBER(SEARCH(ZAKL_DATA!$B$29,N453)),MAX($M$2:M452)+1,0)</f>
        <v>451.0</v>
      </c>
      <c r="N453" s="327" t="s">
        <v>2361</v>
      </c>
      <c r="O453" s="342" t="s">
        <v>2362</v>
      </c>
      <c r="Q453" s="329" t="str">
        <f>IFERROR(VLOOKUP(ROWS($Q$3:Q453),$M$3:$N$992,2,0),"")</f>
        <v>Tisk novin</v>
      </c>
      <c r="R453">
        <f>IF(ISNUMBER(SEARCH('1Př1'!$A$32,N453)),MAX($M$2:M452)+1,0)</f>
        <v>451.0</v>
      </c>
      <c r="S453" s="327" t="s">
        <v>2361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327" t="s">
        <v>2361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327" t="s">
        <v>2361</v>
      </c>
      <c r="Z453" t="str">
        <f>IFERROR(VLOOKUP(ROWS($Z$3:Z453),$X$3:$Y$992,2,0),"")</f>
        <v>Tisk novin</v>
      </c>
    </row>
    <row r="454" spans="13:26" ht="12.75">
      <c r="M454" s="326">
        <f>IF(ISNUMBER(SEARCH(ZAKL_DATA!$B$29,N454)),MAX($M$2:M453)+1,0)</f>
        <v>452.0</v>
      </c>
      <c r="N454" s="327" t="s">
        <v>2363</v>
      </c>
      <c r="O454" s="342" t="s">
        <v>2364</v>
      </c>
      <c r="Q454" s="329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327" t="s">
        <v>2363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327" t="s">
        <v>2363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327" t="s">
        <v>2363</v>
      </c>
      <c r="Z454" t="str">
        <f>IFERROR(VLOOKUP(ROWS($Z$3:Z454),$X$3:$Y$992,2,0),"")</f>
        <v>Tisk ostatní, kromě novin</v>
      </c>
    </row>
    <row r="455" spans="13:26" ht="12.75">
      <c r="M455" s="326">
        <f>IF(ISNUMBER(SEARCH(ZAKL_DATA!$B$29,N455)),MAX($M$2:M454)+1,0)</f>
        <v>453.0</v>
      </c>
      <c r="N455" s="327" t="s">
        <v>2365</v>
      </c>
      <c r="O455" s="342" t="s">
        <v>2366</v>
      </c>
      <c r="Q455" s="329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327" t="s">
        <v>2365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327" t="s">
        <v>2365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327" t="s">
        <v>2365</v>
      </c>
      <c r="Z455" t="str">
        <f>IFERROR(VLOOKUP(ROWS($Z$3:Z455),$X$3:$Y$992,2,0),"")</f>
        <v>Příprava tisku a digitálních dat</v>
      </c>
    </row>
    <row r="456" spans="13:26" ht="12.75">
      <c r="M456" s="326">
        <f>IF(ISNUMBER(SEARCH(ZAKL_DATA!$B$29,N456)),MAX($M$2:M455)+1,0)</f>
        <v>454.0</v>
      </c>
      <c r="N456" s="327" t="s">
        <v>2367</v>
      </c>
      <c r="O456" s="342" t="s">
        <v>2368</v>
      </c>
      <c r="Q456" s="329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327" t="s">
        <v>2367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327" t="s">
        <v>2367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327" t="s">
        <v>2367</v>
      </c>
      <c r="Z456" t="str">
        <f>IFERROR(VLOOKUP(ROWS($Z$3:Z456),$X$3:$Y$992,2,0),"")</f>
        <v>Vázání a související činnosti</v>
      </c>
    </row>
    <row r="457" spans="13:26" ht="12.75">
      <c r="M457" s="326">
        <f>IF(ISNUMBER(SEARCH(ZAKL_DATA!$B$29,N457)),MAX($M$2:M456)+1,0)</f>
        <v>455.0</v>
      </c>
      <c r="N457" s="327" t="s">
        <v>2369</v>
      </c>
      <c r="O457" s="342" t="s">
        <v>2370</v>
      </c>
      <c r="Q457" s="329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327" t="s">
        <v>2369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327" t="s">
        <v>2369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327" t="s">
        <v>2369</v>
      </c>
      <c r="Z457" t="str">
        <f>IFERROR(VLOOKUP(ROWS($Z$3:Z457),$X$3:$Y$992,2,0),"")</f>
        <v>Výroba technických plynů</v>
      </c>
    </row>
    <row r="458" spans="13:26" ht="12.75">
      <c r="M458" s="326">
        <f>IF(ISNUMBER(SEARCH(ZAKL_DATA!$B$29,N458)),MAX($M$2:M457)+1,0)</f>
        <v>456.0</v>
      </c>
      <c r="N458" s="327" t="s">
        <v>2371</v>
      </c>
      <c r="O458" s="342" t="s">
        <v>2372</v>
      </c>
      <c r="Q458" s="329" t="str">
        <f>IFERROR(VLOOKUP(ROWS($Q$3:Q458),$M$3:$N$992,2,0),"")</f>
        <v>Výroba barviv a pigmentů</v>
      </c>
      <c r="R458">
        <f>IF(ISNUMBER(SEARCH('1Př1'!$A$32,N458)),MAX($M$2:M457)+1,0)</f>
        <v>456.0</v>
      </c>
      <c r="S458" s="327" t="s">
        <v>2371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327" t="s">
        <v>2371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327" t="s">
        <v>2371</v>
      </c>
      <c r="Z458" t="str">
        <f>IFERROR(VLOOKUP(ROWS($Z$3:Z458),$X$3:$Y$992,2,0),"")</f>
        <v>Výroba barviv a pigmentů</v>
      </c>
    </row>
    <row r="459" spans="13:26" ht="12.75">
      <c r="M459" s="326">
        <f>IF(ISNUMBER(SEARCH(ZAKL_DATA!$B$29,N459)),MAX($M$2:M458)+1,0)</f>
        <v>457.0</v>
      </c>
      <c r="N459" s="327" t="s">
        <v>2373</v>
      </c>
      <c r="O459" s="342" t="s">
        <v>2374</v>
      </c>
      <c r="Q459" s="329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327" t="s">
        <v>2373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327" t="s">
        <v>2373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327" t="s">
        <v>2373</v>
      </c>
      <c r="Z459" t="str">
        <f>IFERROR(VLOOKUP(ROWS($Z$3:Z459),$X$3:$Y$992,2,0),"")</f>
        <v>Výroba jiných základních anorganických chemických látek</v>
      </c>
    </row>
    <row r="460" spans="13:26" ht="12.75">
      <c r="M460" s="326">
        <f>IF(ISNUMBER(SEARCH(ZAKL_DATA!$B$29,N460)),MAX($M$2:M459)+1,0)</f>
        <v>458.0</v>
      </c>
      <c r="N460" s="327" t="s">
        <v>2375</v>
      </c>
      <c r="O460" s="342" t="s">
        <v>2376</v>
      </c>
      <c r="Q460" s="329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327" t="s">
        <v>2375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327" t="s">
        <v>2375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327" t="s">
        <v>2375</v>
      </c>
      <c r="Z460" t="str">
        <f>IFERROR(VLOOKUP(ROWS($Z$3:Z460),$X$3:$Y$992,2,0),"")</f>
        <v>Výroba jiných základních organických chemických látek</v>
      </c>
    </row>
    <row r="461" spans="13:26" ht="12.75">
      <c r="M461" s="326">
        <f>IF(ISNUMBER(SEARCH(ZAKL_DATA!$B$29,N461)),MAX($M$2:M460)+1,0)</f>
        <v>459.0</v>
      </c>
      <c r="N461" s="327" t="s">
        <v>2377</v>
      </c>
      <c r="O461" s="342" t="s">
        <v>2378</v>
      </c>
      <c r="Q461" s="329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327" t="s">
        <v>2377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327" t="s">
        <v>2377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327" t="s">
        <v>2377</v>
      </c>
      <c r="Z461" t="str">
        <f>IFERROR(VLOOKUP(ROWS($Z$3:Z461),$X$3:$Y$992,2,0),"")</f>
        <v>Výroba hnojiv a dusíkatých sloučenin</v>
      </c>
    </row>
    <row r="462" spans="13:26" ht="12.75">
      <c r="M462" s="326">
        <f>IF(ISNUMBER(SEARCH(ZAKL_DATA!$B$29,N462)),MAX($M$2:M461)+1,0)</f>
        <v>460.0</v>
      </c>
      <c r="N462" s="327" t="s">
        <v>2379</v>
      </c>
      <c r="O462" s="342" t="s">
        <v>2380</v>
      </c>
      <c r="Q462" s="329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327" t="s">
        <v>2379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327" t="s">
        <v>2379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327" t="s">
        <v>2379</v>
      </c>
      <c r="Z462" t="str">
        <f>IFERROR(VLOOKUP(ROWS($Z$3:Z462),$X$3:$Y$992,2,0),"")</f>
        <v>Výroba plastů v primárních formách</v>
      </c>
    </row>
    <row r="463" spans="13:26" ht="12.75">
      <c r="M463" s="326">
        <f>IF(ISNUMBER(SEARCH(ZAKL_DATA!$B$29,N463)),MAX($M$2:M462)+1,0)</f>
        <v>461.0</v>
      </c>
      <c r="N463" s="327" t="s">
        <v>2381</v>
      </c>
      <c r="O463" s="342" t="s">
        <v>2382</v>
      </c>
      <c r="Q463" s="329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327" t="s">
        <v>2381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327" t="s">
        <v>2381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327" t="s">
        <v>2381</v>
      </c>
      <c r="Z463" t="str">
        <f>IFERROR(VLOOKUP(ROWS($Z$3:Z463),$X$3:$Y$992,2,0),"")</f>
        <v>Výroba syntetického kaučuku v primárních formách</v>
      </c>
    </row>
    <row r="464" spans="13:26" ht="12.75">
      <c r="M464" s="326">
        <f>IF(ISNUMBER(SEARCH(ZAKL_DATA!$B$29,N464)),MAX($M$2:M463)+1,0)</f>
        <v>462.0</v>
      </c>
      <c r="N464" s="327" t="s">
        <v>2383</v>
      </c>
      <c r="O464" s="342" t="s">
        <v>2384</v>
      </c>
      <c r="Q464" s="329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327" t="s">
        <v>2383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327" t="s">
        <v>2383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327" t="s">
        <v>2383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26">
        <f>IF(ISNUMBER(SEARCH(ZAKL_DATA!$B$29,N465)),MAX($M$2:M464)+1,0)</f>
        <v>463.0</v>
      </c>
      <c r="N465" s="327" t="s">
        <v>2385</v>
      </c>
      <c r="O465" s="342" t="s">
        <v>2386</v>
      </c>
      <c r="Q465" s="329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327" t="s">
        <v>2385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327" t="s">
        <v>2385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327" t="s">
        <v>2385</v>
      </c>
      <c r="Z465" t="str">
        <f>IFERROR(VLOOKUP(ROWS($Z$3:Z465),$X$3:$Y$992,2,0),"")</f>
        <v>Výroba parfémů a toaletních přípravků</v>
      </c>
    </row>
    <row r="466" spans="13:26" ht="12.75">
      <c r="M466" s="326">
        <f>IF(ISNUMBER(SEARCH(ZAKL_DATA!$B$29,N466)),MAX($M$2:M465)+1,0)</f>
        <v>464.0</v>
      </c>
      <c r="N466" s="327" t="s">
        <v>2387</v>
      </c>
      <c r="O466" s="342" t="s">
        <v>2388</v>
      </c>
      <c r="Q466" s="329" t="str">
        <f>IFERROR(VLOOKUP(ROWS($Q$3:Q466),$M$3:$N$992,2,0),"")</f>
        <v>Výroba výbušnin</v>
      </c>
      <c r="R466">
        <f>IF(ISNUMBER(SEARCH('1Př1'!$A$32,N466)),MAX($M$2:M465)+1,0)</f>
        <v>464.0</v>
      </c>
      <c r="S466" s="327" t="s">
        <v>2387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327" t="s">
        <v>2387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327" t="s">
        <v>2387</v>
      </c>
      <c r="Z466" t="str">
        <f>IFERROR(VLOOKUP(ROWS($Z$3:Z466),$X$3:$Y$992,2,0),"")</f>
        <v>Výroba výbušnin</v>
      </c>
    </row>
    <row r="467" spans="13:26" ht="12.75">
      <c r="M467" s="326">
        <f>IF(ISNUMBER(SEARCH(ZAKL_DATA!$B$29,N467)),MAX($M$2:M466)+1,0)</f>
        <v>465.0</v>
      </c>
      <c r="N467" s="327" t="s">
        <v>2389</v>
      </c>
      <c r="O467" s="342" t="s">
        <v>2390</v>
      </c>
      <c r="Q467" s="329" t="str">
        <f>IFERROR(VLOOKUP(ROWS($Q$3:Q467),$M$3:$N$992,2,0),"")</f>
        <v>Výroba klihů</v>
      </c>
      <c r="R467">
        <f>IF(ISNUMBER(SEARCH('1Př1'!$A$32,N467)),MAX($M$2:M466)+1,0)</f>
        <v>465.0</v>
      </c>
      <c r="S467" s="327" t="s">
        <v>2389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327" t="s">
        <v>2389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327" t="s">
        <v>2389</v>
      </c>
      <c r="Z467" t="str">
        <f>IFERROR(VLOOKUP(ROWS($Z$3:Z467),$X$3:$Y$992,2,0),"")</f>
        <v>Výroba klihů</v>
      </c>
    </row>
    <row r="468" spans="13:26" ht="12.75">
      <c r="M468" s="326">
        <f>IF(ISNUMBER(SEARCH(ZAKL_DATA!$B$29,N468)),MAX($M$2:M467)+1,0)</f>
        <v>466.0</v>
      </c>
      <c r="N468" s="327" t="s">
        <v>2391</v>
      </c>
      <c r="O468" s="342" t="s">
        <v>2392</v>
      </c>
      <c r="Q468" s="329" t="str">
        <f>IFERROR(VLOOKUP(ROWS($Q$3:Q468),$M$3:$N$992,2,0),"")</f>
        <v>Výroba vonných silic</v>
      </c>
      <c r="R468">
        <f>IF(ISNUMBER(SEARCH('1Př1'!$A$32,N468)),MAX($M$2:M467)+1,0)</f>
        <v>466.0</v>
      </c>
      <c r="S468" s="327" t="s">
        <v>2391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327" t="s">
        <v>2391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327" t="s">
        <v>2391</v>
      </c>
      <c r="Z468" t="str">
        <f>IFERROR(VLOOKUP(ROWS($Z$3:Z468),$X$3:$Y$992,2,0),"")</f>
        <v>Výroba vonných silic</v>
      </c>
    </row>
    <row r="469" spans="13:26" ht="12.75">
      <c r="M469" s="326">
        <f>IF(ISNUMBER(SEARCH(ZAKL_DATA!$B$29,N469)),MAX($M$2:M468)+1,0)</f>
        <v>467.0</v>
      </c>
      <c r="N469" s="327" t="s">
        <v>2393</v>
      </c>
      <c r="O469" s="342" t="s">
        <v>2394</v>
      </c>
      <c r="Q469" s="329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327" t="s">
        <v>2393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327" t="s">
        <v>2393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327" t="s">
        <v>2393</v>
      </c>
      <c r="Z469" t="str">
        <f>IFERROR(VLOOKUP(ROWS($Z$3:Z469),$X$3:$Y$992,2,0),"")</f>
        <v>Výroba ostatních chemických výrobků j. n.</v>
      </c>
    </row>
    <row r="470" spans="13:26" ht="12.75">
      <c r="M470" s="326">
        <f>IF(ISNUMBER(SEARCH(ZAKL_DATA!$B$29,N470)),MAX($M$2:M469)+1,0)</f>
        <v>468.0</v>
      </c>
      <c r="N470" s="327" t="s">
        <v>2395</v>
      </c>
      <c r="O470" s="342" t="s">
        <v>2396</v>
      </c>
      <c r="Q470" s="329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327" t="s">
        <v>2395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327" t="s">
        <v>2395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327" t="s">
        <v>2395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26">
        <f>IF(ISNUMBER(SEARCH(ZAKL_DATA!$B$29,N471)),MAX($M$2:M470)+1,0)</f>
        <v>469.0</v>
      </c>
      <c r="N471" s="327" t="s">
        <v>2397</v>
      </c>
      <c r="O471" s="342" t="s">
        <v>2398</v>
      </c>
      <c r="Q471" s="329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327" t="s">
        <v>2397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327" t="s">
        <v>2397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327" t="s">
        <v>2397</v>
      </c>
      <c r="Z471" t="str">
        <f>IFERROR(VLOOKUP(ROWS($Z$3:Z471),$X$3:$Y$992,2,0),"")</f>
        <v>Výroba ostatních pryžových výrobků</v>
      </c>
    </row>
    <row r="472" spans="13:26" ht="12.75">
      <c r="M472" s="326">
        <f>IF(ISNUMBER(SEARCH(ZAKL_DATA!$B$29,N472)),MAX($M$2:M471)+1,0)</f>
        <v>470.0</v>
      </c>
      <c r="N472" s="327" t="s">
        <v>2399</v>
      </c>
      <c r="O472" s="342" t="s">
        <v>2400</v>
      </c>
      <c r="Q472" s="329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327" t="s">
        <v>2399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327" t="s">
        <v>2399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327" t="s">
        <v>2399</v>
      </c>
      <c r="Z472" t="str">
        <f>IFERROR(VLOOKUP(ROWS($Z$3:Z472),$X$3:$Y$992,2,0),"")</f>
        <v>Výroba plastových desek, fólií, hadic, trubek a profilů</v>
      </c>
    </row>
    <row r="473" spans="13:26" ht="12.75">
      <c r="M473" s="326">
        <f>IF(ISNUMBER(SEARCH(ZAKL_DATA!$B$29,N473)),MAX($M$2:M472)+1,0)</f>
        <v>471.0</v>
      </c>
      <c r="N473" s="327" t="s">
        <v>2401</v>
      </c>
      <c r="O473" s="342" t="s">
        <v>2402</v>
      </c>
      <c r="Q473" s="329" t="str">
        <f>IFERROR(VLOOKUP(ROWS($Q$3:Q473),$M$3:$N$992,2,0),"")</f>
        <v>Výroba plastových obalů</v>
      </c>
      <c r="R473">
        <f>IF(ISNUMBER(SEARCH('1Př1'!$A$32,N473)),MAX($M$2:M472)+1,0)</f>
        <v>471.0</v>
      </c>
      <c r="S473" s="327" t="s">
        <v>2401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327" t="s">
        <v>2401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327" t="s">
        <v>2401</v>
      </c>
      <c r="Z473" t="str">
        <f>IFERROR(VLOOKUP(ROWS($Z$3:Z473),$X$3:$Y$992,2,0),"")</f>
        <v>Výroba plastových obalů</v>
      </c>
    </row>
    <row r="474" spans="13:26" ht="12.75">
      <c r="M474" s="326">
        <f>IF(ISNUMBER(SEARCH(ZAKL_DATA!$B$29,N474)),MAX($M$2:M473)+1,0)</f>
        <v>472.0</v>
      </c>
      <c r="N474" s="327" t="s">
        <v>2403</v>
      </c>
      <c r="O474" s="342" t="s">
        <v>2404</v>
      </c>
      <c r="Q474" s="329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327" t="s">
        <v>2403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327" t="s">
        <v>2403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327" t="s">
        <v>2403</v>
      </c>
      <c r="Z474" t="str">
        <f>IFERROR(VLOOKUP(ROWS($Z$3:Z474),$X$3:$Y$992,2,0),"")</f>
        <v>Výroba plastových výrobků pro stavebnictví</v>
      </c>
    </row>
    <row r="475" spans="13:26" ht="12.75">
      <c r="M475" s="326">
        <f>IF(ISNUMBER(SEARCH(ZAKL_DATA!$B$29,N475)),MAX($M$2:M474)+1,0)</f>
        <v>473.0</v>
      </c>
      <c r="N475" s="327" t="s">
        <v>2405</v>
      </c>
      <c r="O475" s="342" t="s">
        <v>2406</v>
      </c>
      <c r="Q475" s="329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327" t="s">
        <v>2405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327" t="s">
        <v>2405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327" t="s">
        <v>2405</v>
      </c>
      <c r="Z475" t="str">
        <f>IFERROR(VLOOKUP(ROWS($Z$3:Z475),$X$3:$Y$992,2,0),"")</f>
        <v>Výroba ostatních plastových výrobků</v>
      </c>
    </row>
    <row r="476" spans="13:26" ht="12.75">
      <c r="M476" s="326">
        <f>IF(ISNUMBER(SEARCH(ZAKL_DATA!$B$29,N476)),MAX($M$2:M475)+1,0)</f>
        <v>474.0</v>
      </c>
      <c r="N476" s="327" t="s">
        <v>2407</v>
      </c>
      <c r="O476" s="342" t="s">
        <v>2408</v>
      </c>
      <c r="Q476" s="329" t="str">
        <f>IFERROR(VLOOKUP(ROWS($Q$3:Q476),$M$3:$N$992,2,0),"")</f>
        <v>Výroba plochého skla</v>
      </c>
      <c r="R476">
        <f>IF(ISNUMBER(SEARCH('1Př1'!$A$32,N476)),MAX($M$2:M475)+1,0)</f>
        <v>474.0</v>
      </c>
      <c r="S476" s="327" t="s">
        <v>2407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327" t="s">
        <v>2407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327" t="s">
        <v>2407</v>
      </c>
      <c r="Z476" t="str">
        <f>IFERROR(VLOOKUP(ROWS($Z$3:Z476),$X$3:$Y$992,2,0),"")</f>
        <v>Výroba plochého skla</v>
      </c>
    </row>
    <row r="477" spans="13:26" ht="12.75">
      <c r="M477" s="326">
        <f>IF(ISNUMBER(SEARCH(ZAKL_DATA!$B$29,N477)),MAX($M$2:M476)+1,0)</f>
        <v>475.0</v>
      </c>
      <c r="N477" s="327" t="s">
        <v>2409</v>
      </c>
      <c r="O477" s="342" t="s">
        <v>2410</v>
      </c>
      <c r="Q477" s="329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327" t="s">
        <v>2409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327" t="s">
        <v>2409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327" t="s">
        <v>2409</v>
      </c>
      <c r="Z477" t="str">
        <f>IFERROR(VLOOKUP(ROWS($Z$3:Z477),$X$3:$Y$992,2,0),"")</f>
        <v>Tvarování a zpracování plochého skla</v>
      </c>
    </row>
    <row r="478" spans="13:26" ht="12.75">
      <c r="M478" s="326">
        <f>IF(ISNUMBER(SEARCH(ZAKL_DATA!$B$29,N478)),MAX($M$2:M477)+1,0)</f>
        <v>476.0</v>
      </c>
      <c r="N478" s="327" t="s">
        <v>2411</v>
      </c>
      <c r="O478" s="342" t="s">
        <v>2412</v>
      </c>
      <c r="Q478" s="329" t="str">
        <f>IFERROR(VLOOKUP(ROWS($Q$3:Q478),$M$3:$N$992,2,0),"")</f>
        <v>Výroba dutého skla</v>
      </c>
      <c r="R478">
        <f>IF(ISNUMBER(SEARCH('1Př1'!$A$32,N478)),MAX($M$2:M477)+1,0)</f>
        <v>476.0</v>
      </c>
      <c r="S478" s="327" t="s">
        <v>2411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327" t="s">
        <v>2411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327" t="s">
        <v>2411</v>
      </c>
      <c r="Z478" t="str">
        <f>IFERROR(VLOOKUP(ROWS($Z$3:Z478),$X$3:$Y$992,2,0),"")</f>
        <v>Výroba dutého skla</v>
      </c>
    </row>
    <row r="479" spans="13:26" ht="12.75">
      <c r="M479" s="326">
        <f>IF(ISNUMBER(SEARCH(ZAKL_DATA!$B$29,N479)),MAX($M$2:M478)+1,0)</f>
        <v>477.0</v>
      </c>
      <c r="N479" s="327" t="s">
        <v>2413</v>
      </c>
      <c r="O479" s="342" t="s">
        <v>2414</v>
      </c>
      <c r="Q479" s="329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327" t="s">
        <v>2413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327" t="s">
        <v>2413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327" t="s">
        <v>2413</v>
      </c>
      <c r="Z479" t="str">
        <f>IFERROR(VLOOKUP(ROWS($Z$3:Z479),$X$3:$Y$992,2,0),"")</f>
        <v>Výroba skleněných vláken</v>
      </c>
    </row>
    <row r="480" spans="13:26" ht="12.75">
      <c r="M480" s="326">
        <f>IF(ISNUMBER(SEARCH(ZAKL_DATA!$B$29,N480)),MAX($M$2:M479)+1,0)</f>
        <v>478.0</v>
      </c>
      <c r="N480" s="327" t="s">
        <v>2415</v>
      </c>
      <c r="O480" s="342" t="s">
        <v>2416</v>
      </c>
      <c r="Q480" s="329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327" t="s">
        <v>2415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327" t="s">
        <v>2415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327" t="s">
        <v>2415</v>
      </c>
      <c r="Z480" t="str">
        <f>IFERROR(VLOOKUP(ROWS($Z$3:Z480),$X$3:$Y$992,2,0),"")</f>
        <v>Výroba a zpracování ostatního skla vč. technického</v>
      </c>
    </row>
    <row r="481" spans="13:26" ht="12.75">
      <c r="M481" s="326">
        <f>IF(ISNUMBER(SEARCH(ZAKL_DATA!$B$29,N481)),MAX($M$2:M480)+1,0)</f>
        <v>479.0</v>
      </c>
      <c r="N481" s="327" t="s">
        <v>2417</v>
      </c>
      <c r="O481" s="342" t="s">
        <v>2418</v>
      </c>
      <c r="Q481" s="329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327" t="s">
        <v>2417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327" t="s">
        <v>2417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327" t="s">
        <v>2417</v>
      </c>
      <c r="Z481" t="str">
        <f>IFERROR(VLOOKUP(ROWS($Z$3:Z481),$X$3:$Y$992,2,0),"")</f>
        <v>Výroba keramických obkládaček a dlaždic</v>
      </c>
    </row>
    <row r="482" spans="13:26" ht="12.75">
      <c r="M482" s="326">
        <f>IF(ISNUMBER(SEARCH(ZAKL_DATA!$B$29,N482)),MAX($M$2:M481)+1,0)</f>
        <v>480.0</v>
      </c>
      <c r="N482" s="327" t="s">
        <v>2419</v>
      </c>
      <c r="O482" s="342" t="s">
        <v>2420</v>
      </c>
      <c r="Q482" s="329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327" t="s">
        <v>2419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327" t="s">
        <v>2419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327" t="s">
        <v>2419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26">
        <f>IF(ISNUMBER(SEARCH(ZAKL_DATA!$B$29,N483)),MAX($M$2:M482)+1,0)</f>
        <v>481.0</v>
      </c>
      <c r="N483" s="327" t="s">
        <v>2421</v>
      </c>
      <c r="O483" s="342" t="s">
        <v>2422</v>
      </c>
      <c r="Q483" s="329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327" t="s">
        <v>2421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327" t="s">
        <v>2421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327" t="s">
        <v>2421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26">
        <f>IF(ISNUMBER(SEARCH(ZAKL_DATA!$B$29,N484)),MAX($M$2:M483)+1,0)</f>
        <v>482.0</v>
      </c>
      <c r="N484" s="327" t="s">
        <v>2423</v>
      </c>
      <c r="O484" s="342" t="s">
        <v>2424</v>
      </c>
      <c r="Q484" s="329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327" t="s">
        <v>2423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327" t="s">
        <v>2423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327" t="s">
        <v>2423</v>
      </c>
      <c r="Z484" t="str">
        <f>IFERROR(VLOOKUP(ROWS($Z$3:Z484),$X$3:$Y$992,2,0),"")</f>
        <v>Výroba keramických sanitárních výrobků</v>
      </c>
    </row>
    <row r="485" spans="13:26" ht="12.75">
      <c r="M485" s="326">
        <f>IF(ISNUMBER(SEARCH(ZAKL_DATA!$B$29,N485)),MAX($M$2:M484)+1,0)</f>
        <v>483.0</v>
      </c>
      <c r="N485" s="327" t="s">
        <v>2425</v>
      </c>
      <c r="O485" s="342" t="s">
        <v>2426</v>
      </c>
      <c r="Q485" s="329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327" t="s">
        <v>2425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327" t="s">
        <v>2425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327" t="s">
        <v>2425</v>
      </c>
      <c r="Z485" t="str">
        <f>IFERROR(VLOOKUP(ROWS($Z$3:Z485),$X$3:$Y$992,2,0),"")</f>
        <v>Výroba keramických izolátorů a izolačního příslušenství</v>
      </c>
    </row>
    <row r="486" spans="13:26" ht="12.75">
      <c r="M486" s="326">
        <f>IF(ISNUMBER(SEARCH(ZAKL_DATA!$B$29,N486)),MAX($M$2:M485)+1,0)</f>
        <v>484.0</v>
      </c>
      <c r="N486" s="327" t="s">
        <v>2427</v>
      </c>
      <c r="O486" s="342" t="s">
        <v>2428</v>
      </c>
      <c r="Q486" s="329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327" t="s">
        <v>2427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327" t="s">
        <v>2427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327" t="s">
        <v>2427</v>
      </c>
      <c r="Z486" t="str">
        <f>IFERROR(VLOOKUP(ROWS($Z$3:Z486),$X$3:$Y$992,2,0),"")</f>
        <v>Výroba ostatních technických keramických výrobků</v>
      </c>
    </row>
    <row r="487" spans="13:26" ht="12.75">
      <c r="M487" s="326">
        <f>IF(ISNUMBER(SEARCH(ZAKL_DATA!$B$29,N487)),MAX($M$2:M486)+1,0)</f>
        <v>485.0</v>
      </c>
      <c r="N487" s="327" t="s">
        <v>2429</v>
      </c>
      <c r="O487" s="342" t="s">
        <v>2430</v>
      </c>
      <c r="Q487" s="329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327" t="s">
        <v>2429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327" t="s">
        <v>2429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327" t="s">
        <v>2429</v>
      </c>
      <c r="Z487" t="str">
        <f>IFERROR(VLOOKUP(ROWS($Z$3:Z487),$X$3:$Y$992,2,0),"")</f>
        <v>Výroba ostatních keramických výrobků</v>
      </c>
    </row>
    <row r="488" spans="13:26" ht="12.75">
      <c r="M488" s="326">
        <f>IF(ISNUMBER(SEARCH(ZAKL_DATA!$B$29,N488)),MAX($M$2:M487)+1,0)</f>
        <v>486.0</v>
      </c>
      <c r="N488" s="327" t="s">
        <v>2431</v>
      </c>
      <c r="O488" s="342" t="s">
        <v>2432</v>
      </c>
      <c r="Q488" s="329" t="str">
        <f>IFERROR(VLOOKUP(ROWS($Q$3:Q488),$M$3:$N$992,2,0),"")</f>
        <v>Výroba cementu</v>
      </c>
      <c r="R488">
        <f>IF(ISNUMBER(SEARCH('1Př1'!$A$32,N488)),MAX($M$2:M487)+1,0)</f>
        <v>486.0</v>
      </c>
      <c r="S488" s="327" t="s">
        <v>2431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327" t="s">
        <v>2431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327" t="s">
        <v>2431</v>
      </c>
      <c r="Z488" t="str">
        <f>IFERROR(VLOOKUP(ROWS($Z$3:Z488),$X$3:$Y$992,2,0),"")</f>
        <v>Výroba cementu</v>
      </c>
    </row>
    <row r="489" spans="13:26" ht="12.75">
      <c r="M489" s="326">
        <f>IF(ISNUMBER(SEARCH(ZAKL_DATA!$B$29,N489)),MAX($M$2:M488)+1,0)</f>
        <v>487.0</v>
      </c>
      <c r="N489" s="327" t="s">
        <v>2433</v>
      </c>
      <c r="O489" s="342" t="s">
        <v>2434</v>
      </c>
      <c r="Q489" s="329" t="str">
        <f>IFERROR(VLOOKUP(ROWS($Q$3:Q489),$M$3:$N$992,2,0),"")</f>
        <v>Výroba vápna a sádry</v>
      </c>
      <c r="R489">
        <f>IF(ISNUMBER(SEARCH('1Př1'!$A$32,N489)),MAX($M$2:M488)+1,0)</f>
        <v>487.0</v>
      </c>
      <c r="S489" s="327" t="s">
        <v>2433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327" t="s">
        <v>2433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327" t="s">
        <v>2433</v>
      </c>
      <c r="Z489" t="str">
        <f>IFERROR(VLOOKUP(ROWS($Z$3:Z489),$X$3:$Y$992,2,0),"")</f>
        <v>Výroba vápna a sádry</v>
      </c>
    </row>
    <row r="490" spans="13:26" ht="12.75">
      <c r="M490" s="326">
        <f>IF(ISNUMBER(SEARCH(ZAKL_DATA!$B$29,N490)),MAX($M$2:M489)+1,0)</f>
        <v>488.0</v>
      </c>
      <c r="N490" s="327" t="s">
        <v>2435</v>
      </c>
      <c r="O490" s="342" t="s">
        <v>2436</v>
      </c>
      <c r="Q490" s="329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327" t="s">
        <v>2435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327" t="s">
        <v>2435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327" t="s">
        <v>2435</v>
      </c>
      <c r="Z490" t="str">
        <f>IFERROR(VLOOKUP(ROWS($Z$3:Z490),$X$3:$Y$992,2,0),"")</f>
        <v>Výroba betonových výrobků pro stavební účely</v>
      </c>
    </row>
    <row r="491" spans="13:26" ht="12.75">
      <c r="M491" s="326">
        <f>IF(ISNUMBER(SEARCH(ZAKL_DATA!$B$29,N491)),MAX($M$2:M490)+1,0)</f>
        <v>489.0</v>
      </c>
      <c r="N491" s="327" t="s">
        <v>2437</v>
      </c>
      <c r="O491" s="342" t="s">
        <v>2438</v>
      </c>
      <c r="Q491" s="329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327" t="s">
        <v>2437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327" t="s">
        <v>2437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327" t="s">
        <v>2437</v>
      </c>
      <c r="Z491" t="str">
        <f>IFERROR(VLOOKUP(ROWS($Z$3:Z491),$X$3:$Y$992,2,0),"")</f>
        <v>Výroba sádrových výrobků pro stavební účely</v>
      </c>
    </row>
    <row r="492" spans="13:26" ht="12.75">
      <c r="M492" s="326">
        <f>IF(ISNUMBER(SEARCH(ZAKL_DATA!$B$29,N492)),MAX($M$2:M491)+1,0)</f>
        <v>490.0</v>
      </c>
      <c r="N492" s="327" t="s">
        <v>2439</v>
      </c>
      <c r="O492" s="342" t="s">
        <v>2440</v>
      </c>
      <c r="Q492" s="329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327" t="s">
        <v>2439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327" t="s">
        <v>2439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327" t="s">
        <v>2439</v>
      </c>
      <c r="Z492" t="str">
        <f>IFERROR(VLOOKUP(ROWS($Z$3:Z492),$X$3:$Y$992,2,0),"")</f>
        <v>Výroba betonu připraveného k lití</v>
      </c>
    </row>
    <row r="493" spans="13:26" ht="12.75">
      <c r="M493" s="326">
        <f>IF(ISNUMBER(SEARCH(ZAKL_DATA!$B$29,N493)),MAX($M$2:M492)+1,0)</f>
        <v>491.0</v>
      </c>
      <c r="N493" s="327" t="s">
        <v>2441</v>
      </c>
      <c r="O493" s="342" t="s">
        <v>2442</v>
      </c>
      <c r="Q493" s="329" t="str">
        <f>IFERROR(VLOOKUP(ROWS($Q$3:Q493),$M$3:$N$992,2,0),"")</f>
        <v>Výroba malt</v>
      </c>
      <c r="R493">
        <f>IF(ISNUMBER(SEARCH('1Př1'!$A$32,N493)),MAX($M$2:M492)+1,0)</f>
        <v>491.0</v>
      </c>
      <c r="S493" s="327" t="s">
        <v>2441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327" t="s">
        <v>2441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327" t="s">
        <v>2441</v>
      </c>
      <c r="Z493" t="str">
        <f>IFERROR(VLOOKUP(ROWS($Z$3:Z493),$X$3:$Y$992,2,0),"")</f>
        <v>Výroba malt</v>
      </c>
    </row>
    <row r="494" spans="13:26" ht="12.75">
      <c r="M494" s="326">
        <f>IF(ISNUMBER(SEARCH(ZAKL_DATA!$B$29,N494)),MAX($M$2:M493)+1,0)</f>
        <v>492.0</v>
      </c>
      <c r="N494" s="327" t="s">
        <v>2443</v>
      </c>
      <c r="O494" s="342" t="s">
        <v>2444</v>
      </c>
      <c r="Q494" s="329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327" t="s">
        <v>2443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327" t="s">
        <v>2443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327" t="s">
        <v>2443</v>
      </c>
      <c r="Z494" t="str">
        <f>IFERROR(VLOOKUP(ROWS($Z$3:Z494),$X$3:$Y$992,2,0),"")</f>
        <v>Výroba vláknitých cementů</v>
      </c>
    </row>
    <row r="495" spans="13:26" ht="12.75">
      <c r="M495" s="326">
        <f>IF(ISNUMBER(SEARCH(ZAKL_DATA!$B$29,N495)),MAX($M$2:M494)+1,0)</f>
        <v>493.0</v>
      </c>
      <c r="N495" s="327" t="s">
        <v>2445</v>
      </c>
      <c r="O495" s="342" t="s">
        <v>2446</v>
      </c>
      <c r="Q495" s="329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327" t="s">
        <v>2445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327" t="s">
        <v>2445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327" t="s">
        <v>2445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26">
        <f>IF(ISNUMBER(SEARCH(ZAKL_DATA!$B$29,N496)),MAX($M$2:M495)+1,0)</f>
        <v>494.0</v>
      </c>
      <c r="N496" s="327" t="s">
        <v>2447</v>
      </c>
      <c r="O496" s="342" t="s">
        <v>2448</v>
      </c>
      <c r="Q496" s="329" t="str">
        <f>IFERROR(VLOOKUP(ROWS($Q$3:Q496),$M$3:$N$992,2,0),"")</f>
        <v>Výroba brusiv</v>
      </c>
      <c r="R496">
        <f>IF(ISNUMBER(SEARCH('1Př1'!$A$32,N496)),MAX($M$2:M495)+1,0)</f>
        <v>494.0</v>
      </c>
      <c r="S496" s="327" t="s">
        <v>2447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327" t="s">
        <v>2447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327" t="s">
        <v>2447</v>
      </c>
      <c r="Z496" t="str">
        <f>IFERROR(VLOOKUP(ROWS($Z$3:Z496),$X$3:$Y$992,2,0),"")</f>
        <v>Výroba brusiv</v>
      </c>
    </row>
    <row r="497" spans="13:26" ht="12.75">
      <c r="M497" s="326">
        <f>IF(ISNUMBER(SEARCH(ZAKL_DATA!$B$29,N497)),MAX($M$2:M496)+1,0)</f>
        <v>495.0</v>
      </c>
      <c r="N497" s="327" t="s">
        <v>2449</v>
      </c>
      <c r="O497" s="342" t="s">
        <v>2450</v>
      </c>
      <c r="Q497" s="329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327" t="s">
        <v>2449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327" t="s">
        <v>2449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327" t="s">
        <v>2449</v>
      </c>
      <c r="Z497" t="str">
        <f>IFERROR(VLOOKUP(ROWS($Z$3:Z497),$X$3:$Y$992,2,0),"")</f>
        <v>Výroba ostatních nekovových minerálních výrobků j.n.</v>
      </c>
    </row>
    <row r="498" spans="13:26" ht="12.75">
      <c r="M498" s="326">
        <f>IF(ISNUMBER(SEARCH(ZAKL_DATA!$B$29,N498)),MAX($M$2:M497)+1,0)</f>
        <v>496.0</v>
      </c>
      <c r="N498" s="327" t="s">
        <v>2451</v>
      </c>
      <c r="O498" s="342" t="s">
        <v>2452</v>
      </c>
      <c r="Q498" s="329" t="str">
        <f>IFERROR(VLOOKUP(ROWS($Q$3:Q498),$M$3:$N$992,2,0),"")</f>
        <v>Tažení tyčí za studena</v>
      </c>
      <c r="R498">
        <f>IF(ISNUMBER(SEARCH('1Př1'!$A$32,N498)),MAX($M$2:M497)+1,0)</f>
        <v>496.0</v>
      </c>
      <c r="S498" s="327" t="s">
        <v>2451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327" t="s">
        <v>2451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327" t="s">
        <v>2451</v>
      </c>
      <c r="Z498" t="str">
        <f>IFERROR(VLOOKUP(ROWS($Z$3:Z498),$X$3:$Y$992,2,0),"")</f>
        <v>Tažení tyčí za studena</v>
      </c>
    </row>
    <row r="499" spans="13:26" ht="12.75">
      <c r="M499" s="326">
        <f>IF(ISNUMBER(SEARCH(ZAKL_DATA!$B$29,N499)),MAX($M$2:M498)+1,0)</f>
        <v>497.0</v>
      </c>
      <c r="N499" s="327" t="s">
        <v>2453</v>
      </c>
      <c r="O499" s="342" t="s">
        <v>2454</v>
      </c>
      <c r="Q499" s="329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327" t="s">
        <v>2453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327" t="s">
        <v>2453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327" t="s">
        <v>2453</v>
      </c>
      <c r="Z499" t="str">
        <f>IFERROR(VLOOKUP(ROWS($Z$3:Z499),$X$3:$Y$992,2,0),"")</f>
        <v>Válcování ocelových úzkých pásů za studena</v>
      </c>
    </row>
    <row r="500" spans="13:26" ht="12.75">
      <c r="M500" s="326">
        <f>IF(ISNUMBER(SEARCH(ZAKL_DATA!$B$29,N500)),MAX($M$2:M499)+1,0)</f>
        <v>498.0</v>
      </c>
      <c r="N500" s="327" t="s">
        <v>2455</v>
      </c>
      <c r="O500" s="342" t="s">
        <v>2456</v>
      </c>
      <c r="Q500" s="329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327" t="s">
        <v>2455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327" t="s">
        <v>2455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327" t="s">
        <v>2455</v>
      </c>
      <c r="Z500" t="str">
        <f>IFERROR(VLOOKUP(ROWS($Z$3:Z500),$X$3:$Y$992,2,0),"")</f>
        <v>Tváření ocelových profilů za studena</v>
      </c>
    </row>
    <row r="501" spans="13:26" ht="12.75">
      <c r="M501" s="326">
        <f>IF(ISNUMBER(SEARCH(ZAKL_DATA!$B$29,N501)),MAX($M$2:M500)+1,0)</f>
        <v>499.0</v>
      </c>
      <c r="N501" s="327" t="s">
        <v>2457</v>
      </c>
      <c r="O501" s="342" t="s">
        <v>2458</v>
      </c>
      <c r="Q501" s="329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327" t="s">
        <v>2457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327" t="s">
        <v>2457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327" t="s">
        <v>2457</v>
      </c>
      <c r="Z501" t="str">
        <f>IFERROR(VLOOKUP(ROWS($Z$3:Z501),$X$3:$Y$992,2,0),"")</f>
        <v>Tažení ocelového drátu za studena</v>
      </c>
    </row>
    <row r="502" spans="13:26" ht="12.75">
      <c r="M502" s="326">
        <f>IF(ISNUMBER(SEARCH(ZAKL_DATA!$B$29,N502)),MAX($M$2:M501)+1,0)</f>
        <v>500.0</v>
      </c>
      <c r="N502" s="327" t="s">
        <v>2459</v>
      </c>
      <c r="O502" s="342" t="s">
        <v>2460</v>
      </c>
      <c r="Q502" s="329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327" t="s">
        <v>2459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327" t="s">
        <v>2459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327" t="s">
        <v>2459</v>
      </c>
      <c r="Z502" t="str">
        <f>IFERROR(VLOOKUP(ROWS($Z$3:Z502),$X$3:$Y$992,2,0),"")</f>
        <v>Výroba a hutní zpracování drahých kovů</v>
      </c>
    </row>
    <row r="503" spans="13:26" ht="12.75">
      <c r="M503" s="326">
        <f>IF(ISNUMBER(SEARCH(ZAKL_DATA!$B$29,N503)),MAX($M$2:M502)+1,0)</f>
        <v>501.0</v>
      </c>
      <c r="N503" s="327" t="s">
        <v>2461</v>
      </c>
      <c r="O503" s="342" t="s">
        <v>2462</v>
      </c>
      <c r="Q503" s="329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327" t="s">
        <v>2461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327" t="s">
        <v>2461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327" t="s">
        <v>2461</v>
      </c>
      <c r="Z503" t="str">
        <f>IFERROR(VLOOKUP(ROWS($Z$3:Z503),$X$3:$Y$992,2,0),"")</f>
        <v>Výroba a hutní zpracování hliníku</v>
      </c>
    </row>
    <row r="504" spans="13:26" ht="12.75">
      <c r="M504" s="326">
        <f>IF(ISNUMBER(SEARCH(ZAKL_DATA!$B$29,N504)),MAX($M$2:M503)+1,0)</f>
        <v>502.0</v>
      </c>
      <c r="N504" s="327" t="s">
        <v>2463</v>
      </c>
      <c r="O504" s="342" t="s">
        <v>2464</v>
      </c>
      <c r="Q504" s="329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327" t="s">
        <v>2463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327" t="s">
        <v>2463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327" t="s">
        <v>2463</v>
      </c>
      <c r="Z504" t="str">
        <f>IFERROR(VLOOKUP(ROWS($Z$3:Z504),$X$3:$Y$992,2,0),"")</f>
        <v>Výroba a hutní zpracování olova, zinku a cínu</v>
      </c>
    </row>
    <row r="505" spans="13:26" ht="12.75">
      <c r="M505" s="326">
        <f>IF(ISNUMBER(SEARCH(ZAKL_DATA!$B$29,N505)),MAX($M$2:M504)+1,0)</f>
        <v>503.0</v>
      </c>
      <c r="N505" s="327" t="s">
        <v>2465</v>
      </c>
      <c r="O505" s="342" t="s">
        <v>2466</v>
      </c>
      <c r="Q505" s="329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327" t="s">
        <v>2465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327" t="s">
        <v>2465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327" t="s">
        <v>2465</v>
      </c>
      <c r="Z505" t="str">
        <f>IFERROR(VLOOKUP(ROWS($Z$3:Z505),$X$3:$Y$992,2,0),"")</f>
        <v>Výroba a hutní zpracování mědi</v>
      </c>
    </row>
    <row r="506" spans="13:26" ht="12.75">
      <c r="M506" s="326">
        <f>IF(ISNUMBER(SEARCH(ZAKL_DATA!$B$29,N506)),MAX($M$2:M505)+1,0)</f>
        <v>504.0</v>
      </c>
      <c r="N506" s="327" t="s">
        <v>2467</v>
      </c>
      <c r="O506" s="342" t="s">
        <v>2468</v>
      </c>
      <c r="Q506" s="329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327" t="s">
        <v>2467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327" t="s">
        <v>2467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327" t="s">
        <v>2467</v>
      </c>
      <c r="Z506" t="str">
        <f>IFERROR(VLOOKUP(ROWS($Z$3:Z506),$X$3:$Y$992,2,0),"")</f>
        <v>Výroba a hutní zpracování ostatních neželezných kovů</v>
      </c>
    </row>
    <row r="507" spans="13:26" ht="12.75">
      <c r="M507" s="326">
        <f>IF(ISNUMBER(SEARCH(ZAKL_DATA!$B$29,N507)),MAX($M$2:M506)+1,0)</f>
        <v>505.0</v>
      </c>
      <c r="N507" s="327" t="s">
        <v>2469</v>
      </c>
      <c r="O507" s="342" t="s">
        <v>2470</v>
      </c>
      <c r="Q507" s="329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327" t="s">
        <v>2469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327" t="s">
        <v>2469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327" t="s">
        <v>2469</v>
      </c>
      <c r="Z507" t="str">
        <f>IFERROR(VLOOKUP(ROWS($Z$3:Z507),$X$3:$Y$992,2,0),"")</f>
        <v>Zpracování jaderného paliva</v>
      </c>
    </row>
    <row r="508" spans="13:26" ht="12.75">
      <c r="M508" s="326">
        <f>IF(ISNUMBER(SEARCH(ZAKL_DATA!$B$29,N508)),MAX($M$2:M507)+1,0)</f>
        <v>506.0</v>
      </c>
      <c r="N508" s="327" t="s">
        <v>2471</v>
      </c>
      <c r="O508" s="342" t="s">
        <v>2472</v>
      </c>
      <c r="Q508" s="329" t="str">
        <f>IFERROR(VLOOKUP(ROWS($Q$3:Q508),$M$3:$N$992,2,0),"")</f>
        <v>Výroba odlitků z litiny</v>
      </c>
      <c r="R508">
        <f>IF(ISNUMBER(SEARCH('1Př1'!$A$32,N508)),MAX($M$2:M507)+1,0)</f>
        <v>506.0</v>
      </c>
      <c r="S508" s="327" t="s">
        <v>2471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327" t="s">
        <v>2471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327" t="s">
        <v>2471</v>
      </c>
      <c r="Z508" t="str">
        <f>IFERROR(VLOOKUP(ROWS($Z$3:Z508),$X$3:$Y$992,2,0),"")</f>
        <v>Výroba odlitků z litiny</v>
      </c>
    </row>
    <row r="509" spans="13:26" ht="12.75">
      <c r="M509" s="326">
        <f>IF(ISNUMBER(SEARCH(ZAKL_DATA!$B$29,N509)),MAX($M$2:M508)+1,0)</f>
        <v>507.0</v>
      </c>
      <c r="N509" s="327" t="s">
        <v>2473</v>
      </c>
      <c r="O509" s="342" t="s">
        <v>2474</v>
      </c>
      <c r="Q509" s="329" t="str">
        <f>IFERROR(VLOOKUP(ROWS($Q$3:Q509),$M$3:$N$992,2,0),"")</f>
        <v>Výroba odlitků z oceli</v>
      </c>
      <c r="R509">
        <f>IF(ISNUMBER(SEARCH('1Př1'!$A$32,N509)),MAX($M$2:M508)+1,0)</f>
        <v>507.0</v>
      </c>
      <c r="S509" s="327" t="s">
        <v>2473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327" t="s">
        <v>2473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327" t="s">
        <v>2473</v>
      </c>
      <c r="Z509" t="str">
        <f>IFERROR(VLOOKUP(ROWS($Z$3:Z509),$X$3:$Y$992,2,0),"")</f>
        <v>Výroba odlitků z oceli</v>
      </c>
    </row>
    <row r="510" spans="13:26" ht="12.75">
      <c r="M510" s="326">
        <f>IF(ISNUMBER(SEARCH(ZAKL_DATA!$B$29,N510)),MAX($M$2:M509)+1,0)</f>
        <v>508.0</v>
      </c>
      <c r="N510" s="327" t="s">
        <v>2475</v>
      </c>
      <c r="O510" s="342" t="s">
        <v>2476</v>
      </c>
      <c r="Q510" s="329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327" t="s">
        <v>2475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327" t="s">
        <v>2475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327" t="s">
        <v>2475</v>
      </c>
      <c r="Z510" t="str">
        <f>IFERROR(VLOOKUP(ROWS($Z$3:Z510),$X$3:$Y$992,2,0),"")</f>
        <v>Výroba odlitků z lehkých neželezných kovů</v>
      </c>
    </row>
    <row r="511" spans="13:26" ht="12.75">
      <c r="M511" s="326">
        <f>IF(ISNUMBER(SEARCH(ZAKL_DATA!$B$29,N511)),MAX($M$2:M510)+1,0)</f>
        <v>509.0</v>
      </c>
      <c r="N511" s="327" t="s">
        <v>2477</v>
      </c>
      <c r="O511" s="342" t="s">
        <v>2478</v>
      </c>
      <c r="Q511" s="329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327" t="s">
        <v>2477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327" t="s">
        <v>2477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327" t="s">
        <v>2477</v>
      </c>
      <c r="Z511" t="str">
        <f>IFERROR(VLOOKUP(ROWS($Z$3:Z511),$X$3:$Y$992,2,0),"")</f>
        <v>Výroba odlitků z ostatních neželezných kovů</v>
      </c>
    </row>
    <row r="512" spans="13:26" ht="12.75">
      <c r="M512" s="326">
        <f>IF(ISNUMBER(SEARCH(ZAKL_DATA!$B$29,N512)),MAX($M$2:M511)+1,0)</f>
        <v>510.0</v>
      </c>
      <c r="N512" s="327" t="s">
        <v>2479</v>
      </c>
      <c r="O512" s="342" t="s">
        <v>2480</v>
      </c>
      <c r="Q512" s="329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327" t="s">
        <v>2479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327" t="s">
        <v>2479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327" t="s">
        <v>2479</v>
      </c>
      <c r="Z512" t="str">
        <f>IFERROR(VLOOKUP(ROWS($Z$3:Z512),$X$3:$Y$992,2,0),"")</f>
        <v>Výroba kovových konstrukcí a jejich dílů</v>
      </c>
    </row>
    <row r="513" spans="13:26" ht="12.75">
      <c r="M513" s="326">
        <f>IF(ISNUMBER(SEARCH(ZAKL_DATA!$B$29,N513)),MAX($M$2:M512)+1,0)</f>
        <v>511.0</v>
      </c>
      <c r="N513" s="327" t="s">
        <v>2481</v>
      </c>
      <c r="O513" s="342" t="s">
        <v>2482</v>
      </c>
      <c r="Q513" s="329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327" t="s">
        <v>2481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327" t="s">
        <v>2481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327" t="s">
        <v>2481</v>
      </c>
      <c r="Z513" t="str">
        <f>IFERROR(VLOOKUP(ROWS($Z$3:Z513),$X$3:$Y$992,2,0),"")</f>
        <v>Výroba kovových dveří a oken</v>
      </c>
    </row>
    <row r="514" spans="13:26" ht="12.75">
      <c r="M514" s="326">
        <f>IF(ISNUMBER(SEARCH(ZAKL_DATA!$B$29,N514)),MAX($M$2:M513)+1,0)</f>
        <v>512.0</v>
      </c>
      <c r="N514" s="327" t="s">
        <v>2483</v>
      </c>
      <c r="O514" s="342" t="s">
        <v>2484</v>
      </c>
      <c r="Q514" s="329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327" t="s">
        <v>2483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327" t="s">
        <v>2483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327" t="s">
        <v>2483</v>
      </c>
      <c r="Z514" t="str">
        <f>IFERROR(VLOOKUP(ROWS($Z$3:Z514),$X$3:$Y$992,2,0),"")</f>
        <v>Výroba radiátorů a kotlů k ústřednímu topení</v>
      </c>
    </row>
    <row r="515" spans="13:26" ht="12.75">
      <c r="M515" s="326">
        <f>IF(ISNUMBER(SEARCH(ZAKL_DATA!$B$29,N515)),MAX($M$2:M514)+1,0)</f>
        <v>513.0</v>
      </c>
      <c r="N515" s="327" t="s">
        <v>2485</v>
      </c>
      <c r="O515" s="342" t="s">
        <v>2486</v>
      </c>
      <c r="Q515" s="329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327" t="s">
        <v>2485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327" t="s">
        <v>2485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327" t="s">
        <v>2485</v>
      </c>
      <c r="Z515" t="str">
        <f>IFERROR(VLOOKUP(ROWS($Z$3:Z515),$X$3:$Y$992,2,0),"")</f>
        <v>Výroba kovových nádrží a zásobníků</v>
      </c>
    </row>
    <row r="516" spans="13:26" ht="12.75">
      <c r="M516" s="326">
        <f>IF(ISNUMBER(SEARCH(ZAKL_DATA!$B$29,N516)),MAX($M$2:M515)+1,0)</f>
        <v>514.0</v>
      </c>
      <c r="N516" s="327" t="s">
        <v>2487</v>
      </c>
      <c r="O516" s="342" t="s">
        <v>2488</v>
      </c>
      <c r="Q516" s="329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327" t="s">
        <v>2487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327" t="s">
        <v>2487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327" t="s">
        <v>2487</v>
      </c>
      <c r="Z516" t="str">
        <f>IFERROR(VLOOKUP(ROWS($Z$3:Z516),$X$3:$Y$992,2,0),"")</f>
        <v>Povrchová úprava a zušlechťování kovů</v>
      </c>
    </row>
    <row r="517" spans="13:26" ht="12.75">
      <c r="M517" s="326">
        <f>IF(ISNUMBER(SEARCH(ZAKL_DATA!$B$29,N517)),MAX($M$2:M516)+1,0)</f>
        <v>515.0</v>
      </c>
      <c r="N517" s="327" t="s">
        <v>2489</v>
      </c>
      <c r="O517" s="342" t="s">
        <v>2490</v>
      </c>
      <c r="Q517" s="329" t="str">
        <f>IFERROR(VLOOKUP(ROWS($Q$3:Q517),$M$3:$N$992,2,0),"")</f>
        <v>Obrábění</v>
      </c>
      <c r="R517">
        <f>IF(ISNUMBER(SEARCH('1Př1'!$A$32,N517)),MAX($M$2:M516)+1,0)</f>
        <v>515.0</v>
      </c>
      <c r="S517" s="327" t="s">
        <v>2489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327" t="s">
        <v>2489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327" t="s">
        <v>2489</v>
      </c>
      <c r="Z517" t="str">
        <f>IFERROR(VLOOKUP(ROWS($Z$3:Z517),$X$3:$Y$992,2,0),"")</f>
        <v>Obrábění</v>
      </c>
    </row>
    <row r="518" spans="13:26" ht="12.75">
      <c r="M518" s="326">
        <f>IF(ISNUMBER(SEARCH(ZAKL_DATA!$B$29,N518)),MAX($M$2:M517)+1,0)</f>
        <v>516.0</v>
      </c>
      <c r="N518" s="327" t="s">
        <v>2491</v>
      </c>
      <c r="O518" s="342" t="s">
        <v>2492</v>
      </c>
      <c r="Q518" s="329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327" t="s">
        <v>2491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327" t="s">
        <v>2491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327" t="s">
        <v>2491</v>
      </c>
      <c r="Z518" t="str">
        <f>IFERROR(VLOOKUP(ROWS($Z$3:Z518),$X$3:$Y$992,2,0),"")</f>
        <v>Výroba nožířských výrobků</v>
      </c>
    </row>
    <row r="519" spans="13:26" ht="12.75">
      <c r="M519" s="326">
        <f>IF(ISNUMBER(SEARCH(ZAKL_DATA!$B$29,N519)),MAX($M$2:M518)+1,0)</f>
        <v>517.0</v>
      </c>
      <c r="N519" s="327" t="s">
        <v>2493</v>
      </c>
      <c r="O519" s="342" t="s">
        <v>2494</v>
      </c>
      <c r="Q519" s="329" t="str">
        <f>IFERROR(VLOOKUP(ROWS($Q$3:Q519),$M$3:$N$992,2,0),"")</f>
        <v>Výroba zámků a kování</v>
      </c>
      <c r="R519">
        <f>IF(ISNUMBER(SEARCH('1Př1'!$A$32,N519)),MAX($M$2:M518)+1,0)</f>
        <v>517.0</v>
      </c>
      <c r="S519" s="327" t="s">
        <v>2493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327" t="s">
        <v>2493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327" t="s">
        <v>2493</v>
      </c>
      <c r="Z519" t="str">
        <f>IFERROR(VLOOKUP(ROWS($Z$3:Z519),$X$3:$Y$992,2,0),"")</f>
        <v>Výroba zámků a kování</v>
      </c>
    </row>
    <row r="520" spans="13:26" ht="12.75">
      <c r="M520" s="326">
        <f>IF(ISNUMBER(SEARCH(ZAKL_DATA!$B$29,N520)),MAX($M$2:M519)+1,0)</f>
        <v>518.0</v>
      </c>
      <c r="N520" s="327" t="s">
        <v>2495</v>
      </c>
      <c r="O520" s="342" t="s">
        <v>2496</v>
      </c>
      <c r="Q520" s="329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327" t="s">
        <v>2495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327" t="s">
        <v>2495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327" t="s">
        <v>2495</v>
      </c>
      <c r="Z520" t="str">
        <f>IFERROR(VLOOKUP(ROWS($Z$3:Z520),$X$3:$Y$992,2,0),"")</f>
        <v>Výroba nástrojů a nářadí</v>
      </c>
    </row>
    <row r="521" spans="13:26" ht="12.75">
      <c r="M521" s="326">
        <f>IF(ISNUMBER(SEARCH(ZAKL_DATA!$B$29,N521)),MAX($M$2:M520)+1,0)</f>
        <v>519.0</v>
      </c>
      <c r="N521" s="327" t="s">
        <v>2497</v>
      </c>
      <c r="O521" s="342" t="s">
        <v>2498</v>
      </c>
      <c r="Q521" s="329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327" t="s">
        <v>2497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327" t="s">
        <v>2497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327" t="s">
        <v>2497</v>
      </c>
      <c r="Z521" t="str">
        <f>IFERROR(VLOOKUP(ROWS($Z$3:Z521),$X$3:$Y$992,2,0),"")</f>
        <v>Výroba ocelových sudů a podobných nádob</v>
      </c>
    </row>
    <row r="522" spans="13:26" ht="12.75">
      <c r="M522" s="326">
        <f>IF(ISNUMBER(SEARCH(ZAKL_DATA!$B$29,N522)),MAX($M$2:M521)+1,0)</f>
        <v>520.0</v>
      </c>
      <c r="N522" s="327" t="s">
        <v>2499</v>
      </c>
      <c r="O522" s="342" t="s">
        <v>2500</v>
      </c>
      <c r="Q522" s="329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327" t="s">
        <v>2499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327" t="s">
        <v>2499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327" t="s">
        <v>2499</v>
      </c>
      <c r="Z522" t="str">
        <f>IFERROR(VLOOKUP(ROWS($Z$3:Z522),$X$3:$Y$992,2,0),"")</f>
        <v>Výroba drobných kovových obalů</v>
      </c>
    </row>
    <row r="523" spans="13:26" ht="12.75">
      <c r="M523" s="326">
        <f>IF(ISNUMBER(SEARCH(ZAKL_DATA!$B$29,N523)),MAX($M$2:M522)+1,0)</f>
        <v>521.0</v>
      </c>
      <c r="N523" s="327" t="s">
        <v>2501</v>
      </c>
      <c r="O523" s="342" t="s">
        <v>2502</v>
      </c>
      <c r="Q523" s="329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327" t="s">
        <v>2501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327" t="s">
        <v>2501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327" t="s">
        <v>2501</v>
      </c>
      <c r="Z523" t="str">
        <f>IFERROR(VLOOKUP(ROWS($Z$3:Z523),$X$3:$Y$992,2,0),"")</f>
        <v>Výroba drátěných výrobků, řetězů a pružin</v>
      </c>
    </row>
    <row r="524" spans="13:26" ht="12.75">
      <c r="M524" s="326">
        <f>IF(ISNUMBER(SEARCH(ZAKL_DATA!$B$29,N524)),MAX($M$2:M523)+1,0)</f>
        <v>522.0</v>
      </c>
      <c r="N524" s="327" t="s">
        <v>2503</v>
      </c>
      <c r="O524" s="342" t="s">
        <v>2504</v>
      </c>
      <c r="Q524" s="329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327" t="s">
        <v>2503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327" t="s">
        <v>2503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327" t="s">
        <v>2503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26">
        <f>IF(ISNUMBER(SEARCH(ZAKL_DATA!$B$29,N525)),MAX($M$2:M524)+1,0)</f>
        <v>523.0</v>
      </c>
      <c r="N525" s="327" t="s">
        <v>2505</v>
      </c>
      <c r="O525" s="342" t="s">
        <v>2506</v>
      </c>
      <c r="Q525" s="329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327" t="s">
        <v>2505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327" t="s">
        <v>2505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327" t="s">
        <v>2505</v>
      </c>
      <c r="Z525" t="str">
        <f>IFERROR(VLOOKUP(ROWS($Z$3:Z525),$X$3:$Y$992,2,0),"")</f>
        <v>Výroba ostatních kovodělných výrobků j. n.</v>
      </c>
    </row>
    <row r="526" spans="13:26" ht="12.75">
      <c r="M526" s="326">
        <f>IF(ISNUMBER(SEARCH(ZAKL_DATA!$B$29,N526)),MAX($M$2:M525)+1,0)</f>
        <v>524.0</v>
      </c>
      <c r="N526" s="327" t="s">
        <v>2507</v>
      </c>
      <c r="O526" s="342" t="s">
        <v>2508</v>
      </c>
      <c r="Q526" s="329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327" t="s">
        <v>2507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327" t="s">
        <v>2507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327" t="s">
        <v>2507</v>
      </c>
      <c r="Z526" t="str">
        <f>IFERROR(VLOOKUP(ROWS($Z$3:Z526),$X$3:$Y$992,2,0),"")</f>
        <v>Výroba elektronických součástek</v>
      </c>
    </row>
    <row r="527" spans="13:26" ht="12.75">
      <c r="M527" s="326">
        <f>IF(ISNUMBER(SEARCH(ZAKL_DATA!$B$29,N527)),MAX($M$2:M526)+1,0)</f>
        <v>525.0</v>
      </c>
      <c r="N527" s="327" t="s">
        <v>2509</v>
      </c>
      <c r="O527" s="342" t="s">
        <v>2510</v>
      </c>
      <c r="Q527" s="329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327" t="s">
        <v>2509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327" t="s">
        <v>2509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327" t="s">
        <v>2509</v>
      </c>
      <c r="Z527" t="str">
        <f>IFERROR(VLOOKUP(ROWS($Z$3:Z527),$X$3:$Y$992,2,0),"")</f>
        <v>Výroba osazených elektronických desek</v>
      </c>
    </row>
    <row r="528" spans="13:26" ht="12.75">
      <c r="M528" s="326">
        <f>IF(ISNUMBER(SEARCH(ZAKL_DATA!$B$29,N528)),MAX($M$2:M527)+1,0)</f>
        <v>526.0</v>
      </c>
      <c r="N528" s="327" t="s">
        <v>2511</v>
      </c>
      <c r="O528" s="342" t="s">
        <v>2512</v>
      </c>
      <c r="Q528" s="329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327" t="s">
        <v>2511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327" t="s">
        <v>2511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327" t="s">
        <v>2511</v>
      </c>
      <c r="Z528" t="str">
        <f>IFERROR(VLOOKUP(ROWS($Z$3:Z528),$X$3:$Y$992,2,0),"")</f>
        <v>Výroba měřicích, zkušebních a navigačních přístrojů</v>
      </c>
    </row>
    <row r="529" spans="13:26" ht="12.75">
      <c r="M529" s="326">
        <f>IF(ISNUMBER(SEARCH(ZAKL_DATA!$B$29,N529)),MAX($M$2:M528)+1,0)</f>
        <v>527.0</v>
      </c>
      <c r="N529" s="327" t="s">
        <v>2513</v>
      </c>
      <c r="O529" s="342" t="s">
        <v>2514</v>
      </c>
      <c r="Q529" s="329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327" t="s">
        <v>2513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327" t="s">
        <v>2513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327" t="s">
        <v>2513</v>
      </c>
      <c r="Z529" t="str">
        <f>IFERROR(VLOOKUP(ROWS($Z$3:Z529),$X$3:$Y$992,2,0),"")</f>
        <v>Výroba časoměrných přístrojů</v>
      </c>
    </row>
    <row r="530" spans="13:26" ht="12.75">
      <c r="M530" s="326">
        <f>IF(ISNUMBER(SEARCH(ZAKL_DATA!$B$29,N530)),MAX($M$2:M529)+1,0)</f>
        <v>528.0</v>
      </c>
      <c r="N530" s="327" t="s">
        <v>2515</v>
      </c>
      <c r="O530" s="342" t="s">
        <v>2516</v>
      </c>
      <c r="Q530" s="329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327" t="s">
        <v>2515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327" t="s">
        <v>2515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327" t="s">
        <v>2515</v>
      </c>
      <c r="Z530" t="str">
        <f>IFERROR(VLOOKUP(ROWS($Z$3:Z530),$X$3:$Y$992,2,0),"")</f>
        <v>Výroba elektrických motorů, generátorů a transformátorů</v>
      </c>
    </row>
    <row r="531" spans="13:26" ht="12.75">
      <c r="M531" s="326">
        <f>IF(ISNUMBER(SEARCH(ZAKL_DATA!$B$29,N531)),MAX($M$2:M530)+1,0)</f>
        <v>529.0</v>
      </c>
      <c r="N531" s="327" t="s">
        <v>2517</v>
      </c>
      <c r="O531" s="342" t="s">
        <v>2518</v>
      </c>
      <c r="Q531" s="329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327" t="s">
        <v>2517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327" t="s">
        <v>2517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327" t="s">
        <v>2517</v>
      </c>
      <c r="Z531" t="str">
        <f>IFERROR(VLOOKUP(ROWS($Z$3:Z531),$X$3:$Y$992,2,0),"")</f>
        <v>Výroba elektrických rozvodných a kontrolních zařízení</v>
      </c>
    </row>
    <row r="532" spans="13:26" ht="12.75">
      <c r="M532" s="326">
        <f>IF(ISNUMBER(SEARCH(ZAKL_DATA!$B$29,N532)),MAX($M$2:M531)+1,0)</f>
        <v>530.0</v>
      </c>
      <c r="N532" s="327" t="s">
        <v>2519</v>
      </c>
      <c r="O532" s="342" t="s">
        <v>2520</v>
      </c>
      <c r="Q532" s="329" t="str">
        <f>IFERROR(VLOOKUP(ROWS($Q$3:Q532),$M$3:$N$992,2,0),"")</f>
        <v>Výroba optických kabelů</v>
      </c>
      <c r="R532">
        <f>IF(ISNUMBER(SEARCH('1Př1'!$A$32,N532)),MAX($M$2:M531)+1,0)</f>
        <v>530.0</v>
      </c>
      <c r="S532" s="327" t="s">
        <v>2519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327" t="s">
        <v>2519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327" t="s">
        <v>2519</v>
      </c>
      <c r="Z532" t="str">
        <f>IFERROR(VLOOKUP(ROWS($Z$3:Z532),$X$3:$Y$992,2,0),"")</f>
        <v>Výroba optických kabelů</v>
      </c>
    </row>
    <row r="533" spans="13:26" ht="12.75">
      <c r="M533" s="326">
        <f>IF(ISNUMBER(SEARCH(ZAKL_DATA!$B$29,N533)),MAX($M$2:M532)+1,0)</f>
        <v>531.0</v>
      </c>
      <c r="N533" s="327" t="s">
        <v>2521</v>
      </c>
      <c r="O533" s="342" t="s">
        <v>2522</v>
      </c>
      <c r="Q533" s="329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327" t="s">
        <v>2521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327" t="s">
        <v>2521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327" t="s">
        <v>2521</v>
      </c>
      <c r="Z533" t="str">
        <f>IFERROR(VLOOKUP(ROWS($Z$3:Z533),$X$3:$Y$992,2,0),"")</f>
        <v>Výroba elektrických vodičů a kabelů j. n.</v>
      </c>
    </row>
    <row r="534" spans="13:26" ht="12.75">
      <c r="M534" s="326">
        <f>IF(ISNUMBER(SEARCH(ZAKL_DATA!$B$29,N534)),MAX($M$2:M533)+1,0)</f>
        <v>532.0</v>
      </c>
      <c r="N534" s="327" t="s">
        <v>2523</v>
      </c>
      <c r="O534" s="342" t="s">
        <v>2524</v>
      </c>
      <c r="Q534" s="329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327" t="s">
        <v>2523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327" t="s">
        <v>2523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327" t="s">
        <v>2523</v>
      </c>
      <c r="Z534" t="str">
        <f>IFERROR(VLOOKUP(ROWS($Z$3:Z534),$X$3:$Y$992,2,0),"")</f>
        <v>Výroba elektroinstalačních zařízení</v>
      </c>
    </row>
    <row r="535" spans="13:26" ht="12.75">
      <c r="M535" s="326">
        <f>IF(ISNUMBER(SEARCH(ZAKL_DATA!$B$29,N535)),MAX($M$2:M534)+1,0)</f>
        <v>533.0</v>
      </c>
      <c r="N535" s="327" t="s">
        <v>2525</v>
      </c>
      <c r="O535" s="342" t="s">
        <v>2526</v>
      </c>
      <c r="Q535" s="329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327" t="s">
        <v>2525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327" t="s">
        <v>2525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327" t="s">
        <v>2525</v>
      </c>
      <c r="Z535" t="str">
        <f>IFERROR(VLOOKUP(ROWS($Z$3:Z535),$X$3:$Y$992,2,0),"")</f>
        <v>Výroba elektrických spotřebičů převážně pro domácnost</v>
      </c>
    </row>
    <row r="536" spans="13:26" ht="12.75">
      <c r="M536" s="326">
        <f>IF(ISNUMBER(SEARCH(ZAKL_DATA!$B$29,N536)),MAX($M$2:M535)+1,0)</f>
        <v>534.0</v>
      </c>
      <c r="N536" s="327" t="s">
        <v>2527</v>
      </c>
      <c r="O536" s="342" t="s">
        <v>2528</v>
      </c>
      <c r="Q536" s="329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327" t="s">
        <v>2527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327" t="s">
        <v>2527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327" t="s">
        <v>2527</v>
      </c>
      <c r="Z536" t="str">
        <f>IFERROR(VLOOKUP(ROWS($Z$3:Z536),$X$3:$Y$992,2,0),"")</f>
        <v>Výroba neelektrických spotřebičů převážně pro domácnost</v>
      </c>
    </row>
    <row r="537" spans="13:26" ht="12.75">
      <c r="M537" s="326">
        <f>IF(ISNUMBER(SEARCH(ZAKL_DATA!$B$29,N537)),MAX($M$2:M536)+1,0)</f>
        <v>535.0</v>
      </c>
      <c r="N537" s="327" t="s">
        <v>2529</v>
      </c>
      <c r="O537" s="342" t="s">
        <v>2530</v>
      </c>
      <c r="Q537" s="329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327" t="s">
        <v>2529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327" t="s">
        <v>2529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327" t="s">
        <v>2529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26">
        <f>IF(ISNUMBER(SEARCH(ZAKL_DATA!$B$29,N538)),MAX($M$2:M537)+1,0)</f>
        <v>536.0</v>
      </c>
      <c r="N538" s="327" t="s">
        <v>2531</v>
      </c>
      <c r="O538" s="342" t="s">
        <v>2532</v>
      </c>
      <c r="Q538" s="329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327" t="s">
        <v>2531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327" t="s">
        <v>2531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327" t="s">
        <v>2531</v>
      </c>
      <c r="Z538" t="str">
        <f>IFERROR(VLOOKUP(ROWS($Z$3:Z538),$X$3:$Y$992,2,0),"")</f>
        <v>Výroba hydraulických a pneumatických zařízení</v>
      </c>
    </row>
    <row r="539" spans="13:26" ht="12.75">
      <c r="M539" s="326">
        <f>IF(ISNUMBER(SEARCH(ZAKL_DATA!$B$29,N539)),MAX($M$2:M538)+1,0)</f>
        <v>537.0</v>
      </c>
      <c r="N539" s="327" t="s">
        <v>2533</v>
      </c>
      <c r="O539" s="342" t="s">
        <v>2534</v>
      </c>
      <c r="Q539" s="329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327" t="s">
        <v>2533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327" t="s">
        <v>2533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327" t="s">
        <v>2533</v>
      </c>
      <c r="Z539" t="str">
        <f>IFERROR(VLOOKUP(ROWS($Z$3:Z539),$X$3:$Y$992,2,0),"")</f>
        <v>Výroba ostatních čerpadel a kompresorů</v>
      </c>
    </row>
    <row r="540" spans="13:26" ht="12.75">
      <c r="M540" s="326">
        <f>IF(ISNUMBER(SEARCH(ZAKL_DATA!$B$29,N540)),MAX($M$2:M539)+1,0)</f>
        <v>538.0</v>
      </c>
      <c r="N540" s="327" t="s">
        <v>2535</v>
      </c>
      <c r="O540" s="342" t="s">
        <v>2536</v>
      </c>
      <c r="Q540" s="329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327" t="s">
        <v>2535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327" t="s">
        <v>2535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327" t="s">
        <v>2535</v>
      </c>
      <c r="Z540" t="str">
        <f>IFERROR(VLOOKUP(ROWS($Z$3:Z540),$X$3:$Y$992,2,0),"")</f>
        <v>Výroba ostatních potrubních armatur</v>
      </c>
    </row>
    <row r="541" spans="13:26" ht="12.75">
      <c r="M541" s="326">
        <f>IF(ISNUMBER(SEARCH(ZAKL_DATA!$B$29,N541)),MAX($M$2:M540)+1,0)</f>
        <v>539.0</v>
      </c>
      <c r="N541" s="327" t="s">
        <v>2537</v>
      </c>
      <c r="O541" s="342" t="s">
        <v>2538</v>
      </c>
      <c r="Q541" s="329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327" t="s">
        <v>2537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327" t="s">
        <v>2537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327" t="s">
        <v>2537</v>
      </c>
      <c r="Z541" t="str">
        <f>IFERROR(VLOOKUP(ROWS($Z$3:Z541),$X$3:$Y$992,2,0),"")</f>
        <v>Výroba ložisek, ozubených kol, převodů a hnacích prvků</v>
      </c>
    </row>
    <row r="542" spans="13:26" ht="12.75">
      <c r="M542" s="326">
        <f>IF(ISNUMBER(SEARCH(ZAKL_DATA!$B$29,N542)),MAX($M$2:M541)+1,0)</f>
        <v>540.0</v>
      </c>
      <c r="N542" s="327" t="s">
        <v>2539</v>
      </c>
      <c r="O542" s="342" t="s">
        <v>2540</v>
      </c>
      <c r="Q542" s="329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327" t="s">
        <v>2539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327" t="s">
        <v>2539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327" t="s">
        <v>2539</v>
      </c>
      <c r="Z542" t="str">
        <f>IFERROR(VLOOKUP(ROWS($Z$3:Z542),$X$3:$Y$992,2,0),"")</f>
        <v>Výroba pecí a hořáků pro topeniště</v>
      </c>
    </row>
    <row r="543" spans="13:26" ht="12.75">
      <c r="M543" s="326">
        <f>IF(ISNUMBER(SEARCH(ZAKL_DATA!$B$29,N543)),MAX($M$2:M542)+1,0)</f>
        <v>541.0</v>
      </c>
      <c r="N543" s="327" t="s">
        <v>2541</v>
      </c>
      <c r="O543" s="342" t="s">
        <v>2542</v>
      </c>
      <c r="Q543" s="329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327" t="s">
        <v>2541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327" t="s">
        <v>2541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327" t="s">
        <v>2541</v>
      </c>
      <c r="Z543" t="str">
        <f>IFERROR(VLOOKUP(ROWS($Z$3:Z543),$X$3:$Y$992,2,0),"")</f>
        <v>Výroba zdvihacích a manipulačních zařízení</v>
      </c>
    </row>
    <row r="544" spans="13:26" ht="12.75">
      <c r="M544" s="326">
        <f>IF(ISNUMBER(SEARCH(ZAKL_DATA!$B$29,N544)),MAX($M$2:M543)+1,0)</f>
        <v>542.0</v>
      </c>
      <c r="N544" s="327" t="s">
        <v>2543</v>
      </c>
      <c r="O544" s="342" t="s">
        <v>2544</v>
      </c>
      <c r="Q544" s="329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327" t="s">
        <v>2543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327" t="s">
        <v>2543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327" t="s">
        <v>2543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26">
        <f>IF(ISNUMBER(SEARCH(ZAKL_DATA!$B$29,N545)),MAX($M$2:M544)+1,0)</f>
        <v>543.0</v>
      </c>
      <c r="N545" s="327" t="s">
        <v>2545</v>
      </c>
      <c r="O545" s="342" t="s">
        <v>2546</v>
      </c>
      <c r="Q545" s="329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327" t="s">
        <v>2545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327" t="s">
        <v>2545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327" t="s">
        <v>2545</v>
      </c>
      <c r="Z545" t="str">
        <f>IFERROR(VLOOKUP(ROWS($Z$3:Z545),$X$3:$Y$992,2,0),"")</f>
        <v>Výroba ručních mechanizovaných nástrojů</v>
      </c>
    </row>
    <row r="546" spans="13:26" ht="12.75">
      <c r="M546" s="326">
        <f>IF(ISNUMBER(SEARCH(ZAKL_DATA!$B$29,N546)),MAX($M$2:M545)+1,0)</f>
        <v>544.0</v>
      </c>
      <c r="N546" s="327" t="s">
        <v>2547</v>
      </c>
      <c r="O546" s="342" t="s">
        <v>2548</v>
      </c>
      <c r="Q546" s="329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327" t="s">
        <v>2547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327" t="s">
        <v>2547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327" t="s">
        <v>2547</v>
      </c>
      <c r="Z546" t="str">
        <f>IFERROR(VLOOKUP(ROWS($Z$3:Z546),$X$3:$Y$992,2,0),"")</f>
        <v>Výroba průmyslových chladicích a klimatizačních zařízení</v>
      </c>
    </row>
    <row r="547" spans="13:26" ht="12.75">
      <c r="M547" s="326">
        <f>IF(ISNUMBER(SEARCH(ZAKL_DATA!$B$29,N547)),MAX($M$2:M546)+1,0)</f>
        <v>545.0</v>
      </c>
      <c r="N547" s="327" t="s">
        <v>2549</v>
      </c>
      <c r="O547" s="342" t="s">
        <v>2550</v>
      </c>
      <c r="Q547" s="329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327" t="s">
        <v>2549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327" t="s">
        <v>2549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327" t="s">
        <v>2549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26">
        <f>IF(ISNUMBER(SEARCH(ZAKL_DATA!$B$29,N548)),MAX($M$2:M547)+1,0)</f>
        <v>546.0</v>
      </c>
      <c r="N548" s="327" t="s">
        <v>2551</v>
      </c>
      <c r="O548" s="342" t="s">
        <v>2552</v>
      </c>
      <c r="Q548" s="329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327" t="s">
        <v>2551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327" t="s">
        <v>2551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327" t="s">
        <v>2551</v>
      </c>
      <c r="Z548" t="str">
        <f>IFERROR(VLOOKUP(ROWS($Z$3:Z548),$X$3:$Y$992,2,0),"")</f>
        <v>Výroba kovoobráběcích strojů</v>
      </c>
    </row>
    <row r="549" spans="13:26" ht="12.75">
      <c r="M549" s="326">
        <f>IF(ISNUMBER(SEARCH(ZAKL_DATA!$B$29,N549)),MAX($M$2:M548)+1,0)</f>
        <v>547.0</v>
      </c>
      <c r="N549" s="327" t="s">
        <v>2553</v>
      </c>
      <c r="O549" s="342" t="s">
        <v>2554</v>
      </c>
      <c r="Q549" s="329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327" t="s">
        <v>2553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327" t="s">
        <v>2553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327" t="s">
        <v>2553</v>
      </c>
      <c r="Z549" t="str">
        <f>IFERROR(VLOOKUP(ROWS($Z$3:Z549),$X$3:$Y$992,2,0),"")</f>
        <v>Výroba ostatních obráběcích strojů</v>
      </c>
    </row>
    <row r="550" spans="13:26" ht="12.75">
      <c r="M550" s="326">
        <f>IF(ISNUMBER(SEARCH(ZAKL_DATA!$B$29,N550)),MAX($M$2:M549)+1,0)</f>
        <v>548.0</v>
      </c>
      <c r="N550" s="327" t="s">
        <v>2555</v>
      </c>
      <c r="O550" s="342" t="s">
        <v>2556</v>
      </c>
      <c r="Q550" s="329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327" t="s">
        <v>2555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327" t="s">
        <v>2555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327" t="s">
        <v>2555</v>
      </c>
      <c r="Z550" t="str">
        <f>IFERROR(VLOOKUP(ROWS($Z$3:Z550),$X$3:$Y$992,2,0),"")</f>
        <v>Výroba strojů pro metalurgii</v>
      </c>
    </row>
    <row r="551" spans="13:26" ht="12.75">
      <c r="M551" s="326">
        <f>IF(ISNUMBER(SEARCH(ZAKL_DATA!$B$29,N551)),MAX($M$2:M550)+1,0)</f>
        <v>549.0</v>
      </c>
      <c r="N551" s="327" t="s">
        <v>2557</v>
      </c>
      <c r="O551" s="342" t="s">
        <v>2558</v>
      </c>
      <c r="Q551" s="329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327" t="s">
        <v>2557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327" t="s">
        <v>2557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327" t="s">
        <v>2557</v>
      </c>
      <c r="Z551" t="str">
        <f>IFERROR(VLOOKUP(ROWS($Z$3:Z551),$X$3:$Y$992,2,0),"")</f>
        <v>Výroba strojů pro těžbu, dobývání a stavebnictví</v>
      </c>
    </row>
    <row r="552" spans="13:26" ht="12.75">
      <c r="M552" s="326">
        <f>IF(ISNUMBER(SEARCH(ZAKL_DATA!$B$29,N552)),MAX($M$2:M551)+1,0)</f>
        <v>550.0</v>
      </c>
      <c r="N552" s="327" t="s">
        <v>2559</v>
      </c>
      <c r="O552" s="342" t="s">
        <v>2560</v>
      </c>
      <c r="Q552" s="329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327" t="s">
        <v>2559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327" t="s">
        <v>2559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327" t="s">
        <v>2559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26">
        <f>IF(ISNUMBER(SEARCH(ZAKL_DATA!$B$29,N553)),MAX($M$2:M552)+1,0)</f>
        <v>551.0</v>
      </c>
      <c r="N553" s="327" t="s">
        <v>2561</v>
      </c>
      <c r="O553" s="342" t="s">
        <v>2562</v>
      </c>
      <c r="Q553" s="329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327" t="s">
        <v>2561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327" t="s">
        <v>2561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327" t="s">
        <v>2561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26">
        <f>IF(ISNUMBER(SEARCH(ZAKL_DATA!$B$29,N554)),MAX($M$2:M553)+1,0)</f>
        <v>552.0</v>
      </c>
      <c r="N554" s="327" t="s">
        <v>2563</v>
      </c>
      <c r="O554" s="342" t="s">
        <v>2564</v>
      </c>
      <c r="Q554" s="329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327" t="s">
        <v>2563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327" t="s">
        <v>2563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327" t="s">
        <v>2563</v>
      </c>
      <c r="Z554" t="str">
        <f>IFERROR(VLOOKUP(ROWS($Z$3:Z554),$X$3:$Y$992,2,0),"")</f>
        <v>Výroba strojů a přístrojů na výrobu papíru a lepenky</v>
      </c>
    </row>
    <row r="555" spans="13:26" ht="12.75">
      <c r="M555" s="326">
        <f>IF(ISNUMBER(SEARCH(ZAKL_DATA!$B$29,N555)),MAX($M$2:M554)+1,0)</f>
        <v>553.0</v>
      </c>
      <c r="N555" s="327" t="s">
        <v>2565</v>
      </c>
      <c r="O555" s="342" t="s">
        <v>2566</v>
      </c>
      <c r="Q555" s="329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327" t="s">
        <v>2565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327" t="s">
        <v>2565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327" t="s">
        <v>2565</v>
      </c>
      <c r="Z555" t="str">
        <f>IFERROR(VLOOKUP(ROWS($Z$3:Z555),$X$3:$Y$992,2,0),"")</f>
        <v>Výroba strojů na výrobu plastů a pryže</v>
      </c>
    </row>
    <row r="556" spans="13:26" ht="12.75">
      <c r="M556" s="326">
        <f>IF(ISNUMBER(SEARCH(ZAKL_DATA!$B$29,N556)),MAX($M$2:M555)+1,0)</f>
        <v>554.0</v>
      </c>
      <c r="N556" s="327" t="s">
        <v>2567</v>
      </c>
      <c r="O556" s="342" t="s">
        <v>2568</v>
      </c>
      <c r="Q556" s="329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327" t="s">
        <v>2567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327" t="s">
        <v>2567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327" t="s">
        <v>2567</v>
      </c>
      <c r="Z556" t="str">
        <f>IFERROR(VLOOKUP(ROWS($Z$3:Z556),$X$3:$Y$992,2,0),"")</f>
        <v>Výroba ostatních strojů pro speciální účely j. n.</v>
      </c>
    </row>
    <row r="557" spans="13:26" ht="12.75">
      <c r="M557" s="326">
        <f>IF(ISNUMBER(SEARCH(ZAKL_DATA!$B$29,N557)),MAX($M$2:M556)+1,0)</f>
        <v>555.0</v>
      </c>
      <c r="N557" s="327" t="s">
        <v>2569</v>
      </c>
      <c r="O557" s="342" t="s">
        <v>2570</v>
      </c>
      <c r="Q557" s="329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327" t="s">
        <v>2569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327" t="s">
        <v>2569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327" t="s">
        <v>2569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26">
        <f>IF(ISNUMBER(SEARCH(ZAKL_DATA!$B$29,N558)),MAX($M$2:M557)+1,0)</f>
        <v>556.0</v>
      </c>
      <c r="N558" s="327" t="s">
        <v>2571</v>
      </c>
      <c r="O558" s="342" t="s">
        <v>2572</v>
      </c>
      <c r="Q558" s="329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327" t="s">
        <v>2571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327" t="s">
        <v>2571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327" t="s">
        <v>2571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26">
        <f>IF(ISNUMBER(SEARCH(ZAKL_DATA!$B$29,N559)),MAX($M$2:M558)+1,0)</f>
        <v>557.0</v>
      </c>
      <c r="N559" s="327" t="s">
        <v>2573</v>
      </c>
      <c r="O559" s="342" t="s">
        <v>2574</v>
      </c>
      <c r="Q559" s="329" t="str">
        <f>IFERROR(VLOOKUP(ROWS($Q$3:Q559),$M$3:$N$992,2,0),"")</f>
        <v>Stavba lodí a plavidel</v>
      </c>
      <c r="R559">
        <f>IF(ISNUMBER(SEARCH('1Př1'!$A$32,N559)),MAX($M$2:M558)+1,0)</f>
        <v>557.0</v>
      </c>
      <c r="S559" s="327" t="s">
        <v>2573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327" t="s">
        <v>2573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327" t="s">
        <v>2573</v>
      </c>
      <c r="Z559" t="str">
        <f>IFERROR(VLOOKUP(ROWS($Z$3:Z559),$X$3:$Y$992,2,0),"")</f>
        <v>Stavba lodí a plavidel</v>
      </c>
    </row>
    <row r="560" spans="13:26" ht="12.75">
      <c r="M560" s="326">
        <f>IF(ISNUMBER(SEARCH(ZAKL_DATA!$B$29,N560)),MAX($M$2:M559)+1,0)</f>
        <v>558.0</v>
      </c>
      <c r="N560" s="327" t="s">
        <v>2575</v>
      </c>
      <c r="O560" s="342" t="s">
        <v>2576</v>
      </c>
      <c r="Q560" s="329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327" t="s">
        <v>2575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327" t="s">
        <v>2575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327" t="s">
        <v>2575</v>
      </c>
      <c r="Z560" t="str">
        <f>IFERROR(VLOOKUP(ROWS($Z$3:Z560),$X$3:$Y$992,2,0),"")</f>
        <v>Stavba rekreačních a sportovních člunů</v>
      </c>
    </row>
    <row r="561" spans="13:26" ht="12.75">
      <c r="M561" s="326">
        <f>IF(ISNUMBER(SEARCH(ZAKL_DATA!$B$29,N561)),MAX($M$2:M560)+1,0)</f>
        <v>559.0</v>
      </c>
      <c r="N561" s="327" t="s">
        <v>2577</v>
      </c>
      <c r="O561" s="342" t="s">
        <v>2578</v>
      </c>
      <c r="Q561" s="329" t="str">
        <f>IFERROR(VLOOKUP(ROWS($Q$3:Q561),$M$3:$N$992,2,0),"")</f>
        <v>Výroba motocyklů</v>
      </c>
      <c r="R561">
        <f>IF(ISNUMBER(SEARCH('1Př1'!$A$32,N561)),MAX($M$2:M560)+1,0)</f>
        <v>559.0</v>
      </c>
      <c r="S561" s="327" t="s">
        <v>2577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327" t="s">
        <v>2577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327" t="s">
        <v>2577</v>
      </c>
      <c r="Z561" t="str">
        <f>IFERROR(VLOOKUP(ROWS($Z$3:Z561),$X$3:$Y$992,2,0),"")</f>
        <v>Výroba motocyklů</v>
      </c>
    </row>
    <row r="562" spans="13:26" ht="12.75">
      <c r="M562" s="326">
        <f>IF(ISNUMBER(SEARCH(ZAKL_DATA!$B$29,N562)),MAX($M$2:M561)+1,0)</f>
        <v>560.0</v>
      </c>
      <c r="N562" s="327" t="s">
        <v>2579</v>
      </c>
      <c r="O562" s="342" t="s">
        <v>2580</v>
      </c>
      <c r="Q562" s="329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327" t="s">
        <v>2579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327" t="s">
        <v>2579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327" t="s">
        <v>2579</v>
      </c>
      <c r="Z562" t="str">
        <f>IFERROR(VLOOKUP(ROWS($Z$3:Z562),$X$3:$Y$992,2,0),"")</f>
        <v>Výroba jízdních kol a vozíků pro invalidy</v>
      </c>
    </row>
    <row r="563" spans="13:26" ht="12.75">
      <c r="M563" s="326">
        <f>IF(ISNUMBER(SEARCH(ZAKL_DATA!$B$29,N563)),MAX($M$2:M562)+1,0)</f>
        <v>561.0</v>
      </c>
      <c r="N563" s="327" t="s">
        <v>2581</v>
      </c>
      <c r="O563" s="342" t="s">
        <v>2582</v>
      </c>
      <c r="Q563" s="329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327" t="s">
        <v>2581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327" t="s">
        <v>2581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327" t="s">
        <v>2581</v>
      </c>
      <c r="Z563" t="str">
        <f>IFERROR(VLOOKUP(ROWS($Z$3:Z563),$X$3:$Y$992,2,0),"")</f>
        <v>Výroba ostatních dopravních prostředků a zařízení j. n.</v>
      </c>
    </row>
    <row r="564" spans="13:26" ht="12.75">
      <c r="M564" s="326">
        <f>IF(ISNUMBER(SEARCH(ZAKL_DATA!$B$29,N564)),MAX($M$2:M563)+1,0)</f>
        <v>562.0</v>
      </c>
      <c r="N564" s="327" t="s">
        <v>2583</v>
      </c>
      <c r="O564" s="342" t="s">
        <v>2584</v>
      </c>
      <c r="Q564" s="329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327" t="s">
        <v>2583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327" t="s">
        <v>2583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327" t="s">
        <v>2583</v>
      </c>
      <c r="Z564" t="str">
        <f>IFERROR(VLOOKUP(ROWS($Z$3:Z564),$X$3:$Y$992,2,0),"")</f>
        <v>Výroba kancelářského nábytku a zařízení obchodů</v>
      </c>
    </row>
    <row r="565" spans="13:26" ht="12.75">
      <c r="M565" s="326">
        <f>IF(ISNUMBER(SEARCH(ZAKL_DATA!$B$29,N565)),MAX($M$2:M564)+1,0)</f>
        <v>563.0</v>
      </c>
      <c r="N565" s="327" t="s">
        <v>2585</v>
      </c>
      <c r="O565" s="342" t="s">
        <v>2586</v>
      </c>
      <c r="Q565" s="329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327" t="s">
        <v>2585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327" t="s">
        <v>2585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327" t="s">
        <v>2585</v>
      </c>
      <c r="Z565" t="str">
        <f>IFERROR(VLOOKUP(ROWS($Z$3:Z565),$X$3:$Y$992,2,0),"")</f>
        <v>Výroba kuchyňského nábytku</v>
      </c>
    </row>
    <row r="566" spans="13:26" ht="12.75">
      <c r="M566" s="326">
        <f>IF(ISNUMBER(SEARCH(ZAKL_DATA!$B$29,N566)),MAX($M$2:M565)+1,0)</f>
        <v>564.0</v>
      </c>
      <c r="N566" s="327" t="s">
        <v>2587</v>
      </c>
      <c r="O566" s="342" t="s">
        <v>2588</v>
      </c>
      <c r="Q566" s="329" t="str">
        <f>IFERROR(VLOOKUP(ROWS($Q$3:Q566),$M$3:$N$992,2,0),"")</f>
        <v>Výroba matrací</v>
      </c>
      <c r="R566">
        <f>IF(ISNUMBER(SEARCH('1Př1'!$A$32,N566)),MAX($M$2:M565)+1,0)</f>
        <v>564.0</v>
      </c>
      <c r="S566" s="327" t="s">
        <v>2587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327" t="s">
        <v>2587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327" t="s">
        <v>2587</v>
      </c>
      <c r="Z566" t="str">
        <f>IFERROR(VLOOKUP(ROWS($Z$3:Z566),$X$3:$Y$992,2,0),"")</f>
        <v>Výroba matrací</v>
      </c>
    </row>
    <row r="567" spans="13:26" ht="12.75">
      <c r="M567" s="326">
        <f>IF(ISNUMBER(SEARCH(ZAKL_DATA!$B$29,N567)),MAX($M$2:M566)+1,0)</f>
        <v>565.0</v>
      </c>
      <c r="N567" s="327" t="s">
        <v>2589</v>
      </c>
      <c r="O567" s="342" t="s">
        <v>2590</v>
      </c>
      <c r="Q567" s="329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327" t="s">
        <v>2589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327" t="s">
        <v>2589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327" t="s">
        <v>2589</v>
      </c>
      <c r="Z567" t="str">
        <f>IFERROR(VLOOKUP(ROWS($Z$3:Z567),$X$3:$Y$992,2,0),"")</f>
        <v>Výroba ostatního nábytku</v>
      </c>
    </row>
    <row r="568" spans="13:26" ht="12.75">
      <c r="M568" s="326">
        <f>IF(ISNUMBER(SEARCH(ZAKL_DATA!$B$29,N568)),MAX($M$2:M567)+1,0)</f>
        <v>566.0</v>
      </c>
      <c r="N568" s="327" t="s">
        <v>2591</v>
      </c>
      <c r="O568" s="342" t="s">
        <v>2592</v>
      </c>
      <c r="Q568" s="329" t="str">
        <f>IFERROR(VLOOKUP(ROWS($Q$3:Q568),$M$3:$N$992,2,0),"")</f>
        <v>Ražení mincí</v>
      </c>
      <c r="R568">
        <f>IF(ISNUMBER(SEARCH('1Př1'!$A$32,N568)),MAX($M$2:M567)+1,0)</f>
        <v>566.0</v>
      </c>
      <c r="S568" s="327" t="s">
        <v>2591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327" t="s">
        <v>2591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327" t="s">
        <v>2591</v>
      </c>
      <c r="Z568" t="str">
        <f>IFERROR(VLOOKUP(ROWS($Z$3:Z568),$X$3:$Y$992,2,0),"")</f>
        <v>Ražení mincí</v>
      </c>
    </row>
    <row r="569" spans="13:26" ht="12.75">
      <c r="M569" s="326">
        <f>IF(ISNUMBER(SEARCH(ZAKL_DATA!$B$29,N569)),MAX($M$2:M568)+1,0)</f>
        <v>567.0</v>
      </c>
      <c r="N569" s="327" t="s">
        <v>2593</v>
      </c>
      <c r="O569" s="342" t="s">
        <v>2594</v>
      </c>
      <c r="Q569" s="329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327" t="s">
        <v>2593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327" t="s">
        <v>2593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327" t="s">
        <v>2593</v>
      </c>
      <c r="Z569" t="str">
        <f>IFERROR(VLOOKUP(ROWS($Z$3:Z569),$X$3:$Y$992,2,0),"")</f>
        <v>Výroba klenotů a příbuzných výrobků</v>
      </c>
    </row>
    <row r="570" spans="13:26" ht="12.75">
      <c r="M570" s="326">
        <f>IF(ISNUMBER(SEARCH(ZAKL_DATA!$B$29,N570)),MAX($M$2:M569)+1,0)</f>
        <v>568.0</v>
      </c>
      <c r="N570" s="327" t="s">
        <v>2595</v>
      </c>
      <c r="O570" s="342" t="s">
        <v>2596</v>
      </c>
      <c r="Q570" s="329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327" t="s">
        <v>2595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327" t="s">
        <v>2595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327" t="s">
        <v>2595</v>
      </c>
      <c r="Z570" t="str">
        <f>IFERROR(VLOOKUP(ROWS($Z$3:Z570),$X$3:$Y$992,2,0),"")</f>
        <v>Výroba bižuterie a příbuzných výrobků</v>
      </c>
    </row>
    <row r="571" spans="13:26" ht="12.75">
      <c r="M571" s="326">
        <f>IF(ISNUMBER(SEARCH(ZAKL_DATA!$B$29,N571)),MAX($M$2:M570)+1,0)</f>
        <v>569.0</v>
      </c>
      <c r="N571" s="327" t="s">
        <v>2597</v>
      </c>
      <c r="O571" s="342" t="s">
        <v>2598</v>
      </c>
      <c r="Q571" s="329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327" t="s">
        <v>2597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327" t="s">
        <v>2597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327" t="s">
        <v>2597</v>
      </c>
      <c r="Z571" t="str">
        <f>IFERROR(VLOOKUP(ROWS($Z$3:Z571),$X$3:$Y$992,2,0),"")</f>
        <v>Výroba košťat a kartáčnických výrobků</v>
      </c>
    </row>
    <row r="572" spans="13:26" ht="12.75">
      <c r="M572" s="326">
        <f>IF(ISNUMBER(SEARCH(ZAKL_DATA!$B$29,N572)),MAX($M$2:M571)+1,0)</f>
        <v>570.0</v>
      </c>
      <c r="N572" s="327" t="s">
        <v>2599</v>
      </c>
      <c r="O572" s="342" t="s">
        <v>2600</v>
      </c>
      <c r="Q572" s="329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327" t="s">
        <v>2599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327" t="s">
        <v>2599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327" t="s">
        <v>2599</v>
      </c>
      <c r="Z572" t="str">
        <f>IFERROR(VLOOKUP(ROWS($Z$3:Z572),$X$3:$Y$992,2,0),"")</f>
        <v>Ostatní zpracovatelský průmysl j. n.</v>
      </c>
    </row>
    <row r="573" spans="13:26" ht="12.75">
      <c r="M573" s="326">
        <f>IF(ISNUMBER(SEARCH(ZAKL_DATA!$B$29,N573)),MAX($M$2:M572)+1,0)</f>
        <v>571.0</v>
      </c>
      <c r="N573" s="327" t="s">
        <v>2601</v>
      </c>
      <c r="O573" s="342" t="s">
        <v>2602</v>
      </c>
      <c r="Q573" s="329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327" t="s">
        <v>2601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327" t="s">
        <v>2601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327" t="s">
        <v>2601</v>
      </c>
      <c r="Z573" t="str">
        <f>IFERROR(VLOOKUP(ROWS($Z$3:Z573),$X$3:$Y$992,2,0),"")</f>
        <v>Opravy kovodělných výrobků</v>
      </c>
    </row>
    <row r="574" spans="13:26" ht="12.75">
      <c r="M574" s="326">
        <f>IF(ISNUMBER(SEARCH(ZAKL_DATA!$B$29,N574)),MAX($M$2:M573)+1,0)</f>
        <v>572.0</v>
      </c>
      <c r="N574" s="327" t="s">
        <v>2603</v>
      </c>
      <c r="O574" s="342" t="s">
        <v>2604</v>
      </c>
      <c r="Q574" s="329" t="str">
        <f>IFERROR(VLOOKUP(ROWS($Q$3:Q574),$M$3:$N$992,2,0),"")</f>
        <v>Opravy strojů</v>
      </c>
      <c r="R574">
        <f>IF(ISNUMBER(SEARCH('1Př1'!$A$32,N574)),MAX($M$2:M573)+1,0)</f>
        <v>572.0</v>
      </c>
      <c r="S574" s="327" t="s">
        <v>2603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327" t="s">
        <v>2603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327" t="s">
        <v>2603</v>
      </c>
      <c r="Z574" t="str">
        <f>IFERROR(VLOOKUP(ROWS($Z$3:Z574),$X$3:$Y$992,2,0),"")</f>
        <v>Opravy strojů</v>
      </c>
    </row>
    <row r="575" spans="13:26" ht="12.75">
      <c r="M575" s="326">
        <f>IF(ISNUMBER(SEARCH(ZAKL_DATA!$B$29,N575)),MAX($M$2:M574)+1,0)</f>
        <v>573.0</v>
      </c>
      <c r="N575" s="327" t="s">
        <v>2605</v>
      </c>
      <c r="O575" s="342" t="s">
        <v>2606</v>
      </c>
      <c r="Q575" s="329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327" t="s">
        <v>2605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327" t="s">
        <v>2605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327" t="s">
        <v>2605</v>
      </c>
      <c r="Z575" t="str">
        <f>IFERROR(VLOOKUP(ROWS($Z$3:Z575),$X$3:$Y$992,2,0),"")</f>
        <v>Opravy elektronických a optických přístrojů a zařízení</v>
      </c>
    </row>
    <row r="576" spans="13:26" ht="12.75">
      <c r="M576" s="326">
        <f>IF(ISNUMBER(SEARCH(ZAKL_DATA!$B$29,N576)),MAX($M$2:M575)+1,0)</f>
        <v>574.0</v>
      </c>
      <c r="N576" s="327" t="s">
        <v>2607</v>
      </c>
      <c r="O576" s="342" t="s">
        <v>2608</v>
      </c>
      <c r="Q576" s="329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327" t="s">
        <v>2607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327" t="s">
        <v>2607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327" t="s">
        <v>2607</v>
      </c>
      <c r="Z576" t="str">
        <f>IFERROR(VLOOKUP(ROWS($Z$3:Z576),$X$3:$Y$992,2,0),"")</f>
        <v>Opravy elektrických zařízen</v>
      </c>
    </row>
    <row r="577" spans="13:26" ht="12.75">
      <c r="M577" s="326">
        <f>IF(ISNUMBER(SEARCH(ZAKL_DATA!$B$29,N577)),MAX($M$2:M576)+1,0)</f>
        <v>575.0</v>
      </c>
      <c r="N577" s="327" t="s">
        <v>2609</v>
      </c>
      <c r="O577" s="342" t="s">
        <v>2610</v>
      </c>
      <c r="Q577" s="329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327" t="s">
        <v>2609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327" t="s">
        <v>2609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327" t="s">
        <v>2609</v>
      </c>
      <c r="Z577" t="str">
        <f>IFERROR(VLOOKUP(ROWS($Z$3:Z577),$X$3:$Y$992,2,0),"")</f>
        <v>Opravy a údržba lodí a člunů</v>
      </c>
    </row>
    <row r="578" spans="13:26" ht="12.75">
      <c r="M578" s="326">
        <f>IF(ISNUMBER(SEARCH(ZAKL_DATA!$B$29,N578)),MAX($M$2:M577)+1,0)</f>
        <v>576.0</v>
      </c>
      <c r="N578" s="327" t="s">
        <v>2611</v>
      </c>
      <c r="O578" s="342" t="s">
        <v>2612</v>
      </c>
      <c r="Q578" s="329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327" t="s">
        <v>2611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327" t="s">
        <v>2611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327" t="s">
        <v>2611</v>
      </c>
      <c r="Z578" t="str">
        <f>IFERROR(VLOOKUP(ROWS($Z$3:Z578),$X$3:$Y$992,2,0),"")</f>
        <v>Opravy a údržba letadel a kosmických lodí</v>
      </c>
    </row>
    <row r="579" spans="13:26" ht="12.75">
      <c r="M579" s="326">
        <f>IF(ISNUMBER(SEARCH(ZAKL_DATA!$B$29,N579)),MAX($M$2:M578)+1,0)</f>
        <v>577.0</v>
      </c>
      <c r="N579" s="327" t="s">
        <v>2613</v>
      </c>
      <c r="O579" s="342" t="s">
        <v>2614</v>
      </c>
      <c r="Q579" s="329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327" t="s">
        <v>2613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327" t="s">
        <v>2613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327" t="s">
        <v>2613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26">
        <f>IF(ISNUMBER(SEARCH(ZAKL_DATA!$B$29,N580)),MAX($M$2:M579)+1,0)</f>
        <v>578.0</v>
      </c>
      <c r="N580" s="327" t="s">
        <v>2615</v>
      </c>
      <c r="O580" s="342" t="s">
        <v>2616</v>
      </c>
      <c r="Q580" s="329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327" t="s">
        <v>2615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327" t="s">
        <v>2615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327" t="s">
        <v>2615</v>
      </c>
      <c r="Z580" t="str">
        <f>IFERROR(VLOOKUP(ROWS($Z$3:Z580),$X$3:$Y$992,2,0),"")</f>
        <v>Opravy ostatních zařízení</v>
      </c>
    </row>
    <row r="581" spans="13:26" ht="12.75">
      <c r="M581" s="326">
        <f>IF(ISNUMBER(SEARCH(ZAKL_DATA!$B$29,N581)),MAX($M$2:M580)+1,0)</f>
        <v>579.0</v>
      </c>
      <c r="N581" s="327" t="s">
        <v>2617</v>
      </c>
      <c r="O581" s="342" t="s">
        <v>2618</v>
      </c>
      <c r="Q581" s="329" t="str">
        <f>IFERROR(VLOOKUP(ROWS($Q$3:Q581),$M$3:$N$992,2,0),"")</f>
        <v>Výroba elektřiny</v>
      </c>
      <c r="R581">
        <f>IF(ISNUMBER(SEARCH('1Př1'!$A$32,N581)),MAX($M$2:M580)+1,0)</f>
        <v>579.0</v>
      </c>
      <c r="S581" s="327" t="s">
        <v>2617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327" t="s">
        <v>2617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327" t="s">
        <v>2617</v>
      </c>
      <c r="Z581" t="str">
        <f>IFERROR(VLOOKUP(ROWS($Z$3:Z581),$X$3:$Y$992,2,0),"")</f>
        <v>Výroba elektřiny</v>
      </c>
    </row>
    <row r="582" spans="13:26" ht="12.75">
      <c r="M582" s="326">
        <f>IF(ISNUMBER(SEARCH(ZAKL_DATA!$B$29,N582)),MAX($M$2:M581)+1,0)</f>
        <v>580.0</v>
      </c>
      <c r="N582" s="327" t="s">
        <v>2619</v>
      </c>
      <c r="O582" s="342" t="s">
        <v>2620</v>
      </c>
      <c r="Q582" s="329" t="str">
        <f>IFERROR(VLOOKUP(ROWS($Q$3:Q582),$M$3:$N$992,2,0),"")</f>
        <v>Přenos elektřiny</v>
      </c>
      <c r="R582">
        <f>IF(ISNUMBER(SEARCH('1Př1'!$A$32,N582)),MAX($M$2:M581)+1,0)</f>
        <v>580.0</v>
      </c>
      <c r="S582" s="327" t="s">
        <v>2619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327" t="s">
        <v>2619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327" t="s">
        <v>2619</v>
      </c>
      <c r="Z582" t="str">
        <f>IFERROR(VLOOKUP(ROWS($Z$3:Z582),$X$3:$Y$992,2,0),"")</f>
        <v>Přenos elektřiny</v>
      </c>
    </row>
    <row r="583" spans="13:26" ht="12.75">
      <c r="M583" s="326">
        <f>IF(ISNUMBER(SEARCH(ZAKL_DATA!$B$29,N583)),MAX($M$2:M582)+1,0)</f>
        <v>581.0</v>
      </c>
      <c r="N583" s="327" t="s">
        <v>2621</v>
      </c>
      <c r="O583" s="342" t="s">
        <v>2622</v>
      </c>
      <c r="Q583" s="329" t="str">
        <f>IFERROR(VLOOKUP(ROWS($Q$3:Q583),$M$3:$N$992,2,0),"")</f>
        <v>Rozvod elektřiny</v>
      </c>
      <c r="R583">
        <f>IF(ISNUMBER(SEARCH('1Př1'!$A$32,N583)),MAX($M$2:M582)+1,0)</f>
        <v>581.0</v>
      </c>
      <c r="S583" s="327" t="s">
        <v>2621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327" t="s">
        <v>2621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327" t="s">
        <v>2621</v>
      </c>
      <c r="Z583" t="str">
        <f>IFERROR(VLOOKUP(ROWS($Z$3:Z583),$X$3:$Y$992,2,0),"")</f>
        <v>Rozvod elektřiny</v>
      </c>
    </row>
    <row r="584" spans="13:26" ht="12.75">
      <c r="M584" s="326">
        <f>IF(ISNUMBER(SEARCH(ZAKL_DATA!$B$29,N584)),MAX($M$2:M583)+1,0)</f>
        <v>582.0</v>
      </c>
      <c r="N584" s="327" t="s">
        <v>2623</v>
      </c>
      <c r="O584" s="342" t="s">
        <v>2624</v>
      </c>
      <c r="Q584" s="329" t="str">
        <f>IFERROR(VLOOKUP(ROWS($Q$3:Q584),$M$3:$N$992,2,0),"")</f>
        <v>Obchod s elektřinou</v>
      </c>
      <c r="R584">
        <f>IF(ISNUMBER(SEARCH('1Př1'!$A$32,N584)),MAX($M$2:M583)+1,0)</f>
        <v>582.0</v>
      </c>
      <c r="S584" s="327" t="s">
        <v>2623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327" t="s">
        <v>2623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327" t="s">
        <v>2623</v>
      </c>
      <c r="Z584" t="str">
        <f>IFERROR(VLOOKUP(ROWS($Z$3:Z584),$X$3:$Y$992,2,0),"")</f>
        <v>Obchod s elektřinou</v>
      </c>
    </row>
    <row r="585" spans="13:26" ht="12.75">
      <c r="M585" s="326">
        <f>IF(ISNUMBER(SEARCH(ZAKL_DATA!$B$29,N585)),MAX($M$2:M584)+1,0)</f>
        <v>583.0</v>
      </c>
      <c r="N585" s="327" t="s">
        <v>2625</v>
      </c>
      <c r="O585" s="342" t="s">
        <v>2626</v>
      </c>
      <c r="Q585" s="329" t="str">
        <f>IFERROR(VLOOKUP(ROWS($Q$3:Q585),$M$3:$N$992,2,0),"")</f>
        <v>Výroba plynu</v>
      </c>
      <c r="R585">
        <f>IF(ISNUMBER(SEARCH('1Př1'!$A$32,N585)),MAX($M$2:M584)+1,0)</f>
        <v>583.0</v>
      </c>
      <c r="S585" s="327" t="s">
        <v>2625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327" t="s">
        <v>2625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327" t="s">
        <v>2625</v>
      </c>
      <c r="Z585" t="str">
        <f>IFERROR(VLOOKUP(ROWS($Z$3:Z585),$X$3:$Y$992,2,0),"")</f>
        <v>Výroba plynu</v>
      </c>
    </row>
    <row r="586" spans="13:26" ht="12.75">
      <c r="M586" s="326">
        <f>IF(ISNUMBER(SEARCH(ZAKL_DATA!$B$29,N586)),MAX($M$2:M585)+1,0)</f>
        <v>584.0</v>
      </c>
      <c r="N586" s="327" t="s">
        <v>2627</v>
      </c>
      <c r="O586" s="342" t="s">
        <v>2628</v>
      </c>
      <c r="Q586" s="329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327" t="s">
        <v>2627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327" t="s">
        <v>2627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327" t="s">
        <v>2627</v>
      </c>
      <c r="Z586" t="str">
        <f>IFERROR(VLOOKUP(ROWS($Z$3:Z586),$X$3:$Y$992,2,0),"")</f>
        <v>Rozvod plynných paliv prostřednictvím sítí</v>
      </c>
    </row>
    <row r="587" spans="13:26" ht="12.75">
      <c r="M587" s="326">
        <f>IF(ISNUMBER(SEARCH(ZAKL_DATA!$B$29,N587)),MAX($M$2:M586)+1,0)</f>
        <v>585.0</v>
      </c>
      <c r="N587" s="327" t="s">
        <v>2629</v>
      </c>
      <c r="O587" s="342" t="s">
        <v>2630</v>
      </c>
      <c r="Q587" s="329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327" t="s">
        <v>2629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327" t="s">
        <v>2629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327" t="s">
        <v>2629</v>
      </c>
      <c r="Z587" t="str">
        <f>IFERROR(VLOOKUP(ROWS($Z$3:Z587),$X$3:$Y$992,2,0),"")</f>
        <v>Obchod s plynem prostřednictvím sítí</v>
      </c>
    </row>
    <row r="588" spans="13:26" ht="12.75">
      <c r="M588" s="326">
        <f>IF(ISNUMBER(SEARCH(ZAKL_DATA!$B$29,N588)),MAX($M$2:M587)+1,0)</f>
        <v>586.0</v>
      </c>
      <c r="N588" s="327" t="s">
        <v>2631</v>
      </c>
      <c r="O588" s="342" t="s">
        <v>2632</v>
      </c>
      <c r="Q588" s="329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327" t="s">
        <v>2631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327" t="s">
        <v>2631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327" t="s">
        <v>2631</v>
      </c>
      <c r="Z588" t="str">
        <f>IFERROR(VLOOKUP(ROWS($Z$3:Z588),$X$3:$Y$992,2,0),"")</f>
        <v>Shromažďování a sběr odpadů, kromě nebezpečných</v>
      </c>
    </row>
    <row r="589" spans="13:26" ht="12.75">
      <c r="M589" s="326">
        <f>IF(ISNUMBER(SEARCH(ZAKL_DATA!$B$29,N589)),MAX($M$2:M588)+1,0)</f>
        <v>587.0</v>
      </c>
      <c r="N589" s="327" t="s">
        <v>2633</v>
      </c>
      <c r="O589" s="342" t="s">
        <v>2634</v>
      </c>
      <c r="Q589" s="329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327" t="s">
        <v>2633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327" t="s">
        <v>2633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327" t="s">
        <v>2633</v>
      </c>
      <c r="Z589" t="str">
        <f>IFERROR(VLOOKUP(ROWS($Z$3:Z589),$X$3:$Y$992,2,0),"")</f>
        <v>Shromažďování a sběr nebezpečných odpadů</v>
      </c>
    </row>
    <row r="590" spans="13:26" ht="12.75">
      <c r="M590" s="326">
        <f>IF(ISNUMBER(SEARCH(ZAKL_DATA!$B$29,N590)),MAX($M$2:M589)+1,0)</f>
        <v>588.0</v>
      </c>
      <c r="N590" s="327" t="s">
        <v>2635</v>
      </c>
      <c r="O590" s="342" t="s">
        <v>2636</v>
      </c>
      <c r="Q590" s="329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327" t="s">
        <v>2635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327" t="s">
        <v>2635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327" t="s">
        <v>2635</v>
      </c>
      <c r="Z590" t="str">
        <f>IFERROR(VLOOKUP(ROWS($Z$3:Z590),$X$3:$Y$992,2,0),"")</f>
        <v>Odstraňování odpadů, kromě nebezpečných</v>
      </c>
    </row>
    <row r="591" spans="13:26" ht="12.75">
      <c r="M591" s="326">
        <f>IF(ISNUMBER(SEARCH(ZAKL_DATA!$B$29,N591)),MAX($M$2:M590)+1,0)</f>
        <v>589.0</v>
      </c>
      <c r="N591" s="327" t="s">
        <v>2637</v>
      </c>
      <c r="O591" s="342" t="s">
        <v>2638</v>
      </c>
      <c r="Q591" s="329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327" t="s">
        <v>2637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327" t="s">
        <v>2637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327" t="s">
        <v>2637</v>
      </c>
      <c r="Z591" t="str">
        <f>IFERROR(VLOOKUP(ROWS($Z$3:Z591),$X$3:$Y$992,2,0),"")</f>
        <v>Odstraňování nebezpečných odpadů</v>
      </c>
    </row>
    <row r="592" spans="13:26" ht="12.75">
      <c r="M592" s="326">
        <f>IF(ISNUMBER(SEARCH(ZAKL_DATA!$B$29,N592)),MAX($M$2:M591)+1,0)</f>
        <v>590.0</v>
      </c>
      <c r="N592" s="327" t="s">
        <v>2639</v>
      </c>
      <c r="O592" s="342" t="s">
        <v>2640</v>
      </c>
      <c r="Q592" s="329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327" t="s">
        <v>2639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327" t="s">
        <v>2639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327" t="s">
        <v>2639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26">
        <f>IF(ISNUMBER(SEARCH(ZAKL_DATA!$B$29,N593)),MAX($M$2:M592)+1,0)</f>
        <v>591.0</v>
      </c>
      <c r="N593" s="327" t="s">
        <v>2641</v>
      </c>
      <c r="O593" s="342" t="s">
        <v>2642</v>
      </c>
      <c r="Q593" s="329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327" t="s">
        <v>2641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327" t="s">
        <v>2641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327" t="s">
        <v>2641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26">
        <f>IF(ISNUMBER(SEARCH(ZAKL_DATA!$B$29,N594)),MAX($M$2:M593)+1,0)</f>
        <v>592.0</v>
      </c>
      <c r="N594" s="327" t="s">
        <v>2643</v>
      </c>
      <c r="O594" s="342" t="s">
        <v>1932</v>
      </c>
      <c r="Q594" s="329" t="str">
        <f>IFERROR(VLOOKUP(ROWS($Q$3:Q594),$M$3:$N$992,2,0),"")</f>
        <v>Výstavba bytových budov</v>
      </c>
      <c r="R594">
        <f>IF(ISNUMBER(SEARCH('1Př1'!$A$32,N594)),MAX($M$2:M593)+1,0)</f>
        <v>592.0</v>
      </c>
      <c r="S594" s="327" t="s">
        <v>2643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327" t="s">
        <v>2643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327" t="s">
        <v>2643</v>
      </c>
      <c r="Z594" t="str">
        <f>IFERROR(VLOOKUP(ROWS($Z$3:Z594),$X$3:$Y$992,2,0),"")</f>
        <v>Výstavba bytových budov</v>
      </c>
    </row>
    <row r="595" spans="13:26" ht="12.75">
      <c r="M595" s="326">
        <f>IF(ISNUMBER(SEARCH(ZAKL_DATA!$B$29,N595)),MAX($M$2:M594)+1,0)</f>
        <v>593.0</v>
      </c>
      <c r="N595" s="327" t="s">
        <v>2644</v>
      </c>
      <c r="O595" s="342" t="s">
        <v>2645</v>
      </c>
      <c r="Q595" s="329" t="str">
        <f>IFERROR(VLOOKUP(ROWS($Q$3:Q595),$M$3:$N$992,2,0),"")</f>
        <v>Výstavba silnic a dálnic</v>
      </c>
      <c r="R595">
        <f>IF(ISNUMBER(SEARCH('1Př1'!$A$32,N595)),MAX($M$2:M594)+1,0)</f>
        <v>593.0</v>
      </c>
      <c r="S595" s="327" t="s">
        <v>2644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327" t="s">
        <v>2644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327" t="s">
        <v>2644</v>
      </c>
      <c r="Z595" t="str">
        <f>IFERROR(VLOOKUP(ROWS($Z$3:Z595),$X$3:$Y$992,2,0),"")</f>
        <v>Výstavba silnic a dálnic</v>
      </c>
    </row>
    <row r="596" spans="13:26" ht="12.75">
      <c r="M596" s="326">
        <f>IF(ISNUMBER(SEARCH(ZAKL_DATA!$B$29,N596)),MAX($M$2:M595)+1,0)</f>
        <v>594.0</v>
      </c>
      <c r="N596" s="327" t="s">
        <v>2646</v>
      </c>
      <c r="O596" s="342" t="s">
        <v>2647</v>
      </c>
      <c r="Q596" s="329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327" t="s">
        <v>2646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327" t="s">
        <v>2646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327" t="s">
        <v>2646</v>
      </c>
      <c r="Z596" t="str">
        <f>IFERROR(VLOOKUP(ROWS($Z$3:Z596),$X$3:$Y$992,2,0),"")</f>
        <v>Výstavba železnic a podzemních drah</v>
      </c>
    </row>
    <row r="597" spans="13:26" ht="12.75">
      <c r="M597" s="326">
        <f>IF(ISNUMBER(SEARCH(ZAKL_DATA!$B$29,N597)),MAX($M$2:M596)+1,0)</f>
        <v>595.0</v>
      </c>
      <c r="N597" s="327" t="s">
        <v>2648</v>
      </c>
      <c r="O597" s="342" t="s">
        <v>2649</v>
      </c>
      <c r="Q597" s="329" t="str">
        <f>IFERROR(VLOOKUP(ROWS($Q$3:Q597),$M$3:$N$992,2,0),"")</f>
        <v>Výstavba mostů a tunelů</v>
      </c>
      <c r="R597">
        <f>IF(ISNUMBER(SEARCH('1Př1'!$A$32,N597)),MAX($M$2:M596)+1,0)</f>
        <v>595.0</v>
      </c>
      <c r="S597" s="327" t="s">
        <v>2648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327" t="s">
        <v>2648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327" t="s">
        <v>2648</v>
      </c>
      <c r="Z597" t="str">
        <f>IFERROR(VLOOKUP(ROWS($Z$3:Z597),$X$3:$Y$992,2,0),"")</f>
        <v>Výstavba mostů a tunelů</v>
      </c>
    </row>
    <row r="598" spans="13:26" ht="12.75">
      <c r="M598" s="326">
        <f>IF(ISNUMBER(SEARCH(ZAKL_DATA!$B$29,N598)),MAX($M$2:M597)+1,0)</f>
        <v>596.0</v>
      </c>
      <c r="N598" s="327" t="s">
        <v>2650</v>
      </c>
      <c r="O598" s="342" t="s">
        <v>2651</v>
      </c>
      <c r="Q598" s="329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327" t="s">
        <v>2650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327" t="s">
        <v>2650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327" t="s">
        <v>2650</v>
      </c>
      <c r="Z598" t="str">
        <f>IFERROR(VLOOKUP(ROWS($Z$3:Z598),$X$3:$Y$992,2,0),"")</f>
        <v>Výstavba inženýrských sítí pro kapaliny a plyny</v>
      </c>
    </row>
    <row r="599" spans="13:26" ht="12.75">
      <c r="M599" s="326">
        <f>IF(ISNUMBER(SEARCH(ZAKL_DATA!$B$29,N599)),MAX($M$2:M598)+1,0)</f>
        <v>597.0</v>
      </c>
      <c r="N599" s="327" t="s">
        <v>2652</v>
      </c>
      <c r="O599" s="342" t="s">
        <v>2653</v>
      </c>
      <c r="Q599" s="329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327" t="s">
        <v>2652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327" t="s">
        <v>2652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327" t="s">
        <v>2652</v>
      </c>
      <c r="Z599" t="str">
        <f>IFERROR(VLOOKUP(ROWS($Z$3:Z599),$X$3:$Y$992,2,0),"")</f>
        <v>Výstavba inženýrských sítí pro elektřinu a telekomunikace</v>
      </c>
    </row>
    <row r="600" spans="13:26" ht="12.75">
      <c r="M600" s="326">
        <f>IF(ISNUMBER(SEARCH(ZAKL_DATA!$B$29,N600)),MAX($M$2:M599)+1,0)</f>
        <v>598.0</v>
      </c>
      <c r="N600" s="327" t="s">
        <v>2654</v>
      </c>
      <c r="O600" s="342" t="s">
        <v>2655</v>
      </c>
      <c r="Q600" s="329" t="str">
        <f>IFERROR(VLOOKUP(ROWS($Q$3:Q600),$M$3:$N$992,2,0),"")</f>
        <v>Výstavba vodních děl</v>
      </c>
      <c r="R600">
        <f>IF(ISNUMBER(SEARCH('1Př1'!$A$32,N600)),MAX($M$2:M599)+1,0)</f>
        <v>598.0</v>
      </c>
      <c r="S600" s="327" t="s">
        <v>2654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327" t="s">
        <v>2654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327" t="s">
        <v>2654</v>
      </c>
      <c r="Z600" t="str">
        <f>IFERROR(VLOOKUP(ROWS($Z$3:Z600),$X$3:$Y$992,2,0),"")</f>
        <v>Výstavba vodních děl</v>
      </c>
    </row>
    <row r="601" spans="13:26" ht="12.75">
      <c r="M601" s="326">
        <f>IF(ISNUMBER(SEARCH(ZAKL_DATA!$B$29,N601)),MAX($M$2:M600)+1,0)</f>
        <v>599.0</v>
      </c>
      <c r="N601" s="327" t="s">
        <v>2656</v>
      </c>
      <c r="O601" s="342" t="s">
        <v>2657</v>
      </c>
      <c r="Q601" s="329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327" t="s">
        <v>2656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327" t="s">
        <v>2656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327" t="s">
        <v>2656</v>
      </c>
      <c r="Z601" t="str">
        <f>IFERROR(VLOOKUP(ROWS($Z$3:Z601),$X$3:$Y$992,2,0),"")</f>
        <v>Výstavba ostatních staveb j. n.</v>
      </c>
    </row>
    <row r="602" spans="13:26" ht="12.75">
      <c r="M602" s="326">
        <f>IF(ISNUMBER(SEARCH(ZAKL_DATA!$B$29,N602)),MAX($M$2:M601)+1,0)</f>
        <v>600.0</v>
      </c>
      <c r="N602" s="327" t="s">
        <v>2658</v>
      </c>
      <c r="O602" s="342" t="s">
        <v>2659</v>
      </c>
      <c r="Q602" s="329" t="str">
        <f>IFERROR(VLOOKUP(ROWS($Q$3:Q602),$M$3:$N$992,2,0),"")</f>
        <v>Demolice</v>
      </c>
      <c r="R602">
        <f>IF(ISNUMBER(SEARCH('1Př1'!$A$32,N602)),MAX($M$2:M601)+1,0)</f>
        <v>600.0</v>
      </c>
      <c r="S602" s="327" t="s">
        <v>2658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327" t="s">
        <v>2658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327" t="s">
        <v>2658</v>
      </c>
      <c r="Z602" t="str">
        <f>IFERROR(VLOOKUP(ROWS($Z$3:Z602),$X$3:$Y$992,2,0),"")</f>
        <v>Demolice</v>
      </c>
    </row>
    <row r="603" spans="13:26" ht="12.75">
      <c r="M603" s="326">
        <f>IF(ISNUMBER(SEARCH(ZAKL_DATA!$B$29,N603)),MAX($M$2:M602)+1,0)</f>
        <v>601.0</v>
      </c>
      <c r="N603" s="327" t="s">
        <v>2660</v>
      </c>
      <c r="O603" s="342" t="s">
        <v>2661</v>
      </c>
      <c r="Q603" s="329" t="str">
        <f>IFERROR(VLOOKUP(ROWS($Q$3:Q603),$M$3:$N$992,2,0),"")</f>
        <v>Příprava staveniště</v>
      </c>
      <c r="R603">
        <f>IF(ISNUMBER(SEARCH('1Př1'!$A$32,N603)),MAX($M$2:M602)+1,0)</f>
        <v>601.0</v>
      </c>
      <c r="S603" s="327" t="s">
        <v>2660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327" t="s">
        <v>2660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327" t="s">
        <v>2660</v>
      </c>
      <c r="Z603" t="str">
        <f>IFERROR(VLOOKUP(ROWS($Z$3:Z603),$X$3:$Y$992,2,0),"")</f>
        <v>Příprava staveniště</v>
      </c>
    </row>
    <row r="604" spans="13:26" ht="12.75">
      <c r="M604" s="326">
        <f>IF(ISNUMBER(SEARCH(ZAKL_DATA!$B$29,N604)),MAX($M$2:M603)+1,0)</f>
        <v>602.0</v>
      </c>
      <c r="N604" s="327" t="s">
        <v>2662</v>
      </c>
      <c r="O604" s="342" t="s">
        <v>2663</v>
      </c>
      <c r="Q604" s="329" t="str">
        <f>IFERROR(VLOOKUP(ROWS($Q$3:Q604),$M$3:$N$992,2,0),"")</f>
        <v>Průzkumné vrtné práce</v>
      </c>
      <c r="R604">
        <f>IF(ISNUMBER(SEARCH('1Př1'!$A$32,N604)),MAX($M$2:M603)+1,0)</f>
        <v>602.0</v>
      </c>
      <c r="S604" s="327" t="s">
        <v>2662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327" t="s">
        <v>2662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327" t="s">
        <v>2662</v>
      </c>
      <c r="Z604" t="str">
        <f>IFERROR(VLOOKUP(ROWS($Z$3:Z604),$X$3:$Y$992,2,0),"")</f>
        <v>Průzkumné vrtné práce</v>
      </c>
    </row>
    <row r="605" spans="13:26" ht="12.75">
      <c r="M605" s="326">
        <f>IF(ISNUMBER(SEARCH(ZAKL_DATA!$B$29,N605)),MAX($M$2:M604)+1,0)</f>
        <v>603.0</v>
      </c>
      <c r="N605" s="327" t="s">
        <v>2664</v>
      </c>
      <c r="O605" s="342" t="s">
        <v>2665</v>
      </c>
      <c r="Q605" s="329" t="str">
        <f>IFERROR(VLOOKUP(ROWS($Q$3:Q605),$M$3:$N$992,2,0),"")</f>
        <v>Elektrické instalace</v>
      </c>
      <c r="R605">
        <f>IF(ISNUMBER(SEARCH('1Př1'!$A$32,N605)),MAX($M$2:M604)+1,0)</f>
        <v>603.0</v>
      </c>
      <c r="S605" s="327" t="s">
        <v>2664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327" t="s">
        <v>2664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327" t="s">
        <v>2664</v>
      </c>
      <c r="Z605" t="str">
        <f>IFERROR(VLOOKUP(ROWS($Z$3:Z605),$X$3:$Y$992,2,0),"")</f>
        <v>Elektrické instalace</v>
      </c>
    </row>
    <row r="606" spans="13:26" ht="12.75">
      <c r="M606" s="326">
        <f>IF(ISNUMBER(SEARCH(ZAKL_DATA!$B$29,N606)),MAX($M$2:M605)+1,0)</f>
        <v>604.0</v>
      </c>
      <c r="N606" s="327" t="s">
        <v>2666</v>
      </c>
      <c r="O606" s="342" t="s">
        <v>2667</v>
      </c>
      <c r="Q606" s="329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327" t="s">
        <v>2666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327" t="s">
        <v>2666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327" t="s">
        <v>2666</v>
      </c>
      <c r="Z606" t="str">
        <f>IFERROR(VLOOKUP(ROWS($Z$3:Z606),$X$3:$Y$992,2,0),"")</f>
        <v>Instalace vody, odpadu, plynu, topení a klimatizace</v>
      </c>
    </row>
    <row r="607" spans="13:26" ht="12.75">
      <c r="M607" s="326">
        <f>IF(ISNUMBER(SEARCH(ZAKL_DATA!$B$29,N607)),MAX($M$2:M606)+1,0)</f>
        <v>605.0</v>
      </c>
      <c r="N607" s="327" t="s">
        <v>2668</v>
      </c>
      <c r="O607" s="342" t="s">
        <v>2669</v>
      </c>
      <c r="Q607" s="329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327" t="s">
        <v>2668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327" t="s">
        <v>2668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327" t="s">
        <v>2668</v>
      </c>
      <c r="Z607" t="str">
        <f>IFERROR(VLOOKUP(ROWS($Z$3:Z607),$X$3:$Y$992,2,0),"")</f>
        <v>Ostatní stavební instalace</v>
      </c>
    </row>
    <row r="608" spans="13:26" ht="12.75">
      <c r="M608" s="326">
        <f>IF(ISNUMBER(SEARCH(ZAKL_DATA!$B$29,N608)),MAX($M$2:M607)+1,0)</f>
        <v>606.0</v>
      </c>
      <c r="N608" s="327" t="s">
        <v>2670</v>
      </c>
      <c r="O608" s="342" t="s">
        <v>2671</v>
      </c>
      <c r="Q608" s="329" t="str">
        <f>IFERROR(VLOOKUP(ROWS($Q$3:Q608),$M$3:$N$992,2,0),"")</f>
        <v>Omítkářské práce</v>
      </c>
      <c r="R608">
        <f>IF(ISNUMBER(SEARCH('1Př1'!$A$32,N608)),MAX($M$2:M607)+1,0)</f>
        <v>606.0</v>
      </c>
      <c r="S608" s="327" t="s">
        <v>2670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327" t="s">
        <v>2670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327" t="s">
        <v>2670</v>
      </c>
      <c r="Z608" t="str">
        <f>IFERROR(VLOOKUP(ROWS($Z$3:Z608),$X$3:$Y$992,2,0),"")</f>
        <v>Omítkářské práce</v>
      </c>
    </row>
    <row r="609" spans="13:26" ht="12.75">
      <c r="M609" s="326">
        <f>IF(ISNUMBER(SEARCH(ZAKL_DATA!$B$29,N609)),MAX($M$2:M608)+1,0)</f>
        <v>607.0</v>
      </c>
      <c r="N609" s="327" t="s">
        <v>2672</v>
      </c>
      <c r="O609" s="342" t="s">
        <v>2673</v>
      </c>
      <c r="Q609" s="329" t="str">
        <f>IFERROR(VLOOKUP(ROWS($Q$3:Q609),$M$3:$N$992,2,0),"")</f>
        <v>Truhlářské práce</v>
      </c>
      <c r="R609">
        <f>IF(ISNUMBER(SEARCH('1Př1'!$A$32,N609)),MAX($M$2:M608)+1,0)</f>
        <v>607.0</v>
      </c>
      <c r="S609" s="327" t="s">
        <v>2672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327" t="s">
        <v>2672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327" t="s">
        <v>2672</v>
      </c>
      <c r="Z609" t="str">
        <f>IFERROR(VLOOKUP(ROWS($Z$3:Z609),$X$3:$Y$992,2,0),"")</f>
        <v>Truhlářské práce</v>
      </c>
    </row>
    <row r="610" spans="13:26" ht="12.75">
      <c r="M610" s="326">
        <f>IF(ISNUMBER(SEARCH(ZAKL_DATA!$B$29,N610)),MAX($M$2:M609)+1,0)</f>
        <v>608.0</v>
      </c>
      <c r="N610" s="327" t="s">
        <v>2674</v>
      </c>
      <c r="O610" s="342" t="s">
        <v>2675</v>
      </c>
      <c r="Q610" s="329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327" t="s">
        <v>2674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327" t="s">
        <v>2674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327" t="s">
        <v>2674</v>
      </c>
      <c r="Z610" t="str">
        <f>IFERROR(VLOOKUP(ROWS($Z$3:Z610),$X$3:$Y$992,2,0),"")</f>
        <v>Obkládání stěn a pokládání podlahových krytin</v>
      </c>
    </row>
    <row r="611" spans="13:26" ht="12.75">
      <c r="M611" s="326">
        <f>IF(ISNUMBER(SEARCH(ZAKL_DATA!$B$29,N611)),MAX($M$2:M610)+1,0)</f>
        <v>609.0</v>
      </c>
      <c r="N611" s="327" t="s">
        <v>2676</v>
      </c>
      <c r="O611" s="342" t="s">
        <v>2677</v>
      </c>
      <c r="Q611" s="329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327" t="s">
        <v>2676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327" t="s">
        <v>2676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327" t="s">
        <v>2676</v>
      </c>
      <c r="Z611" t="str">
        <f>IFERROR(VLOOKUP(ROWS($Z$3:Z611),$X$3:$Y$992,2,0),"")</f>
        <v>Sklenářské, malířské a natěračské práce</v>
      </c>
    </row>
    <row r="612" spans="13:26" ht="12.75">
      <c r="M612" s="326">
        <f>IF(ISNUMBER(SEARCH(ZAKL_DATA!$B$29,N612)),MAX($M$2:M611)+1,0)</f>
        <v>610.0</v>
      </c>
      <c r="N612" s="327" t="s">
        <v>2678</v>
      </c>
      <c r="O612" s="342" t="s">
        <v>2679</v>
      </c>
      <c r="Q612" s="329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327" t="s">
        <v>2678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327" t="s">
        <v>2678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327" t="s">
        <v>2678</v>
      </c>
      <c r="Z612" t="str">
        <f>IFERROR(VLOOKUP(ROWS($Z$3:Z612),$X$3:$Y$992,2,0),"")</f>
        <v>Ostatní kompletační a dokončovací práce</v>
      </c>
    </row>
    <row r="613" spans="13:26" ht="12.75">
      <c r="M613" s="326">
        <f>IF(ISNUMBER(SEARCH(ZAKL_DATA!$B$29,N613)),MAX($M$2:M612)+1,0)</f>
        <v>611.0</v>
      </c>
      <c r="N613" s="327" t="s">
        <v>2680</v>
      </c>
      <c r="O613" s="342" t="s">
        <v>2681</v>
      </c>
      <c r="Q613" s="329" t="str">
        <f>IFERROR(VLOOKUP(ROWS($Q$3:Q613),$M$3:$N$992,2,0),"")</f>
        <v>Pokrývačské práce</v>
      </c>
      <c r="R613">
        <f>IF(ISNUMBER(SEARCH('1Př1'!$A$32,N613)),MAX($M$2:M612)+1,0)</f>
        <v>611.0</v>
      </c>
      <c r="S613" s="327" t="s">
        <v>2680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327" t="s">
        <v>2680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327" t="s">
        <v>2680</v>
      </c>
      <c r="Z613" t="str">
        <f>IFERROR(VLOOKUP(ROWS($Z$3:Z613),$X$3:$Y$992,2,0),"")</f>
        <v>Pokrývačské práce</v>
      </c>
    </row>
    <row r="614" spans="13:26" ht="12.75">
      <c r="M614" s="326">
        <f>IF(ISNUMBER(SEARCH(ZAKL_DATA!$B$29,N614)),MAX($M$2:M613)+1,0)</f>
        <v>612.0</v>
      </c>
      <c r="N614" s="327" t="s">
        <v>2682</v>
      </c>
      <c r="O614" s="342" t="s">
        <v>2683</v>
      </c>
      <c r="Q614" s="329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327" t="s">
        <v>2682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327" t="s">
        <v>2682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327" t="s">
        <v>2682</v>
      </c>
      <c r="Z614" t="str">
        <f>IFERROR(VLOOKUP(ROWS($Z$3:Z614),$X$3:$Y$992,2,0),"")</f>
        <v>Ostatní specializované stavební činnosti j. n.</v>
      </c>
    </row>
    <row r="615" spans="13:26" ht="12.75">
      <c r="M615" s="326">
        <f>IF(ISNUMBER(SEARCH(ZAKL_DATA!$B$29,N615)),MAX($M$2:M614)+1,0)</f>
        <v>613.0</v>
      </c>
      <c r="N615" s="327" t="s">
        <v>2684</v>
      </c>
      <c r="O615" s="342" t="s">
        <v>2685</v>
      </c>
      <c r="Q615" s="329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327" t="s">
        <v>2684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327" t="s">
        <v>2684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327" t="s">
        <v>2684</v>
      </c>
      <c r="Z615" t="str">
        <f>IFERROR(VLOOKUP(ROWS($Z$3:Z615),$X$3:$Y$992,2,0),"")</f>
        <v>Obchod s automobily a jinými lehkými motorovými vozidly</v>
      </c>
    </row>
    <row r="616" spans="13:26" ht="12.75">
      <c r="M616" s="326">
        <f>IF(ISNUMBER(SEARCH(ZAKL_DATA!$B$29,N616)),MAX($M$2:M615)+1,0)</f>
        <v>614.0</v>
      </c>
      <c r="N616" s="327" t="s">
        <v>2686</v>
      </c>
      <c r="O616" s="342" t="s">
        <v>2687</v>
      </c>
      <c r="Q616" s="329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327" t="s">
        <v>2686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327" t="s">
        <v>2686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327" t="s">
        <v>2686</v>
      </c>
      <c r="Z616" t="str">
        <f>IFERROR(VLOOKUP(ROWS($Z$3:Z616),$X$3:$Y$992,2,0),"")</f>
        <v>Obchod s ostatními motorovými vozidly, kromě motocyklů</v>
      </c>
    </row>
    <row r="617" spans="13:26" ht="12.75">
      <c r="M617" s="326">
        <f>IF(ISNUMBER(SEARCH(ZAKL_DATA!$B$29,N617)),MAX($M$2:M616)+1,0)</f>
        <v>615.0</v>
      </c>
      <c r="N617" s="327" t="s">
        <v>2688</v>
      </c>
      <c r="O617" s="342" t="s">
        <v>2689</v>
      </c>
      <c r="Q617" s="329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327" t="s">
        <v>2688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327" t="s">
        <v>2688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327" t="s">
        <v>2688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26">
        <f>IF(ISNUMBER(SEARCH(ZAKL_DATA!$B$29,N618)),MAX($M$2:M617)+1,0)</f>
        <v>616.0</v>
      </c>
      <c r="N618" s="327" t="s">
        <v>2690</v>
      </c>
      <c r="O618" s="342" t="s">
        <v>2691</v>
      </c>
      <c r="Q618" s="329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327" t="s">
        <v>2690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327" t="s">
        <v>2690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327" t="s">
        <v>2690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26">
        <f>IF(ISNUMBER(SEARCH(ZAKL_DATA!$B$29,N619)),MAX($M$2:M618)+1,0)</f>
        <v>617.0</v>
      </c>
      <c r="N619" s="327" t="s">
        <v>2692</v>
      </c>
      <c r="O619" s="342" t="s">
        <v>2693</v>
      </c>
      <c r="Q619" s="329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327" t="s">
        <v>2692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327" t="s">
        <v>2692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327" t="s">
        <v>2692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26">
        <f>IF(ISNUMBER(SEARCH(ZAKL_DATA!$B$29,N620)),MAX($M$2:M619)+1,0)</f>
        <v>618.0</v>
      </c>
      <c r="N620" s="327" t="s">
        <v>2694</v>
      </c>
      <c r="O620" s="342" t="s">
        <v>2695</v>
      </c>
      <c r="Q620" s="329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327" t="s">
        <v>2694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327" t="s">
        <v>2694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327" t="s">
        <v>2694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26">
        <f>IF(ISNUMBER(SEARCH(ZAKL_DATA!$B$29,N621)),MAX($M$2:M620)+1,0)</f>
        <v>619.0</v>
      </c>
      <c r="N621" s="327" t="s">
        <v>2696</v>
      </c>
      <c r="O621" s="342" t="s">
        <v>2697</v>
      </c>
      <c r="Q621" s="329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327" t="s">
        <v>2696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327" t="s">
        <v>2696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327" t="s">
        <v>2696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26">
        <f>IF(ISNUMBER(SEARCH(ZAKL_DATA!$B$29,N622)),MAX($M$2:M621)+1,0)</f>
        <v>620.0</v>
      </c>
      <c r="N622" s="327" t="s">
        <v>2698</v>
      </c>
      <c r="O622" s="342" t="s">
        <v>2699</v>
      </c>
      <c r="Q622" s="329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327" t="s">
        <v>2698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327" t="s">
        <v>2698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327" t="s">
        <v>2698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26">
        <f>IF(ISNUMBER(SEARCH(ZAKL_DATA!$B$29,N623)),MAX($M$2:M622)+1,0)</f>
        <v>621.0</v>
      </c>
      <c r="N623" s="327" t="s">
        <v>2700</v>
      </c>
      <c r="O623" s="342" t="s">
        <v>2701</v>
      </c>
      <c r="Q623" s="329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327" t="s">
        <v>2700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327" t="s">
        <v>2700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327" t="s">
        <v>2700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26">
        <f>IF(ISNUMBER(SEARCH(ZAKL_DATA!$B$29,N624)),MAX($M$2:M623)+1,0)</f>
        <v>622.0</v>
      </c>
      <c r="N624" s="327" t="s">
        <v>2702</v>
      </c>
      <c r="O624" s="342" t="s">
        <v>2703</v>
      </c>
      <c r="Q624" s="329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327" t="s">
        <v>2702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327" t="s">
        <v>2702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327" t="s">
        <v>2702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26">
        <f>IF(ISNUMBER(SEARCH(ZAKL_DATA!$B$29,N625)),MAX($M$2:M624)+1,0)</f>
        <v>623.0</v>
      </c>
      <c r="N625" s="327" t="s">
        <v>2704</v>
      </c>
      <c r="O625" s="342" t="s">
        <v>2705</v>
      </c>
      <c r="Q625" s="329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327" t="s">
        <v>2704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327" t="s">
        <v>2704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327" t="s">
        <v>2704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26">
        <f>IF(ISNUMBER(SEARCH(ZAKL_DATA!$B$29,N626)),MAX($M$2:M625)+1,0)</f>
        <v>624.0</v>
      </c>
      <c r="N626" s="327" t="s">
        <v>2706</v>
      </c>
      <c r="O626" s="342" t="s">
        <v>2707</v>
      </c>
      <c r="Q626" s="329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327" t="s">
        <v>2706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327" t="s">
        <v>2706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327" t="s">
        <v>2706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26">
        <f>IF(ISNUMBER(SEARCH(ZAKL_DATA!$B$29,N627)),MAX($M$2:M626)+1,0)</f>
        <v>625.0</v>
      </c>
      <c r="N627" s="327" t="s">
        <v>2708</v>
      </c>
      <c r="O627" s="342" t="s">
        <v>2709</v>
      </c>
      <c r="Q627" s="329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327" t="s">
        <v>2708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327" t="s">
        <v>2708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327" t="s">
        <v>2708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26">
        <f>IF(ISNUMBER(SEARCH(ZAKL_DATA!$B$29,N628)),MAX($M$2:M627)+1,0)</f>
        <v>626.0</v>
      </c>
      <c r="N628" s="327" t="s">
        <v>2710</v>
      </c>
      <c r="O628" s="342" t="s">
        <v>2711</v>
      </c>
      <c r="Q628" s="329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327" t="s">
        <v>2710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327" t="s">
        <v>2710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327" t="s">
        <v>2710</v>
      </c>
      <c r="Z628" t="str">
        <f>IFERROR(VLOOKUP(ROWS($Z$3:Z628),$X$3:$Y$992,2,0),"")</f>
        <v>Velkoobchod s obilím, surovým tabákem, osivy a krmivy</v>
      </c>
    </row>
    <row r="629" spans="13:26" ht="12.75">
      <c r="M629" s="326">
        <f>IF(ISNUMBER(SEARCH(ZAKL_DATA!$B$29,N629)),MAX($M$2:M628)+1,0)</f>
        <v>627.0</v>
      </c>
      <c r="N629" s="327" t="s">
        <v>2712</v>
      </c>
      <c r="O629" s="342" t="s">
        <v>2713</v>
      </c>
      <c r="Q629" s="329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327" t="s">
        <v>2712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327" t="s">
        <v>2712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327" t="s">
        <v>2712</v>
      </c>
      <c r="Z629" t="str">
        <f>IFERROR(VLOOKUP(ROWS($Z$3:Z629),$X$3:$Y$992,2,0),"")</f>
        <v>Velkoobchod s květinami a jinými rostlinami</v>
      </c>
    </row>
    <row r="630" spans="13:26" ht="12.75">
      <c r="M630" s="326">
        <f>IF(ISNUMBER(SEARCH(ZAKL_DATA!$B$29,N630)),MAX($M$2:M629)+1,0)</f>
        <v>628.0</v>
      </c>
      <c r="N630" s="327" t="s">
        <v>2714</v>
      </c>
      <c r="O630" s="342" t="s">
        <v>2715</v>
      </c>
      <c r="Q630" s="329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327" t="s">
        <v>2714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327" t="s">
        <v>2714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327" t="s">
        <v>2714</v>
      </c>
      <c r="Z630" t="str">
        <f>IFERROR(VLOOKUP(ROWS($Z$3:Z630),$X$3:$Y$992,2,0),"")</f>
        <v>Velkoobchod s živými zvířaty</v>
      </c>
    </row>
    <row r="631" spans="13:26" ht="12.75">
      <c r="M631" s="326">
        <f>IF(ISNUMBER(SEARCH(ZAKL_DATA!$B$29,N631)),MAX($M$2:M630)+1,0)</f>
        <v>629.0</v>
      </c>
      <c r="N631" s="327" t="s">
        <v>2716</v>
      </c>
      <c r="O631" s="342" t="s">
        <v>2717</v>
      </c>
      <c r="Q631" s="329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327" t="s">
        <v>2716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327" t="s">
        <v>2716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327" t="s">
        <v>2716</v>
      </c>
      <c r="Z631" t="str">
        <f>IFERROR(VLOOKUP(ROWS($Z$3:Z631),$X$3:$Y$992,2,0),"")</f>
        <v>Velkoobchod se surovými kůžemi, kožešinami a usněmi</v>
      </c>
    </row>
    <row r="632" spans="13:26" ht="12.75">
      <c r="M632" s="326">
        <f>IF(ISNUMBER(SEARCH(ZAKL_DATA!$B$29,N632)),MAX($M$2:M631)+1,0)</f>
        <v>630.0</v>
      </c>
      <c r="N632" s="327" t="s">
        <v>2718</v>
      </c>
      <c r="O632" s="342" t="s">
        <v>2719</v>
      </c>
      <c r="Q632" s="329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327" t="s">
        <v>2718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327" t="s">
        <v>2718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327" t="s">
        <v>2718</v>
      </c>
      <c r="Z632" t="str">
        <f>IFERROR(VLOOKUP(ROWS($Z$3:Z632),$X$3:$Y$992,2,0),"")</f>
        <v>Velkoobchod s ovocem a zeleninou</v>
      </c>
    </row>
    <row r="633" spans="13:26" ht="12.75">
      <c r="M633" s="326">
        <f>IF(ISNUMBER(SEARCH(ZAKL_DATA!$B$29,N633)),MAX($M$2:M632)+1,0)</f>
        <v>631.0</v>
      </c>
      <c r="N633" s="327" t="s">
        <v>2720</v>
      </c>
      <c r="O633" s="342" t="s">
        <v>2721</v>
      </c>
      <c r="Q633" s="329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327" t="s">
        <v>2720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327" t="s">
        <v>2720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327" t="s">
        <v>2720</v>
      </c>
      <c r="Z633" t="str">
        <f>IFERROR(VLOOKUP(ROWS($Z$3:Z633),$X$3:$Y$992,2,0),"")</f>
        <v>Velkoobchod s masem a masnými výrobky</v>
      </c>
    </row>
    <row r="634" spans="13:26" ht="12.75">
      <c r="M634" s="326">
        <f>IF(ISNUMBER(SEARCH(ZAKL_DATA!$B$29,N634)),MAX($M$2:M633)+1,0)</f>
        <v>632.0</v>
      </c>
      <c r="N634" s="327" t="s">
        <v>2722</v>
      </c>
      <c r="O634" s="342" t="s">
        <v>2723</v>
      </c>
      <c r="Q634" s="329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327" t="s">
        <v>2722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327" t="s">
        <v>2722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327" t="s">
        <v>2722</v>
      </c>
      <c r="Z634" t="str">
        <f>IFERROR(VLOOKUP(ROWS($Z$3:Z634),$X$3:$Y$992,2,0),"")</f>
        <v>Velkoobchod s mléčnými výrobky, vejci, jedlými oleji a tuky</v>
      </c>
    </row>
    <row r="635" spans="13:26" ht="12.75">
      <c r="M635" s="326">
        <f>IF(ISNUMBER(SEARCH(ZAKL_DATA!$B$29,N635)),MAX($M$2:M634)+1,0)</f>
        <v>633.0</v>
      </c>
      <c r="N635" s="327" t="s">
        <v>2724</v>
      </c>
      <c r="O635" s="342" t="s">
        <v>2725</v>
      </c>
      <c r="Q635" s="329" t="str">
        <f>IFERROR(VLOOKUP(ROWS($Q$3:Q635),$M$3:$N$992,2,0),"")</f>
        <v>Velkoobchod s nápoji</v>
      </c>
      <c r="R635">
        <f>IF(ISNUMBER(SEARCH('1Př1'!$A$32,N635)),MAX($M$2:M634)+1,0)</f>
        <v>633.0</v>
      </c>
      <c r="S635" s="327" t="s">
        <v>2724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327" t="s">
        <v>2724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327" t="s">
        <v>2724</v>
      </c>
      <c r="Z635" t="str">
        <f>IFERROR(VLOOKUP(ROWS($Z$3:Z635),$X$3:$Y$992,2,0),"")</f>
        <v>Velkoobchod s nápoji</v>
      </c>
    </row>
    <row r="636" spans="13:26" ht="12.75">
      <c r="M636" s="326">
        <f>IF(ISNUMBER(SEARCH(ZAKL_DATA!$B$29,N636)),MAX($M$2:M635)+1,0)</f>
        <v>634.0</v>
      </c>
      <c r="N636" s="327" t="s">
        <v>2726</v>
      </c>
      <c r="O636" s="342" t="s">
        <v>2727</v>
      </c>
      <c r="Q636" s="329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327" t="s">
        <v>2726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327" t="s">
        <v>2726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327" t="s">
        <v>2726</v>
      </c>
      <c r="Z636" t="str">
        <f>IFERROR(VLOOKUP(ROWS($Z$3:Z636),$X$3:$Y$992,2,0),"")</f>
        <v>Velkoobchod s tabákovými výrobky</v>
      </c>
    </row>
    <row r="637" spans="13:26" ht="12.75">
      <c r="M637" s="326">
        <f>IF(ISNUMBER(SEARCH(ZAKL_DATA!$B$29,N637)),MAX($M$2:M636)+1,0)</f>
        <v>635.0</v>
      </c>
      <c r="N637" s="327" t="s">
        <v>2728</v>
      </c>
      <c r="O637" s="342" t="s">
        <v>2729</v>
      </c>
      <c r="Q637" s="329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327" t="s">
        <v>2728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327" t="s">
        <v>2728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327" t="s">
        <v>2728</v>
      </c>
      <c r="Z637" t="str">
        <f>IFERROR(VLOOKUP(ROWS($Z$3:Z637),$X$3:$Y$992,2,0),"")</f>
        <v>Velkoobchod s cukrem, čokoládou a cukrovinkami</v>
      </c>
    </row>
    <row r="638" spans="13:26" ht="12.75">
      <c r="M638" s="326">
        <f>IF(ISNUMBER(SEARCH(ZAKL_DATA!$B$29,N638)),MAX($M$2:M637)+1,0)</f>
        <v>636.0</v>
      </c>
      <c r="N638" s="327" t="s">
        <v>2730</v>
      </c>
      <c r="O638" s="342" t="s">
        <v>2731</v>
      </c>
      <c r="Q638" s="329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327" t="s">
        <v>2730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327" t="s">
        <v>2730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327" t="s">
        <v>2730</v>
      </c>
      <c r="Z638" t="str">
        <f>IFERROR(VLOOKUP(ROWS($Z$3:Z638),$X$3:$Y$992,2,0),"")</f>
        <v>Velkoobchod s kávou, čajem, kakaem a kořením</v>
      </c>
    </row>
    <row r="639" spans="13:26" ht="12.75">
      <c r="M639" s="326">
        <f>IF(ISNUMBER(SEARCH(ZAKL_DATA!$B$29,N639)),MAX($M$2:M638)+1,0)</f>
        <v>637.0</v>
      </c>
      <c r="N639" s="327" t="s">
        <v>2732</v>
      </c>
      <c r="O639" s="342" t="s">
        <v>2733</v>
      </c>
      <c r="Q639" s="329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327" t="s">
        <v>2732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327" t="s">
        <v>2732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327" t="s">
        <v>2732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26">
        <f>IF(ISNUMBER(SEARCH(ZAKL_DATA!$B$29,N640)),MAX($M$2:M639)+1,0)</f>
        <v>638.0</v>
      </c>
      <c r="N640" s="327" t="s">
        <v>2734</v>
      </c>
      <c r="O640" s="342" t="s">
        <v>2735</v>
      </c>
      <c r="Q640" s="329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327" t="s">
        <v>2734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327" t="s">
        <v>2734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327" t="s">
        <v>2734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26">
        <f>IF(ISNUMBER(SEARCH(ZAKL_DATA!$B$29,N641)),MAX($M$2:M640)+1,0)</f>
        <v>639.0</v>
      </c>
      <c r="N641" s="327" t="s">
        <v>2736</v>
      </c>
      <c r="O641" s="342" t="s">
        <v>2737</v>
      </c>
      <c r="Q641" s="329" t="str">
        <f>IFERROR(VLOOKUP(ROWS($Q$3:Q641),$M$3:$N$992,2,0),"")</f>
        <v>Velkoobchod s textilem</v>
      </c>
      <c r="R641">
        <f>IF(ISNUMBER(SEARCH('1Př1'!$A$32,N641)),MAX($M$2:M640)+1,0)</f>
        <v>639.0</v>
      </c>
      <c r="S641" s="327" t="s">
        <v>2736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327" t="s">
        <v>2736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327" t="s">
        <v>2736</v>
      </c>
      <c r="Z641" t="str">
        <f>IFERROR(VLOOKUP(ROWS($Z$3:Z641),$X$3:$Y$992,2,0),"")</f>
        <v>Velkoobchod s textilem</v>
      </c>
    </row>
    <row r="642" spans="13:26" ht="12.75">
      <c r="M642" s="326">
        <f>IF(ISNUMBER(SEARCH(ZAKL_DATA!$B$29,N642)),MAX($M$2:M641)+1,0)</f>
        <v>640.0</v>
      </c>
      <c r="N642" s="327" t="s">
        <v>2738</v>
      </c>
      <c r="O642" s="342" t="s">
        <v>2739</v>
      </c>
      <c r="Q642" s="329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327" t="s">
        <v>2738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327" t="s">
        <v>2738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327" t="s">
        <v>2738</v>
      </c>
      <c r="Z642" t="str">
        <f>IFERROR(VLOOKUP(ROWS($Z$3:Z642),$X$3:$Y$992,2,0),"")</f>
        <v>Velkoobchod s oděvy a obuví</v>
      </c>
    </row>
    <row r="643" spans="13:26" ht="12.75">
      <c r="M643" s="326">
        <f>IF(ISNUMBER(SEARCH(ZAKL_DATA!$B$29,N643)),MAX($M$2:M642)+1,0)</f>
        <v>641.0</v>
      </c>
      <c r="N643" s="327" t="s">
        <v>2740</v>
      </c>
      <c r="O643" s="342" t="s">
        <v>2741</v>
      </c>
      <c r="Q643" s="329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327" t="s">
        <v>2740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327" t="s">
        <v>2740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327" t="s">
        <v>2740</v>
      </c>
      <c r="Z643" t="str">
        <f>IFERROR(VLOOKUP(ROWS($Z$3:Z643),$X$3:$Y$992,2,0),"")</f>
        <v>Velkoobchod s elektrospotřebiči a elektronikou</v>
      </c>
    </row>
    <row r="644" spans="13:26" ht="12.75">
      <c r="M644" s="326">
        <f>IF(ISNUMBER(SEARCH(ZAKL_DATA!$B$29,N644)),MAX($M$2:M643)+1,0)</f>
        <v>642.0</v>
      </c>
      <c r="N644" s="327" t="s">
        <v>2742</v>
      </c>
      <c r="O644" s="342" t="s">
        <v>2743</v>
      </c>
      <c r="Q644" s="329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327" t="s">
        <v>2742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327" t="s">
        <v>2742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327" t="s">
        <v>2742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26">
        <f>IF(ISNUMBER(SEARCH(ZAKL_DATA!$B$29,N645)),MAX($M$2:M644)+1,0)</f>
        <v>643.0</v>
      </c>
      <c r="N645" s="327" t="s">
        <v>2744</v>
      </c>
      <c r="O645" s="342" t="s">
        <v>2745</v>
      </c>
      <c r="Q645" s="329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327" t="s">
        <v>2744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327" t="s">
        <v>2744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327" t="s">
        <v>2744</v>
      </c>
      <c r="Z645" t="str">
        <f>IFERROR(VLOOKUP(ROWS($Z$3:Z645),$X$3:$Y$992,2,0),"")</f>
        <v>Velkoobchod s kosmetickými výrobky</v>
      </c>
    </row>
    <row r="646" spans="13:26" ht="12.75">
      <c r="M646" s="326">
        <f>IF(ISNUMBER(SEARCH(ZAKL_DATA!$B$29,N646)),MAX($M$2:M645)+1,0)</f>
        <v>644.0</v>
      </c>
      <c r="N646" s="327" t="s">
        <v>2746</v>
      </c>
      <c r="O646" s="342" t="s">
        <v>2747</v>
      </c>
      <c r="Q646" s="329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327" t="s">
        <v>2746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327" t="s">
        <v>2746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327" t="s">
        <v>2746</v>
      </c>
      <c r="Z646" t="str">
        <f>IFERROR(VLOOKUP(ROWS($Z$3:Z646),$X$3:$Y$992,2,0),"")</f>
        <v>Velkoobchod s farmaceutickými výrobky</v>
      </c>
    </row>
    <row r="647" spans="13:26" ht="12.75">
      <c r="M647" s="326">
        <f>IF(ISNUMBER(SEARCH(ZAKL_DATA!$B$29,N647)),MAX($M$2:M646)+1,0)</f>
        <v>645.0</v>
      </c>
      <c r="N647" s="327" t="s">
        <v>2748</v>
      </c>
      <c r="O647" s="342" t="s">
        <v>2749</v>
      </c>
      <c r="Q647" s="329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327" t="s">
        <v>2748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327" t="s">
        <v>2748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327" t="s">
        <v>2748</v>
      </c>
      <c r="Z647" t="str">
        <f>IFERROR(VLOOKUP(ROWS($Z$3:Z647),$X$3:$Y$992,2,0),"")</f>
        <v>Velkoobchod s nábytkem, koberci a svítidly</v>
      </c>
    </row>
    <row r="648" spans="13:26" ht="12.75">
      <c r="M648" s="326">
        <f>IF(ISNUMBER(SEARCH(ZAKL_DATA!$B$29,N648)),MAX($M$2:M647)+1,0)</f>
        <v>646.0</v>
      </c>
      <c r="N648" s="327" t="s">
        <v>2750</v>
      </c>
      <c r="O648" s="342" t="s">
        <v>2751</v>
      </c>
      <c r="Q648" s="329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327" t="s">
        <v>2750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327" t="s">
        <v>2750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327" t="s">
        <v>2750</v>
      </c>
      <c r="Z648" t="str">
        <f>IFERROR(VLOOKUP(ROWS($Z$3:Z648),$X$3:$Y$992,2,0),"")</f>
        <v>Velkoobchod s hodinami, hodinkami a klenoty</v>
      </c>
    </row>
    <row r="649" spans="13:26" ht="12.75">
      <c r="M649" s="326">
        <f>IF(ISNUMBER(SEARCH(ZAKL_DATA!$B$29,N649)),MAX($M$2:M648)+1,0)</f>
        <v>647.0</v>
      </c>
      <c r="N649" s="327" t="s">
        <v>2752</v>
      </c>
      <c r="O649" s="342" t="s">
        <v>2753</v>
      </c>
      <c r="Q649" s="329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327" t="s">
        <v>2752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327" t="s">
        <v>2752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327" t="s">
        <v>2752</v>
      </c>
      <c r="Z649" t="str">
        <f>IFERROR(VLOOKUP(ROWS($Z$3:Z649),$X$3:$Y$992,2,0),"")</f>
        <v>Velkoobchod s ostatními výrobky převážně pro domácnost</v>
      </c>
    </row>
    <row r="650" spans="13:26" ht="12.75">
      <c r="M650" s="326">
        <f>IF(ISNUMBER(SEARCH(ZAKL_DATA!$B$29,N650)),MAX($M$2:M649)+1,0)</f>
        <v>648.0</v>
      </c>
      <c r="N650" s="327" t="s">
        <v>2754</v>
      </c>
      <c r="O650" s="342" t="s">
        <v>2755</v>
      </c>
      <c r="Q650" s="329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327" t="s">
        <v>2754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327" t="s">
        <v>2754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327" t="s">
        <v>2754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26">
        <f>IF(ISNUMBER(SEARCH(ZAKL_DATA!$B$29,N651)),MAX($M$2:M650)+1,0)</f>
        <v>649.0</v>
      </c>
      <c r="N651" s="327" t="s">
        <v>2756</v>
      </c>
      <c r="O651" s="342" t="s">
        <v>2757</v>
      </c>
      <c r="Q651" s="329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327" t="s">
        <v>2756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327" t="s">
        <v>2756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327" t="s">
        <v>2756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26">
        <f>IF(ISNUMBER(SEARCH(ZAKL_DATA!$B$29,N652)),MAX($M$2:M651)+1,0)</f>
        <v>650.0</v>
      </c>
      <c r="N652" s="327" t="s">
        <v>2758</v>
      </c>
      <c r="O652" s="342" t="s">
        <v>2759</v>
      </c>
      <c r="Q652" s="329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327" t="s">
        <v>2758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327" t="s">
        <v>2758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327" t="s">
        <v>2758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26">
        <f>IF(ISNUMBER(SEARCH(ZAKL_DATA!$B$29,N653)),MAX($M$2:M652)+1,0)</f>
        <v>651.0</v>
      </c>
      <c r="N653" s="327" t="s">
        <v>2760</v>
      </c>
      <c r="O653" s="342" t="s">
        <v>2761</v>
      </c>
      <c r="Q653" s="329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327" t="s">
        <v>2760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327" t="s">
        <v>2760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327" t="s">
        <v>2760</v>
      </c>
      <c r="Z653" t="str">
        <f>IFERROR(VLOOKUP(ROWS($Z$3:Z653),$X$3:$Y$992,2,0),"")</f>
        <v>Velkoobchod s obráběcími stroji</v>
      </c>
    </row>
    <row r="654" spans="13:26" ht="12.75">
      <c r="M654" s="326">
        <f>IF(ISNUMBER(SEARCH(ZAKL_DATA!$B$29,N654)),MAX($M$2:M653)+1,0)</f>
        <v>652.0</v>
      </c>
      <c r="N654" s="327" t="s">
        <v>2762</v>
      </c>
      <c r="O654" s="342" t="s">
        <v>2763</v>
      </c>
      <c r="Q654" s="329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327" t="s">
        <v>2762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327" t="s">
        <v>2762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327" t="s">
        <v>2762</v>
      </c>
      <c r="Z654" t="str">
        <f>IFERROR(VLOOKUP(ROWS($Z$3:Z654),$X$3:$Y$992,2,0),"")</f>
        <v>Velkoobchod s těžebními a stavebními stroji a zařízením</v>
      </c>
    </row>
    <row r="655" spans="13:26" ht="12.75">
      <c r="M655" s="326">
        <f>IF(ISNUMBER(SEARCH(ZAKL_DATA!$B$29,N655)),MAX($M$2:M654)+1,0)</f>
        <v>653.0</v>
      </c>
      <c r="N655" s="327" t="s">
        <v>2764</v>
      </c>
      <c r="O655" s="342" t="s">
        <v>2765</v>
      </c>
      <c r="Q655" s="329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327" t="s">
        <v>2764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327" t="s">
        <v>2764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327" t="s">
        <v>2764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26">
        <f>IF(ISNUMBER(SEARCH(ZAKL_DATA!$B$29,N656)),MAX($M$2:M655)+1,0)</f>
        <v>654.0</v>
      </c>
      <c r="N656" s="327" t="s">
        <v>2766</v>
      </c>
      <c r="O656" s="342" t="s">
        <v>2767</v>
      </c>
      <c r="Q656" s="329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327" t="s">
        <v>2766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327" t="s">
        <v>2766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327" t="s">
        <v>2766</v>
      </c>
      <c r="Z656" t="str">
        <f>IFERROR(VLOOKUP(ROWS($Z$3:Z656),$X$3:$Y$992,2,0),"")</f>
        <v>Velkoobchod s kancelářským nábytkem</v>
      </c>
    </row>
    <row r="657" spans="13:26" ht="12.75">
      <c r="M657" s="326">
        <f>IF(ISNUMBER(SEARCH(ZAKL_DATA!$B$29,N657)),MAX($M$2:M656)+1,0)</f>
        <v>655.0</v>
      </c>
      <c r="N657" s="327" t="s">
        <v>2768</v>
      </c>
      <c r="O657" s="342" t="s">
        <v>2769</v>
      </c>
      <c r="Q657" s="329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327" t="s">
        <v>2768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327" t="s">
        <v>2768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327" t="s">
        <v>2768</v>
      </c>
      <c r="Z657" t="str">
        <f>IFERROR(VLOOKUP(ROWS($Z$3:Z657),$X$3:$Y$992,2,0),"")</f>
        <v>Velkoobchod s ostatními kancelářskými stroji a zařízením</v>
      </c>
    </row>
    <row r="658" spans="13:26" ht="12.75">
      <c r="M658" s="326">
        <f>IF(ISNUMBER(SEARCH(ZAKL_DATA!$B$29,N658)),MAX($M$2:M657)+1,0)</f>
        <v>656.0</v>
      </c>
      <c r="N658" s="327" t="s">
        <v>2770</v>
      </c>
      <c r="O658" s="342" t="s">
        <v>2771</v>
      </c>
      <c r="Q658" s="329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327" t="s">
        <v>2770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327" t="s">
        <v>2770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327" t="s">
        <v>2770</v>
      </c>
      <c r="Z658" t="str">
        <f>IFERROR(VLOOKUP(ROWS($Z$3:Z658),$X$3:$Y$992,2,0),"")</f>
        <v>Velkoobchod s ostatními stroji a zařízením</v>
      </c>
    </row>
    <row r="659" spans="13:26" ht="12.75">
      <c r="M659" s="326">
        <f>IF(ISNUMBER(SEARCH(ZAKL_DATA!$B$29,N659)),MAX($M$2:M658)+1,0)</f>
        <v>657.0</v>
      </c>
      <c r="N659" s="327" t="s">
        <v>2772</v>
      </c>
      <c r="O659" s="342" t="s">
        <v>2773</v>
      </c>
      <c r="Q659" s="329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327" t="s">
        <v>2772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327" t="s">
        <v>2772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327" t="s">
        <v>2772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26">
        <f>IF(ISNUMBER(SEARCH(ZAKL_DATA!$B$29,N660)),MAX($M$2:M659)+1,0)</f>
        <v>658.0</v>
      </c>
      <c r="N660" s="327" t="s">
        <v>2774</v>
      </c>
      <c r="O660" s="342" t="s">
        <v>2775</v>
      </c>
      <c r="Q660" s="329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327" t="s">
        <v>2774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327" t="s">
        <v>2774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327" t="s">
        <v>2774</v>
      </c>
      <c r="Z660" t="str">
        <f>IFERROR(VLOOKUP(ROWS($Z$3:Z660),$X$3:$Y$992,2,0),"")</f>
        <v>Velkoobchod s rudami, kovy a hutními výrobky</v>
      </c>
    </row>
    <row r="661" spans="13:26" ht="12.75">
      <c r="M661" s="326">
        <f>IF(ISNUMBER(SEARCH(ZAKL_DATA!$B$29,N661)),MAX($M$2:M660)+1,0)</f>
        <v>659.0</v>
      </c>
      <c r="N661" s="327" t="s">
        <v>2776</v>
      </c>
      <c r="O661" s="342" t="s">
        <v>2777</v>
      </c>
      <c r="Q661" s="329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327" t="s">
        <v>2776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327" t="s">
        <v>2776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327" t="s">
        <v>2776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26">
        <f>IF(ISNUMBER(SEARCH(ZAKL_DATA!$B$29,N662)),MAX($M$2:M661)+1,0)</f>
        <v>660.0</v>
      </c>
      <c r="N662" s="327" t="s">
        <v>2778</v>
      </c>
      <c r="O662" s="342" t="s">
        <v>2779</v>
      </c>
      <c r="Q662" s="329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327" t="s">
        <v>2778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327" t="s">
        <v>2778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327" t="s">
        <v>2778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26">
        <f>IF(ISNUMBER(SEARCH(ZAKL_DATA!$B$29,N663)),MAX($M$2:M662)+1,0)</f>
        <v>661.0</v>
      </c>
      <c r="N663" s="327" t="s">
        <v>2780</v>
      </c>
      <c r="O663" s="342" t="s">
        <v>2781</v>
      </c>
      <c r="Q663" s="329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327" t="s">
        <v>2780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327" t="s">
        <v>2780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327" t="s">
        <v>2780</v>
      </c>
      <c r="Z663" t="str">
        <f>IFERROR(VLOOKUP(ROWS($Z$3:Z663),$X$3:$Y$992,2,0),"")</f>
        <v>Velkoobchod s chemickými výrobky</v>
      </c>
    </row>
    <row r="664" spans="13:26" ht="12.75">
      <c r="M664" s="326">
        <f>IF(ISNUMBER(SEARCH(ZAKL_DATA!$B$29,N664)),MAX($M$2:M663)+1,0)</f>
        <v>662.0</v>
      </c>
      <c r="N664" s="327" t="s">
        <v>2782</v>
      </c>
      <c r="O664" s="342" t="s">
        <v>2783</v>
      </c>
      <c r="Q664" s="329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327" t="s">
        <v>2782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327" t="s">
        <v>2782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327" t="s">
        <v>2782</v>
      </c>
      <c r="Z664" t="str">
        <f>IFERROR(VLOOKUP(ROWS($Z$3:Z664),$X$3:$Y$992,2,0),"")</f>
        <v>Velkoobchod s ostatními meziprodukty</v>
      </c>
    </row>
    <row r="665" spans="13:26" ht="12.75">
      <c r="M665" s="326">
        <f>IF(ISNUMBER(SEARCH(ZAKL_DATA!$B$29,N665)),MAX($M$2:M664)+1,0)</f>
        <v>663.0</v>
      </c>
      <c r="N665" s="327" t="s">
        <v>2784</v>
      </c>
      <c r="O665" s="342" t="s">
        <v>2785</v>
      </c>
      <c r="Q665" s="329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327" t="s">
        <v>2784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327" t="s">
        <v>2784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327" t="s">
        <v>2784</v>
      </c>
      <c r="Z665" t="str">
        <f>IFERROR(VLOOKUP(ROWS($Z$3:Z665),$X$3:$Y$992,2,0),"")</f>
        <v>Velkoobchod s odpadem a šrotem</v>
      </c>
    </row>
    <row r="666" spans="13:26" ht="12.75">
      <c r="M666" s="326">
        <f>IF(ISNUMBER(SEARCH(ZAKL_DATA!$B$29,N666)),MAX($M$2:M665)+1,0)</f>
        <v>664.0</v>
      </c>
      <c r="N666" s="327" t="s">
        <v>2786</v>
      </c>
      <c r="O666" s="342" t="s">
        <v>2787</v>
      </c>
      <c r="Q666" s="329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327" t="s">
        <v>2786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327" t="s">
        <v>2786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327" t="s">
        <v>2786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26">
        <f>IF(ISNUMBER(SEARCH(ZAKL_DATA!$B$29,N667)),MAX($M$2:M666)+1,0)</f>
        <v>665.0</v>
      </c>
      <c r="N667" s="327" t="s">
        <v>2788</v>
      </c>
      <c r="O667" s="342" t="s">
        <v>2789</v>
      </c>
      <c r="Q667" s="329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327" t="s">
        <v>2788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327" t="s">
        <v>2788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327" t="s">
        <v>2788</v>
      </c>
      <c r="Z667" t="str">
        <f>IFERROR(VLOOKUP(ROWS($Z$3:Z667),$X$3:$Y$992,2,0),"")</f>
        <v>Ostatní maloobchod v nespecializovaných prodejnách</v>
      </c>
    </row>
    <row r="668" spans="13:26" ht="12.75">
      <c r="M668" s="326">
        <f>IF(ISNUMBER(SEARCH(ZAKL_DATA!$B$29,N668)),MAX($M$2:M667)+1,0)</f>
        <v>666.0</v>
      </c>
      <c r="N668" s="327" t="s">
        <v>2790</v>
      </c>
      <c r="O668" s="342" t="s">
        <v>2791</v>
      </c>
      <c r="Q668" s="329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327" t="s">
        <v>2790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327" t="s">
        <v>2790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327" t="s">
        <v>2790</v>
      </c>
      <c r="Z668" t="str">
        <f>IFERROR(VLOOKUP(ROWS($Z$3:Z668),$X$3:$Y$992,2,0),"")</f>
        <v>Maloobchod s ovocem a zeleninou</v>
      </c>
    </row>
    <row r="669" spans="13:26" ht="12.75">
      <c r="M669" s="326">
        <f>IF(ISNUMBER(SEARCH(ZAKL_DATA!$B$29,N669)),MAX($M$2:M668)+1,0)</f>
        <v>667.0</v>
      </c>
      <c r="N669" s="327" t="s">
        <v>2792</v>
      </c>
      <c r="O669" s="342" t="s">
        <v>2793</v>
      </c>
      <c r="Q669" s="329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327" t="s">
        <v>2792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327" t="s">
        <v>2792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327" t="s">
        <v>2792</v>
      </c>
      <c r="Z669" t="str">
        <f>IFERROR(VLOOKUP(ROWS($Z$3:Z669),$X$3:$Y$992,2,0),"")</f>
        <v>Maloobchod s masem a masnými výrobky</v>
      </c>
    </row>
    <row r="670" spans="13:26" ht="12.75">
      <c r="M670" s="326">
        <f>IF(ISNUMBER(SEARCH(ZAKL_DATA!$B$29,N670)),MAX($M$2:M669)+1,0)</f>
        <v>668.0</v>
      </c>
      <c r="N670" s="327" t="s">
        <v>2794</v>
      </c>
      <c r="O670" s="342" t="s">
        <v>2795</v>
      </c>
      <c r="Q670" s="329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327" t="s">
        <v>2794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327" t="s">
        <v>2794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327" t="s">
        <v>2794</v>
      </c>
      <c r="Z670" t="str">
        <f>IFERROR(VLOOKUP(ROWS($Z$3:Z670),$X$3:$Y$992,2,0),"")</f>
        <v>Maloobchod s rybami, korýši a měkkýši</v>
      </c>
    </row>
    <row r="671" spans="13:26" ht="12.75">
      <c r="M671" s="326">
        <f>IF(ISNUMBER(SEARCH(ZAKL_DATA!$B$29,N671)),MAX($M$2:M670)+1,0)</f>
        <v>669.0</v>
      </c>
      <c r="N671" s="327" t="s">
        <v>2796</v>
      </c>
      <c r="O671" s="342" t="s">
        <v>2797</v>
      </c>
      <c r="Q671" s="329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327" t="s">
        <v>2796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327" t="s">
        <v>2796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327" t="s">
        <v>2796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26">
        <f>IF(ISNUMBER(SEARCH(ZAKL_DATA!$B$29,N672)),MAX($M$2:M671)+1,0)</f>
        <v>670.0</v>
      </c>
      <c r="N672" s="327" t="s">
        <v>2798</v>
      </c>
      <c r="O672" s="342" t="s">
        <v>2799</v>
      </c>
      <c r="Q672" s="329" t="str">
        <f>IFERROR(VLOOKUP(ROWS($Q$3:Q672),$M$3:$N$992,2,0),"")</f>
        <v>Maloobchod s nápoji</v>
      </c>
      <c r="R672">
        <f>IF(ISNUMBER(SEARCH('1Př1'!$A$32,N672)),MAX($M$2:M671)+1,0)</f>
        <v>670.0</v>
      </c>
      <c r="S672" s="327" t="s">
        <v>2798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327" t="s">
        <v>2798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327" t="s">
        <v>2798</v>
      </c>
      <c r="Z672" t="str">
        <f>IFERROR(VLOOKUP(ROWS($Z$3:Z672),$X$3:$Y$992,2,0),"")</f>
        <v>Maloobchod s nápoji</v>
      </c>
    </row>
    <row r="673" spans="13:26" ht="12.75">
      <c r="M673" s="326">
        <f>IF(ISNUMBER(SEARCH(ZAKL_DATA!$B$29,N673)),MAX($M$2:M672)+1,0)</f>
        <v>671.0</v>
      </c>
      <c r="N673" s="327" t="s">
        <v>2800</v>
      </c>
      <c r="O673" s="342" t="s">
        <v>2801</v>
      </c>
      <c r="Q673" s="329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327" t="s">
        <v>2800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327" t="s">
        <v>2800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327" t="s">
        <v>2800</v>
      </c>
      <c r="Z673" t="str">
        <f>IFERROR(VLOOKUP(ROWS($Z$3:Z673),$X$3:$Y$992,2,0),"")</f>
        <v>Maloobchod s tabákovými výrobky</v>
      </c>
    </row>
    <row r="674" spans="13:26" ht="12.75">
      <c r="M674" s="326">
        <f>IF(ISNUMBER(SEARCH(ZAKL_DATA!$B$29,N674)),MAX($M$2:M673)+1,0)</f>
        <v>672.0</v>
      </c>
      <c r="N674" s="327" t="s">
        <v>2802</v>
      </c>
      <c r="O674" s="342" t="s">
        <v>2803</v>
      </c>
      <c r="Q674" s="329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327" t="s">
        <v>2802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327" t="s">
        <v>2802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327" t="s">
        <v>2802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26">
        <f>IF(ISNUMBER(SEARCH(ZAKL_DATA!$B$29,N675)),MAX($M$2:M674)+1,0)</f>
        <v>673.0</v>
      </c>
      <c r="N675" s="327" t="s">
        <v>2804</v>
      </c>
      <c r="O675" s="342" t="s">
        <v>2805</v>
      </c>
      <c r="Q675" s="329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327" t="s">
        <v>2804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327" t="s">
        <v>2804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327" t="s">
        <v>2804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26">
        <f>IF(ISNUMBER(SEARCH(ZAKL_DATA!$B$29,N676)),MAX($M$2:M675)+1,0)</f>
        <v>674.0</v>
      </c>
      <c r="N676" s="327" t="s">
        <v>2806</v>
      </c>
      <c r="O676" s="342" t="s">
        <v>2807</v>
      </c>
      <c r="Q676" s="329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327" t="s">
        <v>2806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327" t="s">
        <v>2806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327" t="s">
        <v>2806</v>
      </c>
      <c r="Z676" t="str">
        <f>IFERROR(VLOOKUP(ROWS($Z$3:Z676),$X$3:$Y$992,2,0),"")</f>
        <v>Maloobchod s telekomunikačním zařízením</v>
      </c>
    </row>
    <row r="677" spans="13:26" ht="12.75">
      <c r="M677" s="326">
        <f>IF(ISNUMBER(SEARCH(ZAKL_DATA!$B$29,N677)),MAX($M$2:M676)+1,0)</f>
        <v>675.0</v>
      </c>
      <c r="N677" s="327" t="s">
        <v>2808</v>
      </c>
      <c r="O677" s="342" t="s">
        <v>2809</v>
      </c>
      <c r="Q677" s="329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327" t="s">
        <v>2808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327" t="s">
        <v>2808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327" t="s">
        <v>2808</v>
      </c>
      <c r="Z677" t="str">
        <f>IFERROR(VLOOKUP(ROWS($Z$3:Z677),$X$3:$Y$992,2,0),"")</f>
        <v>Maloobchod s audio- a videozařízením</v>
      </c>
    </row>
    <row r="678" spans="13:26" ht="12.75">
      <c r="M678" s="326">
        <f>IF(ISNUMBER(SEARCH(ZAKL_DATA!$B$29,N678)),MAX($M$2:M677)+1,0)</f>
        <v>676.0</v>
      </c>
      <c r="N678" s="327" t="s">
        <v>2810</v>
      </c>
      <c r="O678" s="342" t="s">
        <v>2811</v>
      </c>
      <c r="Q678" s="329" t="str">
        <f>IFERROR(VLOOKUP(ROWS($Q$3:Q678),$M$3:$N$992,2,0),"")</f>
        <v>Maloobchod s textilem</v>
      </c>
      <c r="R678">
        <f>IF(ISNUMBER(SEARCH('1Př1'!$A$32,N678)),MAX($M$2:M677)+1,0)</f>
        <v>676.0</v>
      </c>
      <c r="S678" s="327" t="s">
        <v>2810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327" t="s">
        <v>2810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327" t="s">
        <v>2810</v>
      </c>
      <c r="Z678" t="str">
        <f>IFERROR(VLOOKUP(ROWS($Z$3:Z678),$X$3:$Y$992,2,0),"")</f>
        <v>Maloobchod s textilem</v>
      </c>
    </row>
    <row r="679" spans="13:26" ht="12.75">
      <c r="M679" s="326">
        <f>IF(ISNUMBER(SEARCH(ZAKL_DATA!$B$29,N679)),MAX($M$2:M678)+1,0)</f>
        <v>677.0</v>
      </c>
      <c r="N679" s="327" t="s">
        <v>2812</v>
      </c>
      <c r="O679" s="342" t="s">
        <v>2813</v>
      </c>
      <c r="Q679" s="329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327" t="s">
        <v>2812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327" t="s">
        <v>2812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327" t="s">
        <v>2812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26">
        <f>IF(ISNUMBER(SEARCH(ZAKL_DATA!$B$29,N680)),MAX($M$2:M679)+1,0)</f>
        <v>678.0</v>
      </c>
      <c r="N680" s="327" t="s">
        <v>2814</v>
      </c>
      <c r="O680" s="342" t="s">
        <v>2815</v>
      </c>
      <c r="Q680" s="329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327" t="s">
        <v>2814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327" t="s">
        <v>2814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327" t="s">
        <v>2814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26">
        <f>IF(ISNUMBER(SEARCH(ZAKL_DATA!$B$29,N681)),MAX($M$2:M680)+1,0)</f>
        <v>679.0</v>
      </c>
      <c r="N681" s="327" t="s">
        <v>2816</v>
      </c>
      <c r="O681" s="342" t="s">
        <v>2817</v>
      </c>
      <c r="Q681" s="329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327" t="s">
        <v>2816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327" t="s">
        <v>2816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327" t="s">
        <v>2816</v>
      </c>
      <c r="Z681" t="str">
        <f>IFERROR(VLOOKUP(ROWS($Z$3:Z681),$X$3:$Y$992,2,0),"")</f>
        <v>Maloobchod s elektrospotřebiči a elektronikou</v>
      </c>
    </row>
    <row r="682" spans="13:26" ht="12.75">
      <c r="M682" s="326">
        <f>IF(ISNUMBER(SEARCH(ZAKL_DATA!$B$29,N682)),MAX($M$2:M681)+1,0)</f>
        <v>680.0</v>
      </c>
      <c r="N682" s="327" t="s">
        <v>2818</v>
      </c>
      <c r="O682" s="342" t="s">
        <v>2819</v>
      </c>
      <c r="Q682" s="329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327" t="s">
        <v>2818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327" t="s">
        <v>2818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327" t="s">
        <v>2818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26">
        <f>IF(ISNUMBER(SEARCH(ZAKL_DATA!$B$29,N683)),MAX($M$2:M682)+1,0)</f>
        <v>681.0</v>
      </c>
      <c r="N683" s="327" t="s">
        <v>2820</v>
      </c>
      <c r="O683" s="342" t="s">
        <v>2821</v>
      </c>
      <c r="Q683" s="329" t="str">
        <f>IFERROR(VLOOKUP(ROWS($Q$3:Q683),$M$3:$N$992,2,0),"")</f>
        <v>Maloobchod s knihami</v>
      </c>
      <c r="R683">
        <f>IF(ISNUMBER(SEARCH('1Př1'!$A$32,N683)),MAX($M$2:M682)+1,0)</f>
        <v>681.0</v>
      </c>
      <c r="S683" s="327" t="s">
        <v>2820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327" t="s">
        <v>2820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327" t="s">
        <v>2820</v>
      </c>
      <c r="Z683" t="str">
        <f>IFERROR(VLOOKUP(ROWS($Z$3:Z683),$X$3:$Y$992,2,0),"")</f>
        <v>Maloobchod s knihami</v>
      </c>
    </row>
    <row r="684" spans="13:26" ht="12.75">
      <c r="M684" s="326">
        <f>IF(ISNUMBER(SEARCH(ZAKL_DATA!$B$29,N684)),MAX($M$2:M683)+1,0)</f>
        <v>682.0</v>
      </c>
      <c r="N684" s="327" t="s">
        <v>2822</v>
      </c>
      <c r="O684" s="342" t="s">
        <v>2823</v>
      </c>
      <c r="Q684" s="329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327" t="s">
        <v>2822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327" t="s">
        <v>2822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327" t="s">
        <v>2822</v>
      </c>
      <c r="Z684" t="str">
        <f>IFERROR(VLOOKUP(ROWS($Z$3:Z684),$X$3:$Y$992,2,0),"")</f>
        <v>Maloobchod s novinami, časopisy a papírnickým zbožím</v>
      </c>
    </row>
    <row r="685" spans="13:26" ht="12.75">
      <c r="M685" s="326">
        <f>IF(ISNUMBER(SEARCH(ZAKL_DATA!$B$29,N685)),MAX($M$2:M684)+1,0)</f>
        <v>683.0</v>
      </c>
      <c r="N685" s="327" t="s">
        <v>2824</v>
      </c>
      <c r="O685" s="342" t="s">
        <v>2825</v>
      </c>
      <c r="Q685" s="329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327" t="s">
        <v>2824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327" t="s">
        <v>2824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327" t="s">
        <v>2824</v>
      </c>
      <c r="Z685" t="str">
        <f>IFERROR(VLOOKUP(ROWS($Z$3:Z685),$X$3:$Y$992,2,0),"")</f>
        <v>Maloobchod s audio- a videozáznamy</v>
      </c>
    </row>
    <row r="686" spans="13:26" ht="12.75">
      <c r="M686" s="326">
        <f>IF(ISNUMBER(SEARCH(ZAKL_DATA!$B$29,N686)),MAX($M$2:M685)+1,0)</f>
        <v>684.0</v>
      </c>
      <c r="N686" s="327" t="s">
        <v>2826</v>
      </c>
      <c r="O686" s="342" t="s">
        <v>2827</v>
      </c>
      <c r="Q686" s="329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327" t="s">
        <v>2826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327" t="s">
        <v>2826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327" t="s">
        <v>2826</v>
      </c>
      <c r="Z686" t="str">
        <f>IFERROR(VLOOKUP(ROWS($Z$3:Z686),$X$3:$Y$992,2,0),"")</f>
        <v>Maloobchod se sportovním vybavením</v>
      </c>
    </row>
    <row r="687" spans="13:26" ht="12.75">
      <c r="M687" s="326">
        <f>IF(ISNUMBER(SEARCH(ZAKL_DATA!$B$29,N687)),MAX($M$2:M686)+1,0)</f>
        <v>685.0</v>
      </c>
      <c r="N687" s="327" t="s">
        <v>2828</v>
      </c>
      <c r="O687" s="342" t="s">
        <v>2829</v>
      </c>
      <c r="Q687" s="329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327" t="s">
        <v>2828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327" t="s">
        <v>2828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327" t="s">
        <v>2828</v>
      </c>
      <c r="Z687" t="str">
        <f>IFERROR(VLOOKUP(ROWS($Z$3:Z687),$X$3:$Y$992,2,0),"")</f>
        <v>Maloobchod s hrami a hračkami</v>
      </c>
    </row>
    <row r="688" spans="13:26" ht="12.75">
      <c r="M688" s="326">
        <f>IF(ISNUMBER(SEARCH(ZAKL_DATA!$B$29,N688)),MAX($M$2:M687)+1,0)</f>
        <v>686.0</v>
      </c>
      <c r="N688" s="327" t="s">
        <v>2830</v>
      </c>
      <c r="O688" s="342" t="s">
        <v>2831</v>
      </c>
      <c r="Q688" s="329" t="str">
        <f>IFERROR(VLOOKUP(ROWS($Q$3:Q688),$M$3:$N$992,2,0),"")</f>
        <v>Maloobchod s oděvy</v>
      </c>
      <c r="R688">
        <f>IF(ISNUMBER(SEARCH('1Př1'!$A$32,N688)),MAX($M$2:M687)+1,0)</f>
        <v>686.0</v>
      </c>
      <c r="S688" s="327" t="s">
        <v>2830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327" t="s">
        <v>2830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327" t="s">
        <v>2830</v>
      </c>
      <c r="Z688" t="str">
        <f>IFERROR(VLOOKUP(ROWS($Z$3:Z688),$X$3:$Y$992,2,0),"")</f>
        <v>Maloobchod s oděvy</v>
      </c>
    </row>
    <row r="689" spans="13:26" ht="12.75">
      <c r="M689" s="326">
        <f>IF(ISNUMBER(SEARCH(ZAKL_DATA!$B$29,N689)),MAX($M$2:M688)+1,0)</f>
        <v>687.0</v>
      </c>
      <c r="N689" s="327" t="s">
        <v>2832</v>
      </c>
      <c r="O689" s="342" t="s">
        <v>2833</v>
      </c>
      <c r="Q689" s="329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327" t="s">
        <v>2832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327" t="s">
        <v>2832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327" t="s">
        <v>2832</v>
      </c>
      <c r="Z689" t="str">
        <f>IFERROR(VLOOKUP(ROWS($Z$3:Z689),$X$3:$Y$992,2,0),"")</f>
        <v>Maloobchod s obuví a koženými výrobky</v>
      </c>
    </row>
    <row r="690" spans="13:26" ht="12.75">
      <c r="M690" s="326">
        <f>IF(ISNUMBER(SEARCH(ZAKL_DATA!$B$29,N690)),MAX($M$2:M689)+1,0)</f>
        <v>688.0</v>
      </c>
      <c r="N690" s="327" t="s">
        <v>2834</v>
      </c>
      <c r="O690" s="342" t="s">
        <v>2835</v>
      </c>
      <c r="Q690" s="329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327" t="s">
        <v>2834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327" t="s">
        <v>2834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327" t="s">
        <v>2834</v>
      </c>
      <c r="Z690" t="str">
        <f>IFERROR(VLOOKUP(ROWS($Z$3:Z690),$X$3:$Y$992,2,0),"")</f>
        <v>Maloobchod s farmaceutickými přípravky</v>
      </c>
    </row>
    <row r="691" spans="13:26" ht="12.75">
      <c r="M691" s="326">
        <f>IF(ISNUMBER(SEARCH(ZAKL_DATA!$B$29,N691)),MAX($M$2:M690)+1,0)</f>
        <v>689.0</v>
      </c>
      <c r="N691" s="327" t="s">
        <v>2836</v>
      </c>
      <c r="O691" s="342" t="s">
        <v>2837</v>
      </c>
      <c r="Q691" s="329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327" t="s">
        <v>2836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327" t="s">
        <v>2836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327" t="s">
        <v>2836</v>
      </c>
      <c r="Z691" t="str">
        <f>IFERROR(VLOOKUP(ROWS($Z$3:Z691),$X$3:$Y$992,2,0),"")</f>
        <v>Maloobchod se zdravotnickými a ortopedickými výrobky</v>
      </c>
    </row>
    <row r="692" spans="13:26" ht="12.75">
      <c r="M692" s="326">
        <f>IF(ISNUMBER(SEARCH(ZAKL_DATA!$B$29,N692)),MAX($M$2:M691)+1,0)</f>
        <v>690.0</v>
      </c>
      <c r="N692" s="327" t="s">
        <v>2838</v>
      </c>
      <c r="O692" s="342" t="s">
        <v>2839</v>
      </c>
      <c r="Q692" s="329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327" t="s">
        <v>2838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327" t="s">
        <v>2838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327" t="s">
        <v>2838</v>
      </c>
      <c r="Z692" t="str">
        <f>IFERROR(VLOOKUP(ROWS($Z$3:Z692),$X$3:$Y$992,2,0),"")</f>
        <v>Maloobchod s kosmetickými a toaletními výrobky</v>
      </c>
    </row>
    <row r="693" spans="13:26" ht="12.75">
      <c r="M693" s="326">
        <f>IF(ISNUMBER(SEARCH(ZAKL_DATA!$B$29,N693)),MAX($M$2:M692)+1,0)</f>
        <v>691.0</v>
      </c>
      <c r="N693" s="327" t="s">
        <v>2840</v>
      </c>
      <c r="O693" s="342" t="s">
        <v>2841</v>
      </c>
      <c r="Q693" s="329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327" t="s">
        <v>2840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327" t="s">
        <v>2840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327" t="s">
        <v>2840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26">
        <f>IF(ISNUMBER(SEARCH(ZAKL_DATA!$B$29,N694)),MAX($M$2:M693)+1,0)</f>
        <v>692.0</v>
      </c>
      <c r="N694" s="327" t="s">
        <v>2842</v>
      </c>
      <c r="O694" s="342" t="s">
        <v>2843</v>
      </c>
      <c r="Q694" s="329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327" t="s">
        <v>2842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327" t="s">
        <v>2842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327" t="s">
        <v>2842</v>
      </c>
      <c r="Z694" t="str">
        <f>IFERROR(VLOOKUP(ROWS($Z$3:Z694),$X$3:$Y$992,2,0),"")</f>
        <v>Maloobchod s hodinami, hodinkami a klenoty</v>
      </c>
    </row>
    <row r="695" spans="13:26" ht="12.75">
      <c r="M695" s="326">
        <f>IF(ISNUMBER(SEARCH(ZAKL_DATA!$B$29,N695)),MAX($M$2:M694)+1,0)</f>
        <v>693.0</v>
      </c>
      <c r="N695" s="327" t="s">
        <v>2844</v>
      </c>
      <c r="O695" s="342" t="s">
        <v>2845</v>
      </c>
      <c r="Q695" s="329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327" t="s">
        <v>2844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327" t="s">
        <v>2844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327" t="s">
        <v>2844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26">
        <f>IF(ISNUMBER(SEARCH(ZAKL_DATA!$B$29,N696)),MAX($M$2:M695)+1,0)</f>
        <v>694.0</v>
      </c>
      <c r="N696" s="327" t="s">
        <v>2846</v>
      </c>
      <c r="O696" s="342" t="s">
        <v>2847</v>
      </c>
      <c r="Q696" s="329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327" t="s">
        <v>2846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327" t="s">
        <v>2846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327" t="s">
        <v>2846</v>
      </c>
      <c r="Z696" t="str">
        <f>IFERROR(VLOOKUP(ROWS($Z$3:Z696),$X$3:$Y$992,2,0),"")</f>
        <v>Maloobchod s použitým zbožím v prodejnách</v>
      </c>
    </row>
    <row r="697" spans="13:26" ht="12.75">
      <c r="M697" s="326">
        <f>IF(ISNUMBER(SEARCH(ZAKL_DATA!$B$29,N697)),MAX($M$2:M696)+1,0)</f>
        <v>695.0</v>
      </c>
      <c r="N697" s="327" t="s">
        <v>2848</v>
      </c>
      <c r="O697" s="342" t="s">
        <v>2849</v>
      </c>
      <c r="Q697" s="329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327" t="s">
        <v>2848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327" t="s">
        <v>2848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327" t="s">
        <v>2848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26">
        <f>IF(ISNUMBER(SEARCH(ZAKL_DATA!$B$29,N698)),MAX($M$2:M697)+1,0)</f>
        <v>696.0</v>
      </c>
      <c r="N698" s="327" t="s">
        <v>2850</v>
      </c>
      <c r="O698" s="342" t="s">
        <v>2851</v>
      </c>
      <c r="Q698" s="329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327" t="s">
        <v>2850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327" t="s">
        <v>2850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327" t="s">
        <v>2850</v>
      </c>
      <c r="Z698" t="str">
        <f>IFERROR(VLOOKUP(ROWS($Z$3:Z698),$X$3:$Y$992,2,0),"")</f>
        <v>Maloobchod s textilem, oděvy a obuví ve stáncích a na trzích</v>
      </c>
    </row>
    <row r="699" spans="13:26" ht="12.75">
      <c r="M699" s="326">
        <f>IF(ISNUMBER(SEARCH(ZAKL_DATA!$B$29,N699)),MAX($M$2:M698)+1,0)</f>
        <v>697.0</v>
      </c>
      <c r="N699" s="327" t="s">
        <v>2852</v>
      </c>
      <c r="O699" s="342" t="s">
        <v>2853</v>
      </c>
      <c r="Q699" s="329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327" t="s">
        <v>2852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327" t="s">
        <v>2852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327" t="s">
        <v>2852</v>
      </c>
      <c r="Z699" t="str">
        <f>IFERROR(VLOOKUP(ROWS($Z$3:Z699),$X$3:$Y$992,2,0),"")</f>
        <v>Maloobchod s ostatním zbožím ve stáncích a na trzích</v>
      </c>
    </row>
    <row r="700" spans="13:26" ht="12.75">
      <c r="M700" s="326">
        <f>IF(ISNUMBER(SEARCH(ZAKL_DATA!$B$29,N700)),MAX($M$2:M699)+1,0)</f>
        <v>698.0</v>
      </c>
      <c r="N700" s="327" t="s">
        <v>2854</v>
      </c>
      <c r="O700" s="342" t="s">
        <v>2855</v>
      </c>
      <c r="Q700" s="329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327" t="s">
        <v>2854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327" t="s">
        <v>2854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327" t="s">
        <v>2854</v>
      </c>
      <c r="Z700" t="str">
        <f>IFERROR(VLOOKUP(ROWS($Z$3:Z700),$X$3:$Y$992,2,0),"")</f>
        <v>Maloobchod prostřednictvím internetu nebo zásilkové služby</v>
      </c>
    </row>
    <row r="701" spans="13:26" ht="12.75">
      <c r="M701" s="326">
        <f>IF(ISNUMBER(SEARCH(ZAKL_DATA!$B$29,N701)),MAX($M$2:M700)+1,0)</f>
        <v>699.0</v>
      </c>
      <c r="N701" s="327" t="s">
        <v>2856</v>
      </c>
      <c r="O701" s="342" t="s">
        <v>2857</v>
      </c>
      <c r="Q701" s="329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327" t="s">
        <v>2856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327" t="s">
        <v>2856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327" t="s">
        <v>2856</v>
      </c>
      <c r="Z701" t="str">
        <f>IFERROR(VLOOKUP(ROWS($Z$3:Z701),$X$3:$Y$992,2,0),"")</f>
        <v>Ostatní maloobchod mimo prodejny, stánky a trhy</v>
      </c>
    </row>
    <row r="702" spans="13:26" ht="12.75">
      <c r="M702" s="326">
        <f>IF(ISNUMBER(SEARCH(ZAKL_DATA!$B$29,N702)),MAX($M$2:M701)+1,0)</f>
        <v>700.0</v>
      </c>
      <c r="N702" s="327" t="s">
        <v>2858</v>
      </c>
      <c r="O702" s="342" t="s">
        <v>2859</v>
      </c>
      <c r="Q702" s="329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327" t="s">
        <v>2858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327" t="s">
        <v>2858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327" t="s">
        <v>2858</v>
      </c>
      <c r="Z702" t="str">
        <f>IFERROR(VLOOKUP(ROWS($Z$3:Z702),$X$3:$Y$992,2,0),"")</f>
        <v>Městská a příměstská pozemní osobní doprava</v>
      </c>
    </row>
    <row r="703" spans="13:26" ht="12.75">
      <c r="M703" s="326">
        <f>IF(ISNUMBER(SEARCH(ZAKL_DATA!$B$29,N703)),MAX($M$2:M702)+1,0)</f>
        <v>701.0</v>
      </c>
      <c r="N703" s="327" t="s">
        <v>2860</v>
      </c>
      <c r="O703" s="342" t="s">
        <v>2861</v>
      </c>
      <c r="Q703" s="329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327" t="s">
        <v>2860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327" t="s">
        <v>2860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327" t="s">
        <v>2860</v>
      </c>
      <c r="Z703" t="str">
        <f>IFERROR(VLOOKUP(ROWS($Z$3:Z703),$X$3:$Y$992,2,0),"")</f>
        <v>Taxislužba a pronájem osobních vozů s řidičem</v>
      </c>
    </row>
    <row r="704" spans="13:26" ht="12.75">
      <c r="M704" s="326">
        <f>IF(ISNUMBER(SEARCH(ZAKL_DATA!$B$29,N704)),MAX($M$2:M703)+1,0)</f>
        <v>702.0</v>
      </c>
      <c r="N704" s="327" t="s">
        <v>2862</v>
      </c>
      <c r="O704" s="342" t="s">
        <v>2863</v>
      </c>
      <c r="Q704" s="329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327" t="s">
        <v>2862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327" t="s">
        <v>2862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327" t="s">
        <v>2862</v>
      </c>
      <c r="Z704" t="str">
        <f>IFERROR(VLOOKUP(ROWS($Z$3:Z704),$X$3:$Y$992,2,0),"")</f>
        <v>Ostatní pozemní osobní doprava j. n.</v>
      </c>
    </row>
    <row r="705" spans="13:26" ht="12.75">
      <c r="M705" s="326">
        <f>IF(ISNUMBER(SEARCH(ZAKL_DATA!$B$29,N705)),MAX($M$2:M704)+1,0)</f>
        <v>703.0</v>
      </c>
      <c r="N705" s="327" t="s">
        <v>2864</v>
      </c>
      <c r="O705" s="342" t="s">
        <v>2865</v>
      </c>
      <c r="Q705" s="329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327" t="s">
        <v>2864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327" t="s">
        <v>2864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327" t="s">
        <v>2864</v>
      </c>
      <c r="Z705" t="str">
        <f>IFERROR(VLOOKUP(ROWS($Z$3:Z705),$X$3:$Y$992,2,0),"")</f>
        <v>Silniční nákladní doprava</v>
      </c>
    </row>
    <row r="706" spans="13:26" ht="12.75">
      <c r="M706" s="326">
        <f>IF(ISNUMBER(SEARCH(ZAKL_DATA!$B$29,N706)),MAX($M$2:M705)+1,0)</f>
        <v>704.0</v>
      </c>
      <c r="N706" s="327" t="s">
        <v>2866</v>
      </c>
      <c r="O706" s="342" t="s">
        <v>2867</v>
      </c>
      <c r="Q706" s="329" t="str">
        <f>IFERROR(VLOOKUP(ROWS($Q$3:Q706),$M$3:$N$992,2,0),"")</f>
        <v>Stěhovací služby</v>
      </c>
      <c r="R706">
        <f>IF(ISNUMBER(SEARCH('1Př1'!$A$32,N706)),MAX($M$2:M705)+1,0)</f>
        <v>704.0</v>
      </c>
      <c r="S706" s="327" t="s">
        <v>2866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327" t="s">
        <v>2866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327" t="s">
        <v>2866</v>
      </c>
      <c r="Z706" t="str">
        <f>IFERROR(VLOOKUP(ROWS($Z$3:Z706),$X$3:$Y$992,2,0),"")</f>
        <v>Stěhovací služby</v>
      </c>
    </row>
    <row r="707" spans="13:26" ht="12.75">
      <c r="M707" s="326">
        <f>IF(ISNUMBER(SEARCH(ZAKL_DATA!$B$29,N707)),MAX($M$2:M706)+1,0)</f>
        <v>705.0</v>
      </c>
      <c r="N707" s="327" t="s">
        <v>2868</v>
      </c>
      <c r="O707" s="342" t="s">
        <v>2869</v>
      </c>
      <c r="Q707" s="329" t="str">
        <f>IFERROR(VLOOKUP(ROWS($Q$3:Q707),$M$3:$N$992,2,0),"")</f>
        <v>Těžba černého uhlí</v>
      </c>
      <c r="R707">
        <f>IF(ISNUMBER(SEARCH('1Př1'!$A$32,N707)),MAX($M$2:M706)+1,0)</f>
        <v>705.0</v>
      </c>
      <c r="S707" s="327" t="s">
        <v>2868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327" t="s">
        <v>2868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327" t="s">
        <v>2868</v>
      </c>
      <c r="Z707" t="str">
        <f>IFERROR(VLOOKUP(ROWS($Z$3:Z707),$X$3:$Y$992,2,0),"")</f>
        <v>Těžba černého uhlí</v>
      </c>
    </row>
    <row r="708" spans="13:26" ht="12.75">
      <c r="M708" s="326">
        <f>IF(ISNUMBER(SEARCH(ZAKL_DATA!$B$29,N708)),MAX($M$2:M707)+1,0)</f>
        <v>706.0</v>
      </c>
      <c r="N708" s="327" t="s">
        <v>2870</v>
      </c>
      <c r="O708" s="342" t="s">
        <v>2871</v>
      </c>
      <c r="Q708" s="329" t="str">
        <f>IFERROR(VLOOKUP(ROWS($Q$3:Q708),$M$3:$N$992,2,0),"")</f>
        <v>Úprava černého uhlí</v>
      </c>
      <c r="R708">
        <f>IF(ISNUMBER(SEARCH('1Př1'!$A$32,N708)),MAX($M$2:M707)+1,0)</f>
        <v>706.0</v>
      </c>
      <c r="S708" s="327" t="s">
        <v>2870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327" t="s">
        <v>2870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327" t="s">
        <v>2870</v>
      </c>
      <c r="Z708" t="str">
        <f>IFERROR(VLOOKUP(ROWS($Z$3:Z708),$X$3:$Y$992,2,0),"")</f>
        <v>Úprava černého uhlí</v>
      </c>
    </row>
    <row r="709" spans="13:26" ht="12.75">
      <c r="M709" s="326">
        <f>IF(ISNUMBER(SEARCH(ZAKL_DATA!$B$29,N709)),MAX($M$2:M708)+1,0)</f>
        <v>707.0</v>
      </c>
      <c r="N709" s="327" t="s">
        <v>2872</v>
      </c>
      <c r="O709" s="342" t="s">
        <v>2873</v>
      </c>
      <c r="Q709" s="329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327" t="s">
        <v>2872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327" t="s">
        <v>2872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327" t="s">
        <v>2872</v>
      </c>
      <c r="Z709" t="str">
        <f>IFERROR(VLOOKUP(ROWS($Z$3:Z709),$X$3:$Y$992,2,0),"")</f>
        <v>Letecká nákladní doprava</v>
      </c>
    </row>
    <row r="710" spans="13:26" ht="12.75">
      <c r="M710" s="326">
        <f>IF(ISNUMBER(SEARCH(ZAKL_DATA!$B$29,N710)),MAX($M$2:M709)+1,0)</f>
        <v>708.0</v>
      </c>
      <c r="N710" s="327" t="s">
        <v>2874</v>
      </c>
      <c r="O710" s="342" t="s">
        <v>2875</v>
      </c>
      <c r="Q710" s="329" t="str">
        <f>IFERROR(VLOOKUP(ROWS($Q$3:Q710),$M$3:$N$992,2,0),"")</f>
        <v>Kosmická doprava</v>
      </c>
      <c r="R710">
        <f>IF(ISNUMBER(SEARCH('1Př1'!$A$32,N710)),MAX($M$2:M709)+1,0)</f>
        <v>708.0</v>
      </c>
      <c r="S710" s="327" t="s">
        <v>2874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327" t="s">
        <v>2874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327" t="s">
        <v>2874</v>
      </c>
      <c r="Z710" t="str">
        <f>IFERROR(VLOOKUP(ROWS($Z$3:Z710),$X$3:$Y$992,2,0),"")</f>
        <v>Kosmická doprava</v>
      </c>
    </row>
    <row r="711" spans="13:26" ht="12.75">
      <c r="M711" s="326">
        <f>IF(ISNUMBER(SEARCH(ZAKL_DATA!$B$29,N711)),MAX($M$2:M710)+1,0)</f>
        <v>709.0</v>
      </c>
      <c r="N711" s="327" t="s">
        <v>2876</v>
      </c>
      <c r="O711" s="342" t="s">
        <v>2877</v>
      </c>
      <c r="Q711" s="329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327" t="s">
        <v>2876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327" t="s">
        <v>2876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327" t="s">
        <v>2876</v>
      </c>
      <c r="Z711" t="str">
        <f>IFERROR(VLOOKUP(ROWS($Z$3:Z711),$X$3:$Y$992,2,0),"")</f>
        <v>Těžba hnědého uhlí, kromě lignitu</v>
      </c>
    </row>
    <row r="712" spans="13:26" ht="12.75">
      <c r="M712" s="326">
        <f>IF(ISNUMBER(SEARCH(ZAKL_DATA!$B$29,N712)),MAX($M$2:M711)+1,0)</f>
        <v>710.0</v>
      </c>
      <c r="N712" s="327" t="s">
        <v>2878</v>
      </c>
      <c r="O712" s="342" t="s">
        <v>2879</v>
      </c>
      <c r="Q712" s="329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327" t="s">
        <v>2878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327" t="s">
        <v>2878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327" t="s">
        <v>2878</v>
      </c>
      <c r="Z712" t="str">
        <f>IFERROR(VLOOKUP(ROWS($Z$3:Z712),$X$3:$Y$992,2,0),"")</f>
        <v>Úprava hnědého uhlí, kromě lignitu</v>
      </c>
    </row>
    <row r="713" spans="13:26" ht="12.75">
      <c r="M713" s="326">
        <f>IF(ISNUMBER(SEARCH(ZAKL_DATA!$B$29,N713)),MAX($M$2:M712)+1,0)</f>
        <v>711.0</v>
      </c>
      <c r="N713" s="327" t="s">
        <v>2880</v>
      </c>
      <c r="O713" s="342" t="s">
        <v>2881</v>
      </c>
      <c r="Q713" s="329" t="str">
        <f>IFERROR(VLOOKUP(ROWS($Q$3:Q713),$M$3:$N$992,2,0),"")</f>
        <v>Těžba lignitu</v>
      </c>
      <c r="R713">
        <f>IF(ISNUMBER(SEARCH('1Př1'!$A$32,N713)),MAX($M$2:M712)+1,0)</f>
        <v>711.0</v>
      </c>
      <c r="S713" s="327" t="s">
        <v>2880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327" t="s">
        <v>2880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327" t="s">
        <v>2880</v>
      </c>
      <c r="Z713" t="str">
        <f>IFERROR(VLOOKUP(ROWS($Z$3:Z713),$X$3:$Y$992,2,0),"")</f>
        <v>Těžba lignitu</v>
      </c>
    </row>
    <row r="714" spans="13:26" ht="12.75">
      <c r="M714" s="326">
        <f>IF(ISNUMBER(SEARCH(ZAKL_DATA!$B$29,N714)),MAX($M$2:M713)+1,0)</f>
        <v>712.0</v>
      </c>
      <c r="N714" s="327" t="s">
        <v>2882</v>
      </c>
      <c r="O714" s="342" t="s">
        <v>2883</v>
      </c>
      <c r="Q714" s="329" t="str">
        <f>IFERROR(VLOOKUP(ROWS($Q$3:Q714),$M$3:$N$992,2,0),"")</f>
        <v>Úprava lignitu</v>
      </c>
      <c r="R714">
        <f>IF(ISNUMBER(SEARCH('1Př1'!$A$32,N714)),MAX($M$2:M713)+1,0)</f>
        <v>712.0</v>
      </c>
      <c r="S714" s="327" t="s">
        <v>2882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327" t="s">
        <v>2882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327" t="s">
        <v>2882</v>
      </c>
      <c r="Z714" t="str">
        <f>IFERROR(VLOOKUP(ROWS($Z$3:Z714),$X$3:$Y$992,2,0),"")</f>
        <v>Úprava lignitu</v>
      </c>
    </row>
    <row r="715" spans="13:26" ht="12.75">
      <c r="M715" s="326">
        <f>IF(ISNUMBER(SEARCH(ZAKL_DATA!$B$29,N715)),MAX($M$2:M714)+1,0)</f>
        <v>713.0</v>
      </c>
      <c r="N715" s="327" t="s">
        <v>2884</v>
      </c>
      <c r="O715" s="342" t="s">
        <v>2885</v>
      </c>
      <c r="Q715" s="329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327" t="s">
        <v>2884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327" t="s">
        <v>2884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327" t="s">
        <v>2884</v>
      </c>
      <c r="Z715" t="str">
        <f>IFERROR(VLOOKUP(ROWS($Z$3:Z715),$X$3:$Y$992,2,0),"")</f>
        <v>Činnosti související s pozemní dopravou</v>
      </c>
    </row>
    <row r="716" spans="13:26" ht="12.75">
      <c r="M716" s="326">
        <f>IF(ISNUMBER(SEARCH(ZAKL_DATA!$B$29,N716)),MAX($M$2:M715)+1,0)</f>
        <v>714.0</v>
      </c>
      <c r="N716" s="327" t="s">
        <v>2886</v>
      </c>
      <c r="O716" s="342" t="s">
        <v>2887</v>
      </c>
      <c r="Q716" s="329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327" t="s">
        <v>2886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327" t="s">
        <v>2886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327" t="s">
        <v>2886</v>
      </c>
      <c r="Z716" t="str">
        <f>IFERROR(VLOOKUP(ROWS($Z$3:Z716),$X$3:$Y$992,2,0),"")</f>
        <v>Činnosti související s vodní dopravou</v>
      </c>
    </row>
    <row r="717" spans="13:26" ht="12.75">
      <c r="M717" s="326">
        <f>IF(ISNUMBER(SEARCH(ZAKL_DATA!$B$29,N717)),MAX($M$2:M716)+1,0)</f>
        <v>715.0</v>
      </c>
      <c r="N717" s="327" t="s">
        <v>2888</v>
      </c>
      <c r="O717" s="342" t="s">
        <v>2889</v>
      </c>
      <c r="Q717" s="329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327" t="s">
        <v>2888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327" t="s">
        <v>2888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327" t="s">
        <v>2888</v>
      </c>
      <c r="Z717" t="str">
        <f>IFERROR(VLOOKUP(ROWS($Z$3:Z717),$X$3:$Y$992,2,0),"")</f>
        <v>Činnosti související s leteckou dopravou</v>
      </c>
    </row>
    <row r="718" spans="13:26" ht="12.75">
      <c r="M718" s="326">
        <f>IF(ISNUMBER(SEARCH(ZAKL_DATA!$B$29,N718)),MAX($M$2:M717)+1,0)</f>
        <v>716.0</v>
      </c>
      <c r="N718" s="327" t="s">
        <v>2890</v>
      </c>
      <c r="O718" s="342" t="s">
        <v>2891</v>
      </c>
      <c r="Q718" s="329" t="str">
        <f>IFERROR(VLOOKUP(ROWS($Q$3:Q718),$M$3:$N$992,2,0),"")</f>
        <v>Manipulace s nákladem</v>
      </c>
      <c r="R718">
        <f>IF(ISNUMBER(SEARCH('1Př1'!$A$32,N718)),MAX($M$2:M717)+1,0)</f>
        <v>716.0</v>
      </c>
      <c r="S718" s="327" t="s">
        <v>2890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327" t="s">
        <v>2890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327" t="s">
        <v>2890</v>
      </c>
      <c r="Z718" t="str">
        <f>IFERROR(VLOOKUP(ROWS($Z$3:Z718),$X$3:$Y$992,2,0),"")</f>
        <v>Manipulace s nákladem</v>
      </c>
    </row>
    <row r="719" spans="13:26" ht="12.75">
      <c r="M719" s="326">
        <f>IF(ISNUMBER(SEARCH(ZAKL_DATA!$B$29,N719)),MAX($M$2:M718)+1,0)</f>
        <v>717.0</v>
      </c>
      <c r="N719" s="327" t="s">
        <v>2892</v>
      </c>
      <c r="O719" s="342" t="s">
        <v>2893</v>
      </c>
      <c r="Q719" s="329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327" t="s">
        <v>2892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327" t="s">
        <v>2892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327" t="s">
        <v>2892</v>
      </c>
      <c r="Z719" t="str">
        <f>IFERROR(VLOOKUP(ROWS($Z$3:Z719),$X$3:$Y$992,2,0),"")</f>
        <v>Ostatní vedlejší činnosti v dopravě</v>
      </c>
    </row>
    <row r="720" spans="13:26" ht="12.75">
      <c r="M720" s="326">
        <f>IF(ISNUMBER(SEARCH(ZAKL_DATA!$B$29,N720)),MAX($M$2:M719)+1,0)</f>
        <v>718.0</v>
      </c>
      <c r="N720" s="327" t="s">
        <v>2894</v>
      </c>
      <c r="O720" s="342" t="s">
        <v>2895</v>
      </c>
      <c r="Q720" s="329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327" t="s">
        <v>2894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327" t="s">
        <v>2894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327" t="s">
        <v>2894</v>
      </c>
      <c r="Z720" t="str">
        <f>IFERROR(VLOOKUP(ROWS($Z$3:Z720),$X$3:$Y$992,2,0),"")</f>
        <v>Poskytování cateringových služeb</v>
      </c>
    </row>
    <row r="721" spans="13:26" ht="12.75">
      <c r="M721" s="326">
        <f>IF(ISNUMBER(SEARCH(ZAKL_DATA!$B$29,N721)),MAX($M$2:M720)+1,0)</f>
        <v>719.0</v>
      </c>
      <c r="N721" s="327" t="s">
        <v>2896</v>
      </c>
      <c r="O721" s="342" t="s">
        <v>2897</v>
      </c>
      <c r="Q721" s="329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327" t="s">
        <v>2896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327" t="s">
        <v>2896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327" t="s">
        <v>2896</v>
      </c>
      <c r="Z721" t="str">
        <f>IFERROR(VLOOKUP(ROWS($Z$3:Z721),$X$3:$Y$992,2,0),"")</f>
        <v>Poskytování ostatních stravovacích služeb</v>
      </c>
    </row>
    <row r="722" spans="13:26" ht="12.75">
      <c r="M722" s="326">
        <f>IF(ISNUMBER(SEARCH(ZAKL_DATA!$B$29,N722)),MAX($M$2:M721)+1,0)</f>
        <v>720.0</v>
      </c>
      <c r="N722" s="327" t="s">
        <v>2898</v>
      </c>
      <c r="O722" s="342" t="s">
        <v>2899</v>
      </c>
      <c r="Q722" s="329" t="str">
        <f>IFERROR(VLOOKUP(ROWS($Q$3:Q722),$M$3:$N$992,2,0),"")</f>
        <v>Vydávání knih</v>
      </c>
      <c r="R722">
        <f>IF(ISNUMBER(SEARCH('1Př1'!$A$32,N722)),MAX($M$2:M721)+1,0)</f>
        <v>720.0</v>
      </c>
      <c r="S722" s="327" t="s">
        <v>2898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327" t="s">
        <v>2898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327" t="s">
        <v>2898</v>
      </c>
      <c r="Z722" t="str">
        <f>IFERROR(VLOOKUP(ROWS($Z$3:Z722),$X$3:$Y$992,2,0),"")</f>
        <v>Vydávání knih</v>
      </c>
    </row>
    <row r="723" spans="13:26" ht="12.75">
      <c r="M723" s="326">
        <f>IF(ISNUMBER(SEARCH(ZAKL_DATA!$B$29,N723)),MAX($M$2:M722)+1,0)</f>
        <v>721.0</v>
      </c>
      <c r="N723" s="327" t="s">
        <v>2900</v>
      </c>
      <c r="O723" s="342" t="s">
        <v>2901</v>
      </c>
      <c r="Q723" s="329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327" t="s">
        <v>2900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327" t="s">
        <v>2900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327" t="s">
        <v>2900</v>
      </c>
      <c r="Z723" t="str">
        <f>IFERROR(VLOOKUP(ROWS($Z$3:Z723),$X$3:$Y$992,2,0),"")</f>
        <v>Vydávání adresářů a jiných seznamů</v>
      </c>
    </row>
    <row r="724" spans="13:26" ht="12.75">
      <c r="M724" s="326">
        <f>IF(ISNUMBER(SEARCH(ZAKL_DATA!$B$29,N724)),MAX($M$2:M723)+1,0)</f>
        <v>722.0</v>
      </c>
      <c r="N724" s="327" t="s">
        <v>2902</v>
      </c>
      <c r="O724" s="342" t="s">
        <v>2903</v>
      </c>
      <c r="Q724" s="329" t="str">
        <f>IFERROR(VLOOKUP(ROWS($Q$3:Q724),$M$3:$N$992,2,0),"")</f>
        <v>Vydávání novin</v>
      </c>
      <c r="R724">
        <f>IF(ISNUMBER(SEARCH('1Př1'!$A$32,N724)),MAX($M$2:M723)+1,0)</f>
        <v>722.0</v>
      </c>
      <c r="S724" s="327" t="s">
        <v>2902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327" t="s">
        <v>2902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327" t="s">
        <v>2902</v>
      </c>
      <c r="Z724" t="str">
        <f>IFERROR(VLOOKUP(ROWS($Z$3:Z724),$X$3:$Y$992,2,0),"")</f>
        <v>Vydávání novin</v>
      </c>
    </row>
    <row r="725" spans="13:26" ht="12.75">
      <c r="M725" s="326">
        <f>IF(ISNUMBER(SEARCH(ZAKL_DATA!$B$29,N725)),MAX($M$2:M724)+1,0)</f>
        <v>723.0</v>
      </c>
      <c r="N725" s="327" t="s">
        <v>2904</v>
      </c>
      <c r="O725" s="342" t="s">
        <v>2905</v>
      </c>
      <c r="Q725" s="329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327" t="s">
        <v>2904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327" t="s">
        <v>2904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327" t="s">
        <v>2904</v>
      </c>
      <c r="Z725" t="str">
        <f>IFERROR(VLOOKUP(ROWS($Z$3:Z725),$X$3:$Y$992,2,0),"")</f>
        <v>Vydávání časopisů a ostatních periodických publikací</v>
      </c>
    </row>
    <row r="726" spans="13:26" ht="12.75">
      <c r="M726" s="326">
        <f>IF(ISNUMBER(SEARCH(ZAKL_DATA!$B$29,N726)),MAX($M$2:M725)+1,0)</f>
        <v>724.0</v>
      </c>
      <c r="N726" s="327" t="s">
        <v>2906</v>
      </c>
      <c r="O726" s="342" t="s">
        <v>2907</v>
      </c>
      <c r="Q726" s="329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327" t="s">
        <v>2906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327" t="s">
        <v>2906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327" t="s">
        <v>2906</v>
      </c>
      <c r="Z726" t="str">
        <f>IFERROR(VLOOKUP(ROWS($Z$3:Z726),$X$3:$Y$992,2,0),"")</f>
        <v>Ostatní vydavatelské činnosti</v>
      </c>
    </row>
    <row r="727" spans="13:26" ht="12.75">
      <c r="M727" s="326">
        <f>IF(ISNUMBER(SEARCH(ZAKL_DATA!$B$29,N727)),MAX($M$2:M726)+1,0)</f>
        <v>725.0</v>
      </c>
      <c r="N727" s="327" t="s">
        <v>2908</v>
      </c>
      <c r="O727" s="342" t="s">
        <v>2909</v>
      </c>
      <c r="Q727" s="329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327" t="s">
        <v>2908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327" t="s">
        <v>2908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327" t="s">
        <v>2908</v>
      </c>
      <c r="Z727" t="str">
        <f>IFERROR(VLOOKUP(ROWS($Z$3:Z727),$X$3:$Y$992,2,0),"")</f>
        <v>Vydávání počítačových her</v>
      </c>
    </row>
    <row r="728" spans="13:26" ht="12.75">
      <c r="M728" s="326">
        <f>IF(ISNUMBER(SEARCH(ZAKL_DATA!$B$29,N728)),MAX($M$2:M727)+1,0)</f>
        <v>726.0</v>
      </c>
      <c r="N728" s="327" t="s">
        <v>2910</v>
      </c>
      <c r="O728" s="342" t="s">
        <v>2911</v>
      </c>
      <c r="Q728" s="329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327" t="s">
        <v>2910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327" t="s">
        <v>2910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327" t="s">
        <v>2910</v>
      </c>
      <c r="Z728" t="str">
        <f>IFERROR(VLOOKUP(ROWS($Z$3:Z728),$X$3:$Y$992,2,0),"")</f>
        <v>Ostatní vydávání softwaru</v>
      </c>
    </row>
    <row r="729" spans="13:26" ht="12.75">
      <c r="M729" s="326">
        <f>IF(ISNUMBER(SEARCH(ZAKL_DATA!$B$29,N729)),MAX($M$2:M728)+1,0)</f>
        <v>727.0</v>
      </c>
      <c r="N729" s="327" t="s">
        <v>2912</v>
      </c>
      <c r="O729" s="342" t="s">
        <v>2913</v>
      </c>
      <c r="Q729" s="329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327" t="s">
        <v>2912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327" t="s">
        <v>2912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327" t="s">
        <v>2912</v>
      </c>
      <c r="Z729" t="str">
        <f>IFERROR(VLOOKUP(ROWS($Z$3:Z729),$X$3:$Y$992,2,0),"")</f>
        <v>Produkce filmů, videozáznamů a televizních programů</v>
      </c>
    </row>
    <row r="730" spans="13:26" ht="12.75">
      <c r="M730" s="326">
        <f>IF(ISNUMBER(SEARCH(ZAKL_DATA!$B$29,N730)),MAX($M$2:M729)+1,0)</f>
        <v>728.0</v>
      </c>
      <c r="N730" s="327" t="s">
        <v>2914</v>
      </c>
      <c r="O730" s="342" t="s">
        <v>2915</v>
      </c>
      <c r="Q730" s="329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327" t="s">
        <v>2914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327" t="s">
        <v>2914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327" t="s">
        <v>2914</v>
      </c>
      <c r="Z730" t="str">
        <f>IFERROR(VLOOKUP(ROWS($Z$3:Z730),$X$3:$Y$992,2,0),"")</f>
        <v>Postprodukce filmů, videozáznamů a televizních programů</v>
      </c>
    </row>
    <row r="731" spans="13:26" ht="12.75">
      <c r="M731" s="326">
        <f>IF(ISNUMBER(SEARCH(ZAKL_DATA!$B$29,N731)),MAX($M$2:M730)+1,0)</f>
        <v>729.0</v>
      </c>
      <c r="N731" s="327" t="s">
        <v>2916</v>
      </c>
      <c r="O731" s="342" t="s">
        <v>2917</v>
      </c>
      <c r="Q731" s="329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327" t="s">
        <v>2916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327" t="s">
        <v>2916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327" t="s">
        <v>2916</v>
      </c>
      <c r="Z731" t="str">
        <f>IFERROR(VLOOKUP(ROWS($Z$3:Z731),$X$3:$Y$992,2,0),"")</f>
        <v>Distribuce filmů, videozáznamů a televizních programů</v>
      </c>
    </row>
    <row r="732" spans="13:26" ht="12.75">
      <c r="M732" s="326">
        <f>IF(ISNUMBER(SEARCH(ZAKL_DATA!$B$29,N732)),MAX($M$2:M731)+1,0)</f>
        <v>730.0</v>
      </c>
      <c r="N732" s="327" t="s">
        <v>2918</v>
      </c>
      <c r="O732" s="342" t="s">
        <v>2919</v>
      </c>
      <c r="Q732" s="329" t="str">
        <f>IFERROR(VLOOKUP(ROWS($Q$3:Q732),$M$3:$N$992,2,0),"")</f>
        <v>Promítání filmů</v>
      </c>
      <c r="R732">
        <f>IF(ISNUMBER(SEARCH('1Př1'!$A$32,N732)),MAX($M$2:M731)+1,0)</f>
        <v>730.0</v>
      </c>
      <c r="S732" s="327" t="s">
        <v>2918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327" t="s">
        <v>2918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327" t="s">
        <v>2918</v>
      </c>
      <c r="Z732" t="str">
        <f>IFERROR(VLOOKUP(ROWS($Z$3:Z732),$X$3:$Y$992,2,0),"")</f>
        <v>Promítání filmů</v>
      </c>
    </row>
    <row r="733" spans="13:26" ht="12.75">
      <c r="M733" s="326">
        <f>IF(ISNUMBER(SEARCH(ZAKL_DATA!$B$29,N733)),MAX($M$2:M732)+1,0)</f>
        <v>731.0</v>
      </c>
      <c r="N733" s="327" t="s">
        <v>2920</v>
      </c>
      <c r="O733" s="342" t="s">
        <v>2921</v>
      </c>
      <c r="Q733" s="329" t="str">
        <f>IFERROR(VLOOKUP(ROWS($Q$3:Q733),$M$3:$N$992,2,0),"")</f>
        <v>Programování</v>
      </c>
      <c r="R733">
        <f>IF(ISNUMBER(SEARCH('1Př1'!$A$32,N733)),MAX($M$2:M732)+1,0)</f>
        <v>731.0</v>
      </c>
      <c r="S733" s="327" t="s">
        <v>2920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327" t="s">
        <v>2920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327" t="s">
        <v>2920</v>
      </c>
      <c r="Z733" t="str">
        <f>IFERROR(VLOOKUP(ROWS($Z$3:Z733),$X$3:$Y$992,2,0),"")</f>
        <v>Programování</v>
      </c>
    </row>
    <row r="734" spans="13:26" ht="12.75">
      <c r="M734" s="326">
        <f>IF(ISNUMBER(SEARCH(ZAKL_DATA!$B$29,N734)),MAX($M$2:M733)+1,0)</f>
        <v>732.0</v>
      </c>
      <c r="N734" s="327" t="s">
        <v>2922</v>
      </c>
      <c r="O734" s="342" t="s">
        <v>2923</v>
      </c>
      <c r="Q734" s="329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327" t="s">
        <v>2922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327" t="s">
        <v>2922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327" t="s">
        <v>2922</v>
      </c>
      <c r="Z734" t="str">
        <f>IFERROR(VLOOKUP(ROWS($Z$3:Z734),$X$3:$Y$992,2,0),"")</f>
        <v>Poradenství v oblasti informačních technologií</v>
      </c>
    </row>
    <row r="735" spans="13:26" ht="12.75">
      <c r="M735" s="326">
        <f>IF(ISNUMBER(SEARCH(ZAKL_DATA!$B$29,N735)),MAX($M$2:M734)+1,0)</f>
        <v>733.0</v>
      </c>
      <c r="N735" s="327" t="s">
        <v>2924</v>
      </c>
      <c r="O735" s="342" t="s">
        <v>2925</v>
      </c>
      <c r="Q735" s="329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327" t="s">
        <v>2924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327" t="s">
        <v>2924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327" t="s">
        <v>2924</v>
      </c>
      <c r="Z735" t="str">
        <f>IFERROR(VLOOKUP(ROWS($Z$3:Z735),$X$3:$Y$992,2,0),"")</f>
        <v>Správa počítačového vybavení</v>
      </c>
    </row>
    <row r="736" spans="13:26" ht="12.75">
      <c r="M736" s="326">
        <f>IF(ISNUMBER(SEARCH(ZAKL_DATA!$B$29,N736)),MAX($M$2:M735)+1,0)</f>
        <v>734.0</v>
      </c>
      <c r="N736" s="327" t="s">
        <v>2926</v>
      </c>
      <c r="O736" s="342" t="s">
        <v>2927</v>
      </c>
      <c r="Q736" s="329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327" t="s">
        <v>2926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327" t="s">
        <v>2926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327" t="s">
        <v>2926</v>
      </c>
      <c r="Z736" t="str">
        <f>IFERROR(VLOOKUP(ROWS($Z$3:Z736),$X$3:$Y$992,2,0),"")</f>
        <v>Ostatní činnosti v oblasti informačních technologií</v>
      </c>
    </row>
    <row r="737" spans="13:26" ht="12.75">
      <c r="M737" s="326">
        <f>IF(ISNUMBER(SEARCH(ZAKL_DATA!$B$29,N737)),MAX($M$2:M736)+1,0)</f>
        <v>735.0</v>
      </c>
      <c r="N737" s="327" t="s">
        <v>2928</v>
      </c>
      <c r="O737" s="342" t="s">
        <v>2929</v>
      </c>
      <c r="Q737" s="329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327" t="s">
        <v>2928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327" t="s">
        <v>2928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327" t="s">
        <v>2928</v>
      </c>
      <c r="Z737" t="str">
        <f>IFERROR(VLOOKUP(ROWS($Z$3:Z737),$X$3:$Y$992,2,0),"")</f>
        <v>Činnosti související se zpracováním dat a hostingem</v>
      </c>
    </row>
    <row r="738" spans="13:26" ht="12.75">
      <c r="M738" s="326">
        <f>IF(ISNUMBER(SEARCH(ZAKL_DATA!$B$29,N738)),MAX($M$2:M737)+1,0)</f>
        <v>736.0</v>
      </c>
      <c r="N738" s="327" t="s">
        <v>2930</v>
      </c>
      <c r="O738" s="342" t="s">
        <v>2931</v>
      </c>
      <c r="Q738" s="329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327" t="s">
        <v>2930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327" t="s">
        <v>2930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327" t="s">
        <v>2930</v>
      </c>
      <c r="Z738" t="str">
        <f>IFERROR(VLOOKUP(ROWS($Z$3:Z738),$X$3:$Y$992,2,0),"")</f>
        <v>Činnosti související s webovými portály</v>
      </c>
    </row>
    <row r="739" spans="13:26" ht="12.75">
      <c r="M739" s="326">
        <f>IF(ISNUMBER(SEARCH(ZAKL_DATA!$B$29,N739)),MAX($M$2:M738)+1,0)</f>
        <v>737.0</v>
      </c>
      <c r="N739" s="327" t="s">
        <v>2932</v>
      </c>
      <c r="O739" s="342" t="s">
        <v>2933</v>
      </c>
      <c r="Q739" s="329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327" t="s">
        <v>2932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327" t="s">
        <v>2932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327" t="s">
        <v>2932</v>
      </c>
      <c r="Z739" t="str">
        <f>IFERROR(VLOOKUP(ROWS($Z$3:Z739),$X$3:$Y$992,2,0),"")</f>
        <v>Činnosti zpravodajských tiskových kanceláří a agentur</v>
      </c>
    </row>
    <row r="740" spans="13:26" ht="12.75">
      <c r="M740" s="326">
        <f>IF(ISNUMBER(SEARCH(ZAKL_DATA!$B$29,N740)),MAX($M$2:M739)+1,0)</f>
        <v>738.0</v>
      </c>
      <c r="N740" s="327" t="s">
        <v>2934</v>
      </c>
      <c r="O740" s="342" t="s">
        <v>2935</v>
      </c>
      <c r="Q740" s="329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327" t="s">
        <v>2934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327" t="s">
        <v>2934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327" t="s">
        <v>2934</v>
      </c>
      <c r="Z740" t="str">
        <f>IFERROR(VLOOKUP(ROWS($Z$3:Z740),$X$3:$Y$992,2,0),"")</f>
        <v>Ostatní informační činnosti j. n.</v>
      </c>
    </row>
    <row r="741" spans="13:26" ht="12.75">
      <c r="M741" s="326">
        <f>IF(ISNUMBER(SEARCH(ZAKL_DATA!$B$29,N741)),MAX($M$2:M740)+1,0)</f>
        <v>739.0</v>
      </c>
      <c r="N741" s="327" t="s">
        <v>2936</v>
      </c>
      <c r="O741" s="342" t="s">
        <v>2937</v>
      </c>
      <c r="Q741" s="329" t="str">
        <f>IFERROR(VLOOKUP(ROWS($Q$3:Q741),$M$3:$N$992,2,0),"")</f>
        <v>Centrální bankovnictví</v>
      </c>
      <c r="R741">
        <f>IF(ISNUMBER(SEARCH('1Př1'!$A$32,N741)),MAX($M$2:M740)+1,0)</f>
        <v>739.0</v>
      </c>
      <c r="S741" s="327" t="s">
        <v>2936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327" t="s">
        <v>2936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327" t="s">
        <v>2936</v>
      </c>
      <c r="Z741" t="str">
        <f>IFERROR(VLOOKUP(ROWS($Z$3:Z741),$X$3:$Y$992,2,0),"")</f>
        <v>Centrální bankovnictví</v>
      </c>
    </row>
    <row r="742" spans="13:26" ht="12.75">
      <c r="M742" s="326">
        <f>IF(ISNUMBER(SEARCH(ZAKL_DATA!$B$29,N742)),MAX($M$2:M741)+1,0)</f>
        <v>740.0</v>
      </c>
      <c r="N742" s="327" t="s">
        <v>2938</v>
      </c>
      <c r="O742" s="342" t="s">
        <v>2939</v>
      </c>
      <c r="Q742" s="329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327" t="s">
        <v>2938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327" t="s">
        <v>2938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327" t="s">
        <v>2938</v>
      </c>
      <c r="Z742" t="str">
        <f>IFERROR(VLOOKUP(ROWS($Z$3:Z742),$X$3:$Y$992,2,0),"")</f>
        <v>Ostatní peněžní zprostředkování</v>
      </c>
    </row>
    <row r="743" spans="13:26" ht="12.75">
      <c r="M743" s="326">
        <f>IF(ISNUMBER(SEARCH(ZAKL_DATA!$B$29,N743)),MAX($M$2:M742)+1,0)</f>
        <v>741.0</v>
      </c>
      <c r="N743" s="327" t="s">
        <v>2940</v>
      </c>
      <c r="O743" s="342" t="s">
        <v>2941</v>
      </c>
      <c r="Q743" s="329" t="str">
        <f>IFERROR(VLOOKUP(ROWS($Q$3:Q743),$M$3:$N$992,2,0),"")</f>
        <v>Finanční leasing</v>
      </c>
      <c r="R743">
        <f>IF(ISNUMBER(SEARCH('1Př1'!$A$32,N743)),MAX($M$2:M742)+1,0)</f>
        <v>741.0</v>
      </c>
      <c r="S743" s="327" t="s">
        <v>2940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327" t="s">
        <v>2940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327" t="s">
        <v>2940</v>
      </c>
      <c r="Z743" t="str">
        <f>IFERROR(VLOOKUP(ROWS($Z$3:Z743),$X$3:$Y$992,2,0),"")</f>
        <v>Finanční leasing</v>
      </c>
    </row>
    <row r="744" spans="13:26" ht="12.75">
      <c r="M744" s="326">
        <f>IF(ISNUMBER(SEARCH(ZAKL_DATA!$B$29,N744)),MAX($M$2:M743)+1,0)</f>
        <v>742.0</v>
      </c>
      <c r="N744" s="327" t="s">
        <v>2942</v>
      </c>
      <c r="O744" s="342" t="s">
        <v>2943</v>
      </c>
      <c r="Q744" s="329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327" t="s">
        <v>2942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327" t="s">
        <v>2942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327" t="s">
        <v>2942</v>
      </c>
      <c r="Z744" t="str">
        <f>IFERROR(VLOOKUP(ROWS($Z$3:Z744),$X$3:$Y$992,2,0),"")</f>
        <v>Ostatní poskytování úvěrů</v>
      </c>
    </row>
    <row r="745" spans="13:26" ht="12.75">
      <c r="M745" s="326">
        <f>IF(ISNUMBER(SEARCH(ZAKL_DATA!$B$29,N745)),MAX($M$2:M744)+1,0)</f>
        <v>743.0</v>
      </c>
      <c r="N745" s="327" t="s">
        <v>2944</v>
      </c>
      <c r="O745" s="342" t="s">
        <v>2945</v>
      </c>
      <c r="Q745" s="329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327" t="s">
        <v>2944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327" t="s">
        <v>2944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327" t="s">
        <v>2944</v>
      </c>
      <c r="Z745" t="str">
        <f>IFERROR(VLOOKUP(ROWS($Z$3:Z745),$X$3:$Y$992,2,0),"")</f>
        <v>Ostatní finanční zprostředkování j. n.</v>
      </c>
    </row>
    <row r="746" spans="13:26" ht="12.75">
      <c r="M746" s="326">
        <f>IF(ISNUMBER(SEARCH(ZAKL_DATA!$B$29,N746)),MAX($M$2:M745)+1,0)</f>
        <v>744.0</v>
      </c>
      <c r="N746" s="327" t="s">
        <v>2946</v>
      </c>
      <c r="O746" s="342" t="s">
        <v>2947</v>
      </c>
      <c r="Q746" s="329" t="str">
        <f>IFERROR(VLOOKUP(ROWS($Q$3:Q746),$M$3:$N$992,2,0),"")</f>
        <v>životní pojištění</v>
      </c>
      <c r="R746">
        <f>IF(ISNUMBER(SEARCH('1Př1'!$A$32,N746)),MAX($M$2:M745)+1,0)</f>
        <v>744.0</v>
      </c>
      <c r="S746" s="327" t="s">
        <v>2946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327" t="s">
        <v>2946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327" t="s">
        <v>2946</v>
      </c>
      <c r="Z746" t="str">
        <f>IFERROR(VLOOKUP(ROWS($Z$3:Z746),$X$3:$Y$992,2,0),"")</f>
        <v>životní pojištění</v>
      </c>
    </row>
    <row r="747" spans="13:26" ht="12.75">
      <c r="M747" s="326">
        <f>IF(ISNUMBER(SEARCH(ZAKL_DATA!$B$29,N747)),MAX($M$2:M746)+1,0)</f>
        <v>745.0</v>
      </c>
      <c r="N747" s="327" t="s">
        <v>2948</v>
      </c>
      <c r="O747" s="342" t="s">
        <v>2949</v>
      </c>
      <c r="Q747" s="329" t="str">
        <f>IFERROR(VLOOKUP(ROWS($Q$3:Q747),$M$3:$N$992,2,0),"")</f>
        <v>Neživotní pojištění</v>
      </c>
      <c r="R747">
        <f>IF(ISNUMBER(SEARCH('1Př1'!$A$32,N747)),MAX($M$2:M746)+1,0)</f>
        <v>745.0</v>
      </c>
      <c r="S747" s="327" t="s">
        <v>2948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327" t="s">
        <v>2948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327" t="s">
        <v>2948</v>
      </c>
      <c r="Z747" t="str">
        <f>IFERROR(VLOOKUP(ROWS($Z$3:Z747),$X$3:$Y$992,2,0),"")</f>
        <v>Neživotní pojištění</v>
      </c>
    </row>
    <row r="748" spans="13:26" ht="12.75">
      <c r="M748" s="326">
        <f>IF(ISNUMBER(SEARCH(ZAKL_DATA!$B$29,N748)),MAX($M$2:M747)+1,0)</f>
        <v>746.0</v>
      </c>
      <c r="N748" s="327" t="s">
        <v>2950</v>
      </c>
      <c r="O748" s="342" t="s">
        <v>2951</v>
      </c>
      <c r="Q748" s="329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327" t="s">
        <v>2950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327" t="s">
        <v>2950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327" t="s">
        <v>2950</v>
      </c>
      <c r="Z748" t="str">
        <f>IFERROR(VLOOKUP(ROWS($Z$3:Z748),$X$3:$Y$992,2,0),"")</f>
        <v>Řízení a správa finančních trhů</v>
      </c>
    </row>
    <row r="749" spans="13:26" ht="12.75">
      <c r="M749" s="326">
        <f>IF(ISNUMBER(SEARCH(ZAKL_DATA!$B$29,N749)),MAX($M$2:M748)+1,0)</f>
        <v>747.0</v>
      </c>
      <c r="N749" s="327" t="s">
        <v>2952</v>
      </c>
      <c r="O749" s="342" t="s">
        <v>2953</v>
      </c>
      <c r="Q749" s="329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327" t="s">
        <v>2952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327" t="s">
        <v>2952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327" t="s">
        <v>2952</v>
      </c>
      <c r="Z749" t="str">
        <f>IFERROR(VLOOKUP(ROWS($Z$3:Z749),$X$3:$Y$992,2,0),"")</f>
        <v>Obchodování s cennými papíry a komoditami na burzách</v>
      </c>
    </row>
    <row r="750" spans="13:26" ht="12.75">
      <c r="M750" s="326">
        <f>IF(ISNUMBER(SEARCH(ZAKL_DATA!$B$29,N750)),MAX($M$2:M749)+1,0)</f>
        <v>748.0</v>
      </c>
      <c r="N750" s="327" t="s">
        <v>2954</v>
      </c>
      <c r="O750" s="342" t="s">
        <v>2955</v>
      </c>
      <c r="Q750" s="329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327" t="s">
        <v>2954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327" t="s">
        <v>2954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327" t="s">
        <v>2954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26">
        <f>IF(ISNUMBER(SEARCH(ZAKL_DATA!$B$29,N751)),MAX($M$2:M750)+1,0)</f>
        <v>749.0</v>
      </c>
      <c r="N751" s="327" t="s">
        <v>2956</v>
      </c>
      <c r="O751" s="342" t="s">
        <v>2957</v>
      </c>
      <c r="Q751" s="329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327" t="s">
        <v>2956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327" t="s">
        <v>2956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327" t="s">
        <v>2956</v>
      </c>
      <c r="Z751" t="str">
        <f>IFERROR(VLOOKUP(ROWS($Z$3:Z751),$X$3:$Y$992,2,0),"")</f>
        <v>Vyhodnocování rizik a škod</v>
      </c>
    </row>
    <row r="752" spans="13:26" ht="12.75">
      <c r="M752" s="326">
        <f>IF(ISNUMBER(SEARCH(ZAKL_DATA!$B$29,N752)),MAX($M$2:M751)+1,0)</f>
        <v>750.0</v>
      </c>
      <c r="N752" s="327" t="s">
        <v>2958</v>
      </c>
      <c r="O752" s="342" t="s">
        <v>2959</v>
      </c>
      <c r="Q752" s="329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327" t="s">
        <v>2958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327" t="s">
        <v>2958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327" t="s">
        <v>2958</v>
      </c>
      <c r="Z752" t="str">
        <f>IFERROR(VLOOKUP(ROWS($Z$3:Z752),$X$3:$Y$992,2,0),"")</f>
        <v>Činnosti zástupců pojišťovny a makléřů</v>
      </c>
    </row>
    <row r="753" spans="13:26" ht="12.75">
      <c r="M753" s="326">
        <f>IF(ISNUMBER(SEARCH(ZAKL_DATA!$B$29,N753)),MAX($M$2:M752)+1,0)</f>
        <v>751.0</v>
      </c>
      <c r="N753" s="327" t="s">
        <v>2960</v>
      </c>
      <c r="O753" s="342" t="s">
        <v>2961</v>
      </c>
      <c r="Q753" s="329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327" t="s">
        <v>2960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327" t="s">
        <v>2960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327" t="s">
        <v>2960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26">
        <f>IF(ISNUMBER(SEARCH(ZAKL_DATA!$B$29,N754)),MAX($M$2:M753)+1,0)</f>
        <v>752.0</v>
      </c>
      <c r="N754" s="327" t="s">
        <v>2962</v>
      </c>
      <c r="O754" s="342" t="s">
        <v>2963</v>
      </c>
      <c r="Q754" s="329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327" t="s">
        <v>2962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327" t="s">
        <v>2962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327" t="s">
        <v>2962</v>
      </c>
      <c r="Z754" t="str">
        <f>IFERROR(VLOOKUP(ROWS($Z$3:Z754),$X$3:$Y$992,2,0),"")</f>
        <v>Zprostředkovatelské činnosti realitních agentur</v>
      </c>
    </row>
    <row r="755" spans="13:26" ht="12.75">
      <c r="M755" s="326">
        <f>IF(ISNUMBER(SEARCH(ZAKL_DATA!$B$29,N755)),MAX($M$2:M754)+1,0)</f>
        <v>753.0</v>
      </c>
      <c r="N755" s="327" t="s">
        <v>2964</v>
      </c>
      <c r="O755" s="342" t="s">
        <v>2965</v>
      </c>
      <c r="Q755" s="329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327" t="s">
        <v>2964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327" t="s">
        <v>2964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327" t="s">
        <v>2964</v>
      </c>
      <c r="Z755" t="str">
        <f>IFERROR(VLOOKUP(ROWS($Z$3:Z755),$X$3:$Y$992,2,0),"")</f>
        <v>Správa nemovitostí na základě smlouvy</v>
      </c>
    </row>
    <row r="756" spans="13:26" ht="12.75">
      <c r="M756" s="326">
        <f>IF(ISNUMBER(SEARCH(ZAKL_DATA!$B$29,N756)),MAX($M$2:M755)+1,0)</f>
        <v>754.0</v>
      </c>
      <c r="N756" s="327" t="s">
        <v>2966</v>
      </c>
      <c r="O756" s="342" t="s">
        <v>2967</v>
      </c>
      <c r="Q756" s="329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327" t="s">
        <v>2966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327" t="s">
        <v>2966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327" t="s">
        <v>2966</v>
      </c>
      <c r="Z756" t="str">
        <f>IFERROR(VLOOKUP(ROWS($Z$3:Z756),$X$3:$Y$992,2,0),"")</f>
        <v>Poradenství v oblasti vztahů s veřejností a komunikace</v>
      </c>
    </row>
    <row r="757" spans="13:26" ht="12.75">
      <c r="M757" s="326">
        <f>IF(ISNUMBER(SEARCH(ZAKL_DATA!$B$29,N757)),MAX($M$2:M756)+1,0)</f>
        <v>755.0</v>
      </c>
      <c r="N757" s="327" t="s">
        <v>2968</v>
      </c>
      <c r="O757" s="342" t="s">
        <v>2969</v>
      </c>
      <c r="Q757" s="329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327" t="s">
        <v>2968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327" t="s">
        <v>2968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327" t="s">
        <v>2968</v>
      </c>
      <c r="Z757" t="str">
        <f>IFERROR(VLOOKUP(ROWS($Z$3:Z757),$X$3:$Y$992,2,0),"")</f>
        <v>Ostatní poradenství v oblasti podnikání a řízení</v>
      </c>
    </row>
    <row r="758" spans="13:26" ht="12.75">
      <c r="M758" s="326">
        <f>IF(ISNUMBER(SEARCH(ZAKL_DATA!$B$29,N758)),MAX($M$2:M757)+1,0)</f>
        <v>756.0</v>
      </c>
      <c r="N758" s="327" t="s">
        <v>2970</v>
      </c>
      <c r="O758" s="342" t="s">
        <v>2971</v>
      </c>
      <c r="Q758" s="329" t="str">
        <f>IFERROR(VLOOKUP(ROWS($Q$3:Q758),$M$3:$N$992,2,0),"")</f>
        <v>Těžba železných rud</v>
      </c>
      <c r="R758">
        <f>IF(ISNUMBER(SEARCH('1Př1'!$A$32,N758)),MAX($M$2:M757)+1,0)</f>
        <v>756.0</v>
      </c>
      <c r="S758" s="327" t="s">
        <v>2970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327" t="s">
        <v>2970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327" t="s">
        <v>2970</v>
      </c>
      <c r="Z758" t="str">
        <f>IFERROR(VLOOKUP(ROWS($Z$3:Z758),$X$3:$Y$992,2,0),"")</f>
        <v>Těžba železných rud</v>
      </c>
    </row>
    <row r="759" spans="13:26" ht="12.75">
      <c r="M759" s="326">
        <f>IF(ISNUMBER(SEARCH(ZAKL_DATA!$B$29,N759)),MAX($M$2:M758)+1,0)</f>
        <v>757.0</v>
      </c>
      <c r="N759" s="327" t="s">
        <v>2972</v>
      </c>
      <c r="O759" s="342" t="s">
        <v>2973</v>
      </c>
      <c r="Q759" s="329" t="str">
        <f>IFERROR(VLOOKUP(ROWS($Q$3:Q759),$M$3:$N$992,2,0),"")</f>
        <v>Úprava železných rud</v>
      </c>
      <c r="R759">
        <f>IF(ISNUMBER(SEARCH('1Př1'!$A$32,N759)),MAX($M$2:M758)+1,0)</f>
        <v>757.0</v>
      </c>
      <c r="S759" s="327" t="s">
        <v>2972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327" t="s">
        <v>2972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327" t="s">
        <v>2972</v>
      </c>
      <c r="Z759" t="str">
        <f>IFERROR(VLOOKUP(ROWS($Z$3:Z759),$X$3:$Y$992,2,0),"")</f>
        <v>Úprava železných rud</v>
      </c>
    </row>
    <row r="760" spans="13:26" ht="12.75">
      <c r="M760" s="326">
        <f>IF(ISNUMBER(SEARCH(ZAKL_DATA!$B$29,N760)),MAX($M$2:M759)+1,0)</f>
        <v>758.0</v>
      </c>
      <c r="N760" s="327" t="s">
        <v>2974</v>
      </c>
      <c r="O760" s="342" t="s">
        <v>2975</v>
      </c>
      <c r="Q760" s="329" t="str">
        <f>IFERROR(VLOOKUP(ROWS($Q$3:Q760),$M$3:$N$992,2,0),"")</f>
        <v>Architektonické činnosti</v>
      </c>
      <c r="R760">
        <f>IF(ISNUMBER(SEARCH('1Př1'!$A$32,N760)),MAX($M$2:M759)+1,0)</f>
        <v>758.0</v>
      </c>
      <c r="S760" s="327" t="s">
        <v>2974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327" t="s">
        <v>2974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327" t="s">
        <v>2974</v>
      </c>
      <c r="Z760" t="str">
        <f>IFERROR(VLOOKUP(ROWS($Z$3:Z760),$X$3:$Y$992,2,0),"")</f>
        <v>Architektonické činnosti</v>
      </c>
    </row>
    <row r="761" spans="13:26" ht="12.75">
      <c r="M761" s="326">
        <f>IF(ISNUMBER(SEARCH(ZAKL_DATA!$B$29,N761)),MAX($M$2:M760)+1,0)</f>
        <v>759.0</v>
      </c>
      <c r="N761" s="327" t="s">
        <v>2976</v>
      </c>
      <c r="O761" s="342" t="s">
        <v>2977</v>
      </c>
      <c r="Q761" s="329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327" t="s">
        <v>2976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327" t="s">
        <v>2976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327" t="s">
        <v>2976</v>
      </c>
      <c r="Z761" t="str">
        <f>IFERROR(VLOOKUP(ROWS($Z$3:Z761),$X$3:$Y$992,2,0),"")</f>
        <v>Inženýrské činnosti a související technické poradenství</v>
      </c>
    </row>
    <row r="762" spans="13:26" ht="12.75">
      <c r="M762" s="326">
        <f>IF(ISNUMBER(SEARCH(ZAKL_DATA!$B$29,N762)),MAX($M$2:M761)+1,0)</f>
        <v>760.0</v>
      </c>
      <c r="N762" s="327" t="s">
        <v>2978</v>
      </c>
      <c r="O762" s="342" t="s">
        <v>2979</v>
      </c>
      <c r="Q762" s="329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327" t="s">
        <v>2978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327" t="s">
        <v>2978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327" t="s">
        <v>2978</v>
      </c>
      <c r="Z762" t="str">
        <f>IFERROR(VLOOKUP(ROWS($Z$3:Z762),$X$3:$Y$992,2,0),"")</f>
        <v>Výzkum a vývoj v oblasti biotechnologie</v>
      </c>
    </row>
    <row r="763" spans="13:26" ht="12.75">
      <c r="M763" s="326">
        <f>IF(ISNUMBER(SEARCH(ZAKL_DATA!$B$29,N763)),MAX($M$2:M762)+1,0)</f>
        <v>761.0</v>
      </c>
      <c r="N763" s="327" t="s">
        <v>2980</v>
      </c>
      <c r="O763" s="342" t="s">
        <v>2981</v>
      </c>
      <c r="Q763" s="329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327" t="s">
        <v>2980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327" t="s">
        <v>2980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327" t="s">
        <v>2980</v>
      </c>
      <c r="Z763" t="str">
        <f>IFERROR(VLOOKUP(ROWS($Z$3:Z763),$X$3:$Y$992,2,0),"")</f>
        <v>Těžba uranových a thoriových rud</v>
      </c>
    </row>
    <row r="764" spans="13:26" ht="12.75">
      <c r="M764" s="326">
        <f>IF(ISNUMBER(SEARCH(ZAKL_DATA!$B$29,N764)),MAX($M$2:M763)+1,0)</f>
        <v>762.0</v>
      </c>
      <c r="N764" s="327" t="s">
        <v>2982</v>
      </c>
      <c r="O764" s="342" t="s">
        <v>2983</v>
      </c>
      <c r="Q764" s="329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327" t="s">
        <v>2982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327" t="s">
        <v>2982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327" t="s">
        <v>2982</v>
      </c>
      <c r="Z764" t="str">
        <f>IFERROR(VLOOKUP(ROWS($Z$3:Z764),$X$3:$Y$992,2,0),"")</f>
        <v>Úprava uranových a thoriových rud</v>
      </c>
    </row>
    <row r="765" spans="13:26" ht="12.75">
      <c r="M765" s="326">
        <f>IF(ISNUMBER(SEARCH(ZAKL_DATA!$B$29,N765)),MAX($M$2:M764)+1,0)</f>
        <v>763.0</v>
      </c>
      <c r="N765" s="327" t="s">
        <v>2984</v>
      </c>
      <c r="O765" s="342" t="s">
        <v>2985</v>
      </c>
      <c r="Q765" s="329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327" t="s">
        <v>2984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327" t="s">
        <v>2984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327" t="s">
        <v>2984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26">
        <f>IF(ISNUMBER(SEARCH(ZAKL_DATA!$B$29,N766)),MAX($M$2:M765)+1,0)</f>
        <v>764.0</v>
      </c>
      <c r="N766" s="327" t="s">
        <v>2986</v>
      </c>
      <c r="O766" s="342" t="s">
        <v>2987</v>
      </c>
      <c r="Q766" s="329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327" t="s">
        <v>2986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327" t="s">
        <v>2986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327" t="s">
        <v>2986</v>
      </c>
      <c r="Z766" t="str">
        <f>IFERROR(VLOOKUP(ROWS($Z$3:Z766),$X$3:$Y$992,2,0),"")</f>
        <v>Těžba ostatních neželezných rud</v>
      </c>
    </row>
    <row r="767" spans="13:26" ht="12.75">
      <c r="M767" s="326">
        <f>IF(ISNUMBER(SEARCH(ZAKL_DATA!$B$29,N767)),MAX($M$2:M766)+1,0)</f>
        <v>765.0</v>
      </c>
      <c r="N767" s="327" t="s">
        <v>2988</v>
      </c>
      <c r="O767" s="342" t="s">
        <v>2989</v>
      </c>
      <c r="Q767" s="329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327" t="s">
        <v>2988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327" t="s">
        <v>2988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327" t="s">
        <v>2988</v>
      </c>
      <c r="Z767" t="str">
        <f>IFERROR(VLOOKUP(ROWS($Z$3:Z767),$X$3:$Y$992,2,0),"")</f>
        <v>Úprava ostatních neželezných rud</v>
      </c>
    </row>
    <row r="768" spans="13:26" ht="12.75">
      <c r="M768" s="326">
        <f>IF(ISNUMBER(SEARCH(ZAKL_DATA!$B$29,N768)),MAX($M$2:M767)+1,0)</f>
        <v>766.0</v>
      </c>
      <c r="N768" s="327" t="s">
        <v>2990</v>
      </c>
      <c r="O768" s="342" t="s">
        <v>2991</v>
      </c>
      <c r="Q768" s="329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327" t="s">
        <v>2990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327" t="s">
        <v>2990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327" t="s">
        <v>2990</v>
      </c>
      <c r="Z768" t="str">
        <f>IFERROR(VLOOKUP(ROWS($Z$3:Z768),$X$3:$Y$992,2,0),"")</f>
        <v>Činnosti reklamních agentur</v>
      </c>
    </row>
    <row r="769" spans="13:26" ht="12.75">
      <c r="M769" s="326">
        <f>IF(ISNUMBER(SEARCH(ZAKL_DATA!$B$29,N769)),MAX($M$2:M768)+1,0)</f>
        <v>767.0</v>
      </c>
      <c r="N769" s="327" t="s">
        <v>2992</v>
      </c>
      <c r="O769" s="342" t="s">
        <v>2993</v>
      </c>
      <c r="Q769" s="329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327" t="s">
        <v>2992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327" t="s">
        <v>2992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327" t="s">
        <v>2992</v>
      </c>
      <c r="Z769" t="str">
        <f>IFERROR(VLOOKUP(ROWS($Z$3:Z769),$X$3:$Y$992,2,0),"")</f>
        <v>Zastupování médií při prodeji reklamního času a prostoru</v>
      </c>
    </row>
    <row r="770" spans="13:26" ht="12.75">
      <c r="M770" s="326">
        <f>IF(ISNUMBER(SEARCH(ZAKL_DATA!$B$29,N770)),MAX($M$2:M769)+1,0)</f>
        <v>768.0</v>
      </c>
      <c r="N770" s="327" t="s">
        <v>2994</v>
      </c>
      <c r="O770" s="342" t="s">
        <v>2995</v>
      </c>
      <c r="Q770" s="329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327" t="s">
        <v>2994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327" t="s">
        <v>2994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327" t="s">
        <v>2994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26">
        <f>IF(ISNUMBER(SEARCH(ZAKL_DATA!$B$29,N771)),MAX($M$2:M770)+1,0)</f>
        <v>769.0</v>
      </c>
      <c r="N771" s="327" t="s">
        <v>2996</v>
      </c>
      <c r="O771" s="342" t="s">
        <v>2997</v>
      </c>
      <c r="Q771" s="329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327" t="s">
        <v>2996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327" t="s">
        <v>2996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327" t="s">
        <v>2996</v>
      </c>
      <c r="Z771" t="str">
        <f>IFERROR(VLOOKUP(ROWS($Z$3:Z771),$X$3:$Y$992,2,0),"")</f>
        <v>Pronájem a leasing nákladních automobilů</v>
      </c>
    </row>
    <row r="772" spans="13:26" ht="12.75">
      <c r="M772" s="326">
        <f>IF(ISNUMBER(SEARCH(ZAKL_DATA!$B$29,N772)),MAX($M$2:M771)+1,0)</f>
        <v>770.0</v>
      </c>
      <c r="N772" s="327" t="s">
        <v>2998</v>
      </c>
      <c r="O772" s="342" t="s">
        <v>2999</v>
      </c>
      <c r="Q772" s="329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327" t="s">
        <v>2998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327" t="s">
        <v>2998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327" t="s">
        <v>2998</v>
      </c>
      <c r="Z772" t="str">
        <f>IFERROR(VLOOKUP(ROWS($Z$3:Z772),$X$3:$Y$992,2,0),"")</f>
        <v>Pronájem a leasing rekreačních a sportovních potřeb</v>
      </c>
    </row>
    <row r="773" spans="13:26" ht="12.75">
      <c r="M773" s="326">
        <f>IF(ISNUMBER(SEARCH(ZAKL_DATA!$B$29,N773)),MAX($M$2:M772)+1,0)</f>
        <v>771.0</v>
      </c>
      <c r="N773" s="327" t="s">
        <v>3000</v>
      </c>
      <c r="O773" s="342" t="s">
        <v>3001</v>
      </c>
      <c r="Q773" s="329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327" t="s">
        <v>3000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327" t="s">
        <v>3000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327" t="s">
        <v>3000</v>
      </c>
      <c r="Z773" t="str">
        <f>IFERROR(VLOOKUP(ROWS($Z$3:Z773),$X$3:$Y$992,2,0),"")</f>
        <v>Pronájem videokazet a disků</v>
      </c>
    </row>
    <row r="774" spans="13:26" ht="12.75">
      <c r="M774" s="326">
        <f>IF(ISNUMBER(SEARCH(ZAKL_DATA!$B$29,N774)),MAX($M$2:M773)+1,0)</f>
        <v>772.0</v>
      </c>
      <c r="N774" s="327" t="s">
        <v>3002</v>
      </c>
      <c r="O774" s="342" t="s">
        <v>3003</v>
      </c>
      <c r="Q774" s="329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327" t="s">
        <v>3002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327" t="s">
        <v>3002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327" t="s">
        <v>3002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26">
        <f>IF(ISNUMBER(SEARCH(ZAKL_DATA!$B$29,N775)),MAX($M$2:M774)+1,0)</f>
        <v>773.0</v>
      </c>
      <c r="N775" s="327" t="s">
        <v>3004</v>
      </c>
      <c r="O775" s="342" t="s">
        <v>3005</v>
      </c>
      <c r="Q775" s="329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327" t="s">
        <v>3004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327" t="s">
        <v>3004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327" t="s">
        <v>3004</v>
      </c>
      <c r="Z775" t="str">
        <f>IFERROR(VLOOKUP(ROWS($Z$3:Z775),$X$3:$Y$992,2,0),"")</f>
        <v>Pronájem a leasing zemědělských strojů a zařízení</v>
      </c>
    </row>
    <row r="776" spans="13:26" ht="12.75">
      <c r="M776" s="326">
        <f>IF(ISNUMBER(SEARCH(ZAKL_DATA!$B$29,N776)),MAX($M$2:M775)+1,0)</f>
        <v>774.0</v>
      </c>
      <c r="N776" s="327" t="s">
        <v>3006</v>
      </c>
      <c r="O776" s="342" t="s">
        <v>3007</v>
      </c>
      <c r="Q776" s="329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327" t="s">
        <v>3006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327" t="s">
        <v>3006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327" t="s">
        <v>3006</v>
      </c>
      <c r="Z776" t="str">
        <f>IFERROR(VLOOKUP(ROWS($Z$3:Z776),$X$3:$Y$992,2,0),"")</f>
        <v>Pronájem a leasing stavebních strojů a zařízení</v>
      </c>
    </row>
    <row r="777" spans="13:26" ht="12.75">
      <c r="M777" s="326">
        <f>IF(ISNUMBER(SEARCH(ZAKL_DATA!$B$29,N777)),MAX($M$2:M776)+1,0)</f>
        <v>775.0</v>
      </c>
      <c r="N777" s="327" t="s">
        <v>3008</v>
      </c>
      <c r="O777" s="342" t="s">
        <v>3009</v>
      </c>
      <c r="Q777" s="329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327" t="s">
        <v>3008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327" t="s">
        <v>3008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327" t="s">
        <v>3008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26">
        <f>IF(ISNUMBER(SEARCH(ZAKL_DATA!$B$29,N778)),MAX($M$2:M777)+1,0)</f>
        <v>776.0</v>
      </c>
      <c r="N778" s="327" t="s">
        <v>3010</v>
      </c>
      <c r="O778" s="342" t="s">
        <v>3011</v>
      </c>
      <c r="Q778" s="329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327" t="s">
        <v>3010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327" t="s">
        <v>3010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327" t="s">
        <v>3010</v>
      </c>
      <c r="Z778" t="str">
        <f>IFERROR(VLOOKUP(ROWS($Z$3:Z778),$X$3:$Y$992,2,0),"")</f>
        <v>Pronájem a leasing vodních dopravních prostředků</v>
      </c>
    </row>
    <row r="779" spans="13:26" ht="12.75">
      <c r="M779" s="326">
        <f>IF(ISNUMBER(SEARCH(ZAKL_DATA!$B$29,N779)),MAX($M$2:M778)+1,0)</f>
        <v>777.0</v>
      </c>
      <c r="N779" s="327" t="s">
        <v>3012</v>
      </c>
      <c r="O779" s="342" t="s">
        <v>3013</v>
      </c>
      <c r="Q779" s="329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327" t="s">
        <v>3012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327" t="s">
        <v>3012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327" t="s">
        <v>3012</v>
      </c>
      <c r="Z779" t="str">
        <f>IFERROR(VLOOKUP(ROWS($Z$3:Z779),$X$3:$Y$992,2,0),"")</f>
        <v>Pronájem a leasing leteckých dopravních prostředků</v>
      </c>
    </row>
    <row r="780" spans="13:26" ht="12.75">
      <c r="M780" s="326">
        <f>IF(ISNUMBER(SEARCH(ZAKL_DATA!$B$29,N780)),MAX($M$2:M779)+1,0)</f>
        <v>778.0</v>
      </c>
      <c r="N780" s="327" t="s">
        <v>3014</v>
      </c>
      <c r="O780" s="342" t="s">
        <v>3015</v>
      </c>
      <c r="Q780" s="329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327" t="s">
        <v>3014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327" t="s">
        <v>3014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327" t="s">
        <v>3014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26">
        <f>IF(ISNUMBER(SEARCH(ZAKL_DATA!$B$29,N781)),MAX($M$2:M780)+1,0)</f>
        <v>779.0</v>
      </c>
      <c r="N781" s="327" t="s">
        <v>3016</v>
      </c>
      <c r="O781" s="342" t="s">
        <v>3017</v>
      </c>
      <c r="Q781" s="329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327" t="s">
        <v>3016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327" t="s">
        <v>3016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327" t="s">
        <v>3016</v>
      </c>
      <c r="Z781" t="str">
        <f>IFERROR(VLOOKUP(ROWS($Z$3:Z781),$X$3:$Y$992,2,0),"")</f>
        <v>Činnosti cestovních agentur</v>
      </c>
    </row>
    <row r="782" spans="13:26" ht="12.75">
      <c r="M782" s="326">
        <f>IF(ISNUMBER(SEARCH(ZAKL_DATA!$B$29,N782)),MAX($M$2:M781)+1,0)</f>
        <v>780.0</v>
      </c>
      <c r="N782" s="327" t="s">
        <v>3018</v>
      </c>
      <c r="O782" s="342" t="s">
        <v>3019</v>
      </c>
      <c r="Q782" s="329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327" t="s">
        <v>3018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327" t="s">
        <v>3018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327" t="s">
        <v>3018</v>
      </c>
      <c r="Z782" t="str">
        <f>IFERROR(VLOOKUP(ROWS($Z$3:Z782),$X$3:$Y$992,2,0),"")</f>
        <v>Činnosti cestovních kanceláří</v>
      </c>
    </row>
    <row r="783" spans="13:26" ht="12.75">
      <c r="M783" s="326">
        <f>IF(ISNUMBER(SEARCH(ZAKL_DATA!$B$29,N783)),MAX($M$2:M782)+1,0)</f>
        <v>781.0</v>
      </c>
      <c r="N783" s="327" t="s">
        <v>3020</v>
      </c>
      <c r="O783" s="342" t="s">
        <v>3021</v>
      </c>
      <c r="Q783" s="329" t="str">
        <f>IFERROR(VLOOKUP(ROWS($Q$3:Q783),$M$3:$N$992,2,0),"")</f>
        <v>Všeobecný úklid budov</v>
      </c>
      <c r="R783">
        <f>IF(ISNUMBER(SEARCH('1Př1'!$A$32,N783)),MAX($M$2:M782)+1,0)</f>
        <v>781.0</v>
      </c>
      <c r="S783" s="327" t="s">
        <v>3020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327" t="s">
        <v>3020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327" t="s">
        <v>3020</v>
      </c>
      <c r="Z783" t="str">
        <f>IFERROR(VLOOKUP(ROWS($Z$3:Z783),$X$3:$Y$992,2,0),"")</f>
        <v>Všeobecný úklid budov</v>
      </c>
    </row>
    <row r="784" spans="13:26" ht="12.75">
      <c r="M784" s="326">
        <f>IF(ISNUMBER(SEARCH(ZAKL_DATA!$B$29,N784)),MAX($M$2:M783)+1,0)</f>
        <v>782.0</v>
      </c>
      <c r="N784" s="327" t="s">
        <v>3022</v>
      </c>
      <c r="O784" s="342" t="s">
        <v>3023</v>
      </c>
      <c r="Q784" s="329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327" t="s">
        <v>3022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327" t="s">
        <v>3022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327" t="s">
        <v>3022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26">
        <f>IF(ISNUMBER(SEARCH(ZAKL_DATA!$B$29,N785)),MAX($M$2:M784)+1,0)</f>
        <v>783.0</v>
      </c>
      <c r="N785" s="327" t="s">
        <v>3024</v>
      </c>
      <c r="O785" s="342" t="s">
        <v>3025</v>
      </c>
      <c r="Q785" s="329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327" t="s">
        <v>3024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327" t="s">
        <v>3024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327" t="s">
        <v>3024</v>
      </c>
      <c r="Z785" t="str">
        <f>IFERROR(VLOOKUP(ROWS($Z$3:Z785),$X$3:$Y$992,2,0),"")</f>
        <v>Ostatní úklidové činnosti</v>
      </c>
    </row>
    <row r="786" spans="13:26" ht="12.75">
      <c r="M786" s="326">
        <f>IF(ISNUMBER(SEARCH(ZAKL_DATA!$B$29,N786)),MAX($M$2:M785)+1,0)</f>
        <v>784.0</v>
      </c>
      <c r="N786" s="327" t="s">
        <v>3026</v>
      </c>
      <c r="O786" s="342" t="s">
        <v>3027</v>
      </c>
      <c r="Q786" s="329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327" t="s">
        <v>3026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327" t="s">
        <v>3026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327" t="s">
        <v>3026</v>
      </c>
      <c r="Z786" t="str">
        <f>IFERROR(VLOOKUP(ROWS($Z$3:Z786),$X$3:$Y$992,2,0),"")</f>
        <v>Univerzální administrativní činnosti</v>
      </c>
    </row>
    <row r="787" spans="13:26" ht="12.75">
      <c r="M787" s="326">
        <f>IF(ISNUMBER(SEARCH(ZAKL_DATA!$B$29,N787)),MAX($M$2:M786)+1,0)</f>
        <v>785.0</v>
      </c>
      <c r="N787" s="327" t="s">
        <v>3028</v>
      </c>
      <c r="O787" s="342" t="s">
        <v>3029</v>
      </c>
      <c r="Q787" s="329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327" t="s">
        <v>3028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327" t="s">
        <v>3028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327" t="s">
        <v>3028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26">
        <f>IF(ISNUMBER(SEARCH(ZAKL_DATA!$B$29,N788)),MAX($M$2:M787)+1,0)</f>
        <v>786.0</v>
      </c>
      <c r="N788" s="327" t="s">
        <v>3030</v>
      </c>
      <c r="O788" s="342" t="s">
        <v>3031</v>
      </c>
      <c r="Q788" s="329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327" t="s">
        <v>3030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327" t="s">
        <v>3030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327" t="s">
        <v>3030</v>
      </c>
      <c r="Z788" t="str">
        <f>IFERROR(VLOOKUP(ROWS($Z$3:Z788),$X$3:$Y$992,2,0),"")</f>
        <v>Inkasní činnosti, ověřování solventnosti zákazníka</v>
      </c>
    </row>
    <row r="789" spans="13:26" ht="12.75">
      <c r="M789" s="326">
        <f>IF(ISNUMBER(SEARCH(ZAKL_DATA!$B$29,N789)),MAX($M$2:M788)+1,0)</f>
        <v>787.0</v>
      </c>
      <c r="N789" s="327" t="s">
        <v>3032</v>
      </c>
      <c r="O789" s="342" t="s">
        <v>3033</v>
      </c>
      <c r="Q789" s="329" t="str">
        <f>IFERROR(VLOOKUP(ROWS($Q$3:Q789),$M$3:$N$992,2,0),"")</f>
        <v>Balicí činnosti</v>
      </c>
      <c r="R789">
        <f>IF(ISNUMBER(SEARCH('1Př1'!$A$32,N789)),MAX($M$2:M788)+1,0)</f>
        <v>787.0</v>
      </c>
      <c r="S789" s="327" t="s">
        <v>3032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327" t="s">
        <v>3032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327" t="s">
        <v>3032</v>
      </c>
      <c r="Z789" t="str">
        <f>IFERROR(VLOOKUP(ROWS($Z$3:Z789),$X$3:$Y$992,2,0),"")</f>
        <v>Balicí činnosti</v>
      </c>
    </row>
    <row r="790" spans="13:26" ht="12.75">
      <c r="M790" s="326">
        <f>IF(ISNUMBER(SEARCH(ZAKL_DATA!$B$29,N790)),MAX($M$2:M789)+1,0)</f>
        <v>788.0</v>
      </c>
      <c r="N790" s="327" t="s">
        <v>3034</v>
      </c>
      <c r="O790" s="342" t="s">
        <v>3035</v>
      </c>
      <c r="Q790" s="329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327" t="s">
        <v>3034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327" t="s">
        <v>3034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327" t="s">
        <v>3034</v>
      </c>
      <c r="Z790" t="str">
        <f>IFERROR(VLOOKUP(ROWS($Z$3:Z790),$X$3:$Y$992,2,0),"")</f>
        <v>Ostatní podpůrné činnosti pro podnikání j. n.</v>
      </c>
    </row>
    <row r="791" spans="13:26" ht="12.75">
      <c r="M791" s="326">
        <f>IF(ISNUMBER(SEARCH(ZAKL_DATA!$B$29,N791)),MAX($M$2:M790)+1,0)</f>
        <v>789.0</v>
      </c>
      <c r="N791" s="327" t="s">
        <v>3036</v>
      </c>
      <c r="O791" s="342" t="s">
        <v>3037</v>
      </c>
      <c r="Q791" s="329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327" t="s">
        <v>3036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327" t="s">
        <v>3036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327" t="s">
        <v>3036</v>
      </c>
      <c r="Z791" t="str">
        <f>IFERROR(VLOOKUP(ROWS($Z$3:Z791),$X$3:$Y$992,2,0),"")</f>
        <v>Všeobecné činnosti veřejné správy</v>
      </c>
    </row>
    <row r="792" spans="13:26" ht="12.75">
      <c r="M792" s="326">
        <f>IF(ISNUMBER(SEARCH(ZAKL_DATA!$B$29,N792)),MAX($M$2:M791)+1,0)</f>
        <v>790.0</v>
      </c>
      <c r="N792" s="327" t="s">
        <v>3038</v>
      </c>
      <c r="O792" s="342" t="s">
        <v>3039</v>
      </c>
      <c r="Q792" s="329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327" t="s">
        <v>3038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327" t="s">
        <v>3038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327" t="s">
        <v>3038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26">
        <f>IF(ISNUMBER(SEARCH(ZAKL_DATA!$B$29,N793)),MAX($M$2:M792)+1,0)</f>
        <v>791.0</v>
      </c>
      <c r="N793" s="327" t="s">
        <v>3040</v>
      </c>
      <c r="O793" s="342" t="s">
        <v>3041</v>
      </c>
      <c r="Q793" s="329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327" t="s">
        <v>3040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327" t="s">
        <v>3040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327" t="s">
        <v>3040</v>
      </c>
      <c r="Z793" t="str">
        <f>IFERROR(VLOOKUP(ROWS($Z$3:Z793),$X$3:$Y$992,2,0),"")</f>
        <v>Regulace a podpora podnikatelského prostředí</v>
      </c>
    </row>
    <row r="794" spans="13:26" ht="12.75">
      <c r="M794" s="326">
        <f>IF(ISNUMBER(SEARCH(ZAKL_DATA!$B$29,N794)),MAX($M$2:M793)+1,0)</f>
        <v>792.0</v>
      </c>
      <c r="N794" s="327" t="s">
        <v>3042</v>
      </c>
      <c r="O794" s="342" t="s">
        <v>3043</v>
      </c>
      <c r="Q794" s="329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327" t="s">
        <v>3042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327" t="s">
        <v>3042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327" t="s">
        <v>3042</v>
      </c>
      <c r="Z794" t="str">
        <f>IFERROR(VLOOKUP(ROWS($Z$3:Z794),$X$3:$Y$992,2,0),"")</f>
        <v>Činnosti v oblasti zahraničních věcí</v>
      </c>
    </row>
    <row r="795" spans="13:26" ht="12.75">
      <c r="M795" s="326">
        <f>IF(ISNUMBER(SEARCH(ZAKL_DATA!$B$29,N795)),MAX($M$2:M794)+1,0)</f>
        <v>793.0</v>
      </c>
      <c r="N795" s="327" t="s">
        <v>3044</v>
      </c>
      <c r="O795" s="342" t="s">
        <v>3045</v>
      </c>
      <c r="Q795" s="329" t="str">
        <f>IFERROR(VLOOKUP(ROWS($Q$3:Q795),$M$3:$N$992,2,0),"")</f>
        <v>Činnosti v oblasti obrany</v>
      </c>
      <c r="R795">
        <f>IF(ISNUMBER(SEARCH('1Př1'!$A$32,N795)),MAX($M$2:M794)+1,0)</f>
        <v>793.0</v>
      </c>
      <c r="S795" s="327" t="s">
        <v>3044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327" t="s">
        <v>3044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327" t="s">
        <v>3044</v>
      </c>
      <c r="Z795" t="str">
        <f>IFERROR(VLOOKUP(ROWS($Z$3:Z795),$X$3:$Y$992,2,0),"")</f>
        <v>Činnosti v oblasti obrany</v>
      </c>
    </row>
    <row r="796" spans="13:26" ht="12.75">
      <c r="M796" s="326">
        <f>IF(ISNUMBER(SEARCH(ZAKL_DATA!$B$29,N796)),MAX($M$2:M795)+1,0)</f>
        <v>794.0</v>
      </c>
      <c r="N796" s="327" t="s">
        <v>3046</v>
      </c>
      <c r="O796" s="342" t="s">
        <v>3047</v>
      </c>
      <c r="Q796" s="329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327" t="s">
        <v>3046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327" t="s">
        <v>3046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327" t="s">
        <v>3046</v>
      </c>
      <c r="Z796" t="str">
        <f>IFERROR(VLOOKUP(ROWS($Z$3:Z796),$X$3:$Y$992,2,0),"")</f>
        <v>Činnosti v oblasti spravedlnosti a soudnictví</v>
      </c>
    </row>
    <row r="797" spans="13:26" ht="12.75">
      <c r="M797" s="326">
        <f>IF(ISNUMBER(SEARCH(ZAKL_DATA!$B$29,N797)),MAX($M$2:M796)+1,0)</f>
        <v>795.0</v>
      </c>
      <c r="N797" s="327" t="s">
        <v>3048</v>
      </c>
      <c r="O797" s="342" t="s">
        <v>3049</v>
      </c>
      <c r="Q797" s="329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327" t="s">
        <v>3048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327" t="s">
        <v>3048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327" t="s">
        <v>3048</v>
      </c>
      <c r="Z797" t="str">
        <f>IFERROR(VLOOKUP(ROWS($Z$3:Z797),$X$3:$Y$992,2,0),"")</f>
        <v>Činnosti v oblasti veřejného pořádku a bezpečnosti</v>
      </c>
    </row>
    <row r="798" spans="13:26" ht="12.75">
      <c r="M798" s="326">
        <f>IF(ISNUMBER(SEARCH(ZAKL_DATA!$B$29,N798)),MAX($M$2:M797)+1,0)</f>
        <v>796.0</v>
      </c>
      <c r="N798" s="327" t="s">
        <v>3050</v>
      </c>
      <c r="O798" s="342" t="s">
        <v>3051</v>
      </c>
      <c r="Q798" s="329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327" t="s">
        <v>3050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327" t="s">
        <v>3050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327" t="s">
        <v>3050</v>
      </c>
      <c r="Z798" t="str">
        <f>IFERROR(VLOOKUP(ROWS($Z$3:Z798),$X$3:$Y$992,2,0),"")</f>
        <v>Činnosti v oblasti protipožární ochrany</v>
      </c>
    </row>
    <row r="799" spans="13:26" ht="12.75">
      <c r="M799" s="326">
        <f>IF(ISNUMBER(SEARCH(ZAKL_DATA!$B$29,N799)),MAX($M$2:M798)+1,0)</f>
        <v>797.0</v>
      </c>
      <c r="N799" s="327" t="s">
        <v>3052</v>
      </c>
      <c r="O799" s="342" t="s">
        <v>3053</v>
      </c>
      <c r="Q799" s="329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327" t="s">
        <v>3052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327" t="s">
        <v>3052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327" t="s">
        <v>3052</v>
      </c>
      <c r="Z799" t="str">
        <f>IFERROR(VLOOKUP(ROWS($Z$3:Z799),$X$3:$Y$992,2,0),"")</f>
        <v>Sekundární všeobecné vzdělávání</v>
      </c>
    </row>
    <row r="800" spans="13:26" ht="12.75">
      <c r="M800" s="326">
        <f>IF(ISNUMBER(SEARCH(ZAKL_DATA!$B$29,N800)),MAX($M$2:M799)+1,0)</f>
        <v>798.0</v>
      </c>
      <c r="N800" s="327" t="s">
        <v>3054</v>
      </c>
      <c r="O800" s="342" t="s">
        <v>3055</v>
      </c>
      <c r="Q800" s="329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327" t="s">
        <v>3054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327" t="s">
        <v>3054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327" t="s">
        <v>3054</v>
      </c>
      <c r="Z800" t="str">
        <f>IFERROR(VLOOKUP(ROWS($Z$3:Z800),$X$3:$Y$992,2,0),"")</f>
        <v>Sekundární odborné vzdělávání</v>
      </c>
    </row>
    <row r="801" spans="13:26" ht="12.75">
      <c r="M801" s="326">
        <f>IF(ISNUMBER(SEARCH(ZAKL_DATA!$B$29,N801)),MAX($M$2:M800)+1,0)</f>
        <v>799.0</v>
      </c>
      <c r="N801" s="327" t="s">
        <v>3056</v>
      </c>
      <c r="O801" s="342" t="s">
        <v>3057</v>
      </c>
      <c r="Q801" s="329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327" t="s">
        <v>3056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327" t="s">
        <v>3056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327" t="s">
        <v>3056</v>
      </c>
      <c r="Z801" t="str">
        <f>IFERROR(VLOOKUP(ROWS($Z$3:Z801),$X$3:$Y$992,2,0),"")</f>
        <v>Postsekundární nikoli terciární vzdělávání</v>
      </c>
    </row>
    <row r="802" spans="13:26" ht="12.75">
      <c r="M802" s="326">
        <f>IF(ISNUMBER(SEARCH(ZAKL_DATA!$B$29,N802)),MAX($M$2:M801)+1,0)</f>
        <v>800.0</v>
      </c>
      <c r="N802" s="327" t="s">
        <v>3058</v>
      </c>
      <c r="O802" s="342" t="s">
        <v>3059</v>
      </c>
      <c r="Q802" s="329" t="str">
        <f>IFERROR(VLOOKUP(ROWS($Q$3:Q802),$M$3:$N$992,2,0),"")</f>
        <v>Terciární vzdělávání</v>
      </c>
      <c r="R802">
        <f>IF(ISNUMBER(SEARCH('1Př1'!$A$32,N802)),MAX($M$2:M801)+1,0)</f>
        <v>800.0</v>
      </c>
      <c r="S802" s="327" t="s">
        <v>3058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327" t="s">
        <v>3058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327" t="s">
        <v>3058</v>
      </c>
      <c r="Z802" t="str">
        <f>IFERROR(VLOOKUP(ROWS($Z$3:Z802),$X$3:$Y$992,2,0),"")</f>
        <v>Terciární vzdělávání</v>
      </c>
    </row>
    <row r="803" spans="13:26" ht="12.75">
      <c r="M803" s="326">
        <f>IF(ISNUMBER(SEARCH(ZAKL_DATA!$B$29,N803)),MAX($M$2:M802)+1,0)</f>
        <v>801.0</v>
      </c>
      <c r="N803" s="327" t="s">
        <v>3060</v>
      </c>
      <c r="O803" s="342" t="s">
        <v>3061</v>
      </c>
      <c r="Q803" s="329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327" t="s">
        <v>3060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327" t="s">
        <v>3060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327" t="s">
        <v>3060</v>
      </c>
      <c r="Z803" t="str">
        <f>IFERROR(VLOOKUP(ROWS($Z$3:Z803),$X$3:$Y$992,2,0),"")</f>
        <v>Sportovní a rekreační vzdělávání</v>
      </c>
    </row>
    <row r="804" spans="13:26" ht="12.75">
      <c r="M804" s="326">
        <f>IF(ISNUMBER(SEARCH(ZAKL_DATA!$B$29,N804)),MAX($M$2:M803)+1,0)</f>
        <v>802.0</v>
      </c>
      <c r="N804" s="327" t="s">
        <v>3062</v>
      </c>
      <c r="O804" s="342" t="s">
        <v>3063</v>
      </c>
      <c r="Q804" s="329" t="str">
        <f>IFERROR(VLOOKUP(ROWS($Q$3:Q804),$M$3:$N$992,2,0),"")</f>
        <v>Umělecké vzdělávání</v>
      </c>
      <c r="R804">
        <f>IF(ISNUMBER(SEARCH('1Př1'!$A$32,N804)),MAX($M$2:M803)+1,0)</f>
        <v>802.0</v>
      </c>
      <c r="S804" s="327" t="s">
        <v>3062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327" t="s">
        <v>3062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327" t="s">
        <v>3062</v>
      </c>
      <c r="Z804" t="str">
        <f>IFERROR(VLOOKUP(ROWS($Z$3:Z804),$X$3:$Y$992,2,0),"")</f>
        <v>Umělecké vzdělávání</v>
      </c>
    </row>
    <row r="805" spans="13:26" ht="12.75">
      <c r="M805" s="326">
        <f>IF(ISNUMBER(SEARCH(ZAKL_DATA!$B$29,N805)),MAX($M$2:M804)+1,0)</f>
        <v>803.0</v>
      </c>
      <c r="N805" s="327" t="s">
        <v>3064</v>
      </c>
      <c r="O805" s="342" t="s">
        <v>3065</v>
      </c>
      <c r="Q805" s="329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327" t="s">
        <v>3064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327" t="s">
        <v>3064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327" t="s">
        <v>3064</v>
      </c>
      <c r="Z805" t="str">
        <f>IFERROR(VLOOKUP(ROWS($Z$3:Z805),$X$3:$Y$992,2,0),"")</f>
        <v>Činnosti autoškol a jiných škol řízení</v>
      </c>
    </row>
    <row r="806" spans="13:26" ht="12.75">
      <c r="M806" s="326">
        <f>IF(ISNUMBER(SEARCH(ZAKL_DATA!$B$29,N806)),MAX($M$2:M805)+1,0)</f>
        <v>804.0</v>
      </c>
      <c r="N806" s="327" t="s">
        <v>3066</v>
      </c>
      <c r="O806" s="342" t="s">
        <v>3067</v>
      </c>
      <c r="Q806" s="329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327" t="s">
        <v>3066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327" t="s">
        <v>3066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327" t="s">
        <v>3066</v>
      </c>
      <c r="Z806" t="str">
        <f>IFERROR(VLOOKUP(ROWS($Z$3:Z806),$X$3:$Y$992,2,0),"")</f>
        <v>Ostatní vzdělávání j. n.</v>
      </c>
    </row>
    <row r="807" spans="13:26" ht="12.75">
      <c r="M807" s="326">
        <f>IF(ISNUMBER(SEARCH(ZAKL_DATA!$B$29,N807)),MAX($M$2:M806)+1,0)</f>
        <v>805.0</v>
      </c>
      <c r="N807" s="327" t="s">
        <v>3068</v>
      </c>
      <c r="O807" s="342" t="s">
        <v>3069</v>
      </c>
      <c r="Q807" s="329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327" t="s">
        <v>3068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327" t="s">
        <v>3068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327" t="s">
        <v>3068</v>
      </c>
      <c r="Z807" t="str">
        <f>IFERROR(VLOOKUP(ROWS($Z$3:Z807),$X$3:$Y$992,2,0),"")</f>
        <v>Všeobecná ambulantní zdravotní péče</v>
      </c>
    </row>
    <row r="808" spans="13:26" ht="12.75">
      <c r="M808" s="326">
        <f>IF(ISNUMBER(SEARCH(ZAKL_DATA!$B$29,N808)),MAX($M$2:M807)+1,0)</f>
        <v>806.0</v>
      </c>
      <c r="N808" s="327" t="s">
        <v>3070</v>
      </c>
      <c r="O808" s="342" t="s">
        <v>3071</v>
      </c>
      <c r="Q808" s="329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327" t="s">
        <v>3070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327" t="s">
        <v>3070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327" t="s">
        <v>3070</v>
      </c>
      <c r="Z808" t="str">
        <f>IFERROR(VLOOKUP(ROWS($Z$3:Z808),$X$3:$Y$992,2,0),"")</f>
        <v>Specializovaná ambulantní zdravotní péče</v>
      </c>
    </row>
    <row r="809" spans="13:26" ht="12.75">
      <c r="M809" s="326">
        <f>IF(ISNUMBER(SEARCH(ZAKL_DATA!$B$29,N809)),MAX($M$2:M808)+1,0)</f>
        <v>807.0</v>
      </c>
      <c r="N809" s="327" t="s">
        <v>3072</v>
      </c>
      <c r="O809" s="342" t="s">
        <v>3073</v>
      </c>
      <c r="Q809" s="329" t="str">
        <f>IFERROR(VLOOKUP(ROWS($Q$3:Q809),$M$3:$N$992,2,0),"")</f>
        <v>Zubní péče</v>
      </c>
      <c r="R809">
        <f>IF(ISNUMBER(SEARCH('1Př1'!$A$32,N809)),MAX($M$2:M808)+1,0)</f>
        <v>807.0</v>
      </c>
      <c r="S809" s="327" t="s">
        <v>3072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327" t="s">
        <v>3072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327" t="s">
        <v>3072</v>
      </c>
      <c r="Z809" t="str">
        <f>IFERROR(VLOOKUP(ROWS($Z$3:Z809),$X$3:$Y$992,2,0),"")</f>
        <v>Zubní péče</v>
      </c>
    </row>
    <row r="810" spans="13:26" ht="12.75">
      <c r="M810" s="326">
        <f>IF(ISNUMBER(SEARCH(ZAKL_DATA!$B$29,N810)),MAX($M$2:M809)+1,0)</f>
        <v>808.0</v>
      </c>
      <c r="N810" s="327" t="s">
        <v>3074</v>
      </c>
      <c r="O810" s="342" t="s">
        <v>3075</v>
      </c>
      <c r="Q810" s="329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327" t="s">
        <v>3074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327" t="s">
        <v>3074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327" t="s">
        <v>3074</v>
      </c>
      <c r="Z810" t="str">
        <f>IFERROR(VLOOKUP(ROWS($Z$3:Z810),$X$3:$Y$992,2,0),"")</f>
        <v>Sociální služby poskytované dětem</v>
      </c>
    </row>
    <row r="811" spans="13:26" ht="12.75">
      <c r="M811" s="326">
        <f>IF(ISNUMBER(SEARCH(ZAKL_DATA!$B$29,N811)),MAX($M$2:M810)+1,0)</f>
        <v>809.0</v>
      </c>
      <c r="N811" s="327" t="s">
        <v>3076</v>
      </c>
      <c r="O811" s="342" t="s">
        <v>3077</v>
      </c>
      <c r="Q811" s="329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327" t="s">
        <v>3076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327" t="s">
        <v>3076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327" t="s">
        <v>3076</v>
      </c>
      <c r="Z811" t="str">
        <f>IFERROR(VLOOKUP(ROWS($Z$3:Z811),$X$3:$Y$992,2,0),"")</f>
        <v>Ostatní ambulantní nebo terénní sociální služby j. n.</v>
      </c>
    </row>
    <row r="812" spans="13:26" ht="12.75">
      <c r="M812" s="326">
        <f>IF(ISNUMBER(SEARCH(ZAKL_DATA!$B$29,N812)),MAX($M$2:M811)+1,0)</f>
        <v>810.0</v>
      </c>
      <c r="N812" s="327" t="s">
        <v>3078</v>
      </c>
      <c r="O812" s="342" t="s">
        <v>3079</v>
      </c>
      <c r="Q812" s="329" t="str">
        <f>IFERROR(VLOOKUP(ROWS($Q$3:Q812),$M$3:$N$992,2,0),"")</f>
        <v>Scénická umění</v>
      </c>
      <c r="R812">
        <f>IF(ISNUMBER(SEARCH('1Př1'!$A$32,N812)),MAX($M$2:M811)+1,0)</f>
        <v>810.0</v>
      </c>
      <c r="S812" s="327" t="s">
        <v>3078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327" t="s">
        <v>3078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327" t="s">
        <v>3078</v>
      </c>
      <c r="Z812" t="str">
        <f>IFERROR(VLOOKUP(ROWS($Z$3:Z812),$X$3:$Y$992,2,0),"")</f>
        <v>Scénická umění</v>
      </c>
    </row>
    <row r="813" spans="13:26" ht="12.75">
      <c r="M813" s="326">
        <f>IF(ISNUMBER(SEARCH(ZAKL_DATA!$B$29,N813)),MAX($M$2:M812)+1,0)</f>
        <v>811.0</v>
      </c>
      <c r="N813" s="327" t="s">
        <v>3080</v>
      </c>
      <c r="O813" s="342" t="s">
        <v>3081</v>
      </c>
      <c r="Q813" s="329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327" t="s">
        <v>3080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327" t="s">
        <v>3080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327" t="s">
        <v>3080</v>
      </c>
      <c r="Z813" t="str">
        <f>IFERROR(VLOOKUP(ROWS($Z$3:Z813),$X$3:$Y$992,2,0),"")</f>
        <v>Podpůrné činnosti pro scénická umění</v>
      </c>
    </row>
    <row r="814" spans="13:26" ht="12.75">
      <c r="M814" s="326">
        <f>IF(ISNUMBER(SEARCH(ZAKL_DATA!$B$29,N814)),MAX($M$2:M813)+1,0)</f>
        <v>812.0</v>
      </c>
      <c r="N814" s="327" t="s">
        <v>3082</v>
      </c>
      <c r="O814" s="342" t="s">
        <v>3083</v>
      </c>
      <c r="Q814" s="329" t="str">
        <f>IFERROR(VLOOKUP(ROWS($Q$3:Q814),$M$3:$N$992,2,0),"")</f>
        <v>Umělecká tvorba</v>
      </c>
      <c r="R814">
        <f>IF(ISNUMBER(SEARCH('1Př1'!$A$32,N814)),MAX($M$2:M813)+1,0)</f>
        <v>812.0</v>
      </c>
      <c r="S814" s="327" t="s">
        <v>3082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327" t="s">
        <v>3082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327" t="s">
        <v>3082</v>
      </c>
      <c r="Z814" t="str">
        <f>IFERROR(VLOOKUP(ROWS($Z$3:Z814),$X$3:$Y$992,2,0),"")</f>
        <v>Umělecká tvorba</v>
      </c>
    </row>
    <row r="815" spans="13:26" ht="12.75">
      <c r="M815" s="326">
        <f>IF(ISNUMBER(SEARCH(ZAKL_DATA!$B$29,N815)),MAX($M$2:M814)+1,0)</f>
        <v>813.0</v>
      </c>
      <c r="N815" s="327" t="s">
        <v>3084</v>
      </c>
      <c r="O815" s="342" t="s">
        <v>3085</v>
      </c>
      <c r="Q815" s="329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327" t="s">
        <v>3084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327" t="s">
        <v>3084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327" t="s">
        <v>3084</v>
      </c>
      <c r="Z815" t="str">
        <f>IFERROR(VLOOKUP(ROWS($Z$3:Z815),$X$3:$Y$992,2,0),"")</f>
        <v>Provozování kulturních zařízení</v>
      </c>
    </row>
    <row r="816" spans="13:26" ht="12.75">
      <c r="M816" s="326">
        <f>IF(ISNUMBER(SEARCH(ZAKL_DATA!$B$29,N816)),MAX($M$2:M815)+1,0)</f>
        <v>814.0</v>
      </c>
      <c r="N816" s="327" t="s">
        <v>3086</v>
      </c>
      <c r="O816" s="342" t="s">
        <v>3087</v>
      </c>
      <c r="Q816" s="329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327" t="s">
        <v>3086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327" t="s">
        <v>3086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327" t="s">
        <v>3086</v>
      </c>
      <c r="Z816" t="str">
        <f>IFERROR(VLOOKUP(ROWS($Z$3:Z816),$X$3:$Y$992,2,0),"")</f>
        <v>Činnosti knihoven a archivů</v>
      </c>
    </row>
    <row r="817" spans="13:26" ht="12.75">
      <c r="M817" s="326">
        <f>IF(ISNUMBER(SEARCH(ZAKL_DATA!$B$29,N817)),MAX($M$2:M816)+1,0)</f>
        <v>815.0</v>
      </c>
      <c r="N817" s="327" t="s">
        <v>3088</v>
      </c>
      <c r="O817" s="342" t="s">
        <v>3089</v>
      </c>
      <c r="Q817" s="329" t="str">
        <f>IFERROR(VLOOKUP(ROWS($Q$3:Q817),$M$3:$N$992,2,0),"")</f>
        <v>Činnosti muzeí</v>
      </c>
      <c r="R817">
        <f>IF(ISNUMBER(SEARCH('1Př1'!$A$32,N817)),MAX($M$2:M816)+1,0)</f>
        <v>815.0</v>
      </c>
      <c r="S817" s="327" t="s">
        <v>3088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327" t="s">
        <v>3088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327" t="s">
        <v>3088</v>
      </c>
      <c r="Z817" t="str">
        <f>IFERROR(VLOOKUP(ROWS($Z$3:Z817),$X$3:$Y$992,2,0),"")</f>
        <v>Činnosti muzeí</v>
      </c>
    </row>
    <row r="818" spans="13:26" ht="12.75">
      <c r="M818" s="326">
        <f>IF(ISNUMBER(SEARCH(ZAKL_DATA!$B$29,N818)),MAX($M$2:M817)+1,0)</f>
        <v>816.0</v>
      </c>
      <c r="N818" s="327" t="s">
        <v>3090</v>
      </c>
      <c r="O818" s="342" t="s">
        <v>3091</v>
      </c>
      <c r="Q818" s="329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327" t="s">
        <v>3090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327" t="s">
        <v>3090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327" t="s">
        <v>3090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26">
        <f>IF(ISNUMBER(SEARCH(ZAKL_DATA!$B$29,N819)),MAX($M$2:M818)+1,0)</f>
        <v>817.0</v>
      </c>
      <c r="N819" s="327" t="s">
        <v>3092</v>
      </c>
      <c r="O819" s="342" t="s">
        <v>3093</v>
      </c>
      <c r="Q819" s="329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327" t="s">
        <v>3092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327" t="s">
        <v>3092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327" t="s">
        <v>3092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26">
        <f>IF(ISNUMBER(SEARCH(ZAKL_DATA!$B$29,N820)),MAX($M$2:M819)+1,0)</f>
        <v>818.0</v>
      </c>
      <c r="N820" s="327" t="s">
        <v>3094</v>
      </c>
      <c r="O820" s="342" t="s">
        <v>3095</v>
      </c>
      <c r="Q820" s="329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327" t="s">
        <v>3094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327" t="s">
        <v>3094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327" t="s">
        <v>3094</v>
      </c>
      <c r="Z820" t="str">
        <f>IFERROR(VLOOKUP(ROWS($Z$3:Z820),$X$3:$Y$992,2,0),"")</f>
        <v>Provozování sportovních zařízení</v>
      </c>
    </row>
    <row r="821" spans="13:26" ht="12.75">
      <c r="M821" s="326">
        <f>IF(ISNUMBER(SEARCH(ZAKL_DATA!$B$29,N821)),MAX($M$2:M820)+1,0)</f>
        <v>819.0</v>
      </c>
      <c r="N821" s="327" t="s">
        <v>3096</v>
      </c>
      <c r="O821" s="342" t="s">
        <v>3097</v>
      </c>
      <c r="Q821" s="329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327" t="s">
        <v>3096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327" t="s">
        <v>3096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327" t="s">
        <v>3096</v>
      </c>
      <c r="Z821" t="str">
        <f>IFERROR(VLOOKUP(ROWS($Z$3:Z821),$X$3:$Y$992,2,0),"")</f>
        <v>Činnosti sportovních klubů</v>
      </c>
    </row>
    <row r="822" spans="13:26" ht="12.75">
      <c r="M822" s="326">
        <f>IF(ISNUMBER(SEARCH(ZAKL_DATA!$B$29,N822)),MAX($M$2:M821)+1,0)</f>
        <v>820.0</v>
      </c>
      <c r="N822" s="327" t="s">
        <v>3098</v>
      </c>
      <c r="O822" s="342" t="s">
        <v>3099</v>
      </c>
      <c r="Q822" s="329" t="str">
        <f>IFERROR(VLOOKUP(ROWS($Q$3:Q822),$M$3:$N$992,2,0),"")</f>
        <v>Činnosti fitcenter</v>
      </c>
      <c r="R822">
        <f>IF(ISNUMBER(SEARCH('1Př1'!$A$32,N822)),MAX($M$2:M821)+1,0)</f>
        <v>820.0</v>
      </c>
      <c r="S822" s="327" t="s">
        <v>3098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327" t="s">
        <v>3098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327" t="s">
        <v>3098</v>
      </c>
      <c r="Z822" t="str">
        <f>IFERROR(VLOOKUP(ROWS($Z$3:Z822),$X$3:$Y$992,2,0),"")</f>
        <v>Činnosti fitcenter</v>
      </c>
    </row>
    <row r="823" spans="13:26" ht="12.75">
      <c r="M823" s="326">
        <f>IF(ISNUMBER(SEARCH(ZAKL_DATA!$B$29,N823)),MAX($M$2:M822)+1,0)</f>
        <v>821.0</v>
      </c>
      <c r="N823" s="327" t="s">
        <v>3100</v>
      </c>
      <c r="O823" s="342" t="s">
        <v>3101</v>
      </c>
      <c r="Q823" s="329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327" t="s">
        <v>3100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327" t="s">
        <v>3100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327" t="s">
        <v>3100</v>
      </c>
      <c r="Z823" t="str">
        <f>IFERROR(VLOOKUP(ROWS($Z$3:Z823),$X$3:$Y$992,2,0),"")</f>
        <v>Ostatní sportovní činnosti</v>
      </c>
    </row>
    <row r="824" spans="13:26" ht="12.75">
      <c r="M824" s="326">
        <f>IF(ISNUMBER(SEARCH(ZAKL_DATA!$B$29,N824)),MAX($M$2:M823)+1,0)</f>
        <v>822.0</v>
      </c>
      <c r="N824" s="327" t="s">
        <v>3102</v>
      </c>
      <c r="O824" s="342" t="s">
        <v>3103</v>
      </c>
      <c r="Q824" s="329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327" t="s">
        <v>3102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327" t="s">
        <v>3102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327" t="s">
        <v>3102</v>
      </c>
      <c r="Z824" t="str">
        <f>IFERROR(VLOOKUP(ROWS($Z$3:Z824),$X$3:$Y$992,2,0),"")</f>
        <v>Činnosti lunaparků a zábavních parků</v>
      </c>
    </row>
    <row r="825" spans="13:26" ht="12.75">
      <c r="M825" s="326">
        <f>IF(ISNUMBER(SEARCH(ZAKL_DATA!$B$29,N825)),MAX($M$2:M824)+1,0)</f>
        <v>823.0</v>
      </c>
      <c r="N825" s="327" t="s">
        <v>3104</v>
      </c>
      <c r="O825" s="342" t="s">
        <v>3105</v>
      </c>
      <c r="Q825" s="329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327" t="s">
        <v>3104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327" t="s">
        <v>3104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327" t="s">
        <v>3104</v>
      </c>
      <c r="Z825" t="str">
        <f>IFERROR(VLOOKUP(ROWS($Z$3:Z825),$X$3:$Y$992,2,0),"")</f>
        <v>Ostatní zábavní a rekreační činnosti j. n.</v>
      </c>
    </row>
    <row r="826" spans="13:26" ht="12.75">
      <c r="M826" s="326">
        <f>IF(ISNUMBER(SEARCH(ZAKL_DATA!$B$29,N826)),MAX($M$2:M825)+1,0)</f>
        <v>824.0</v>
      </c>
      <c r="N826" s="327" t="s">
        <v>3106</v>
      </c>
      <c r="O826" s="342" t="s">
        <v>3107</v>
      </c>
      <c r="Q826" s="329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327" t="s">
        <v>3106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327" t="s">
        <v>3106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327" t="s">
        <v>3106</v>
      </c>
      <c r="Z826" t="str">
        <f>IFERROR(VLOOKUP(ROWS($Z$3:Z826),$X$3:$Y$992,2,0),"")</f>
        <v>Činnosti podnikatelských a zaměstnavatelských organizací</v>
      </c>
    </row>
    <row r="827" spans="13:26" ht="12.75">
      <c r="M827" s="326">
        <f>IF(ISNUMBER(SEARCH(ZAKL_DATA!$B$29,N827)),MAX($M$2:M826)+1,0)</f>
        <v>825.0</v>
      </c>
      <c r="N827" s="327" t="s">
        <v>3108</v>
      </c>
      <c r="O827" s="342" t="s">
        <v>3109</v>
      </c>
      <c r="Q827" s="329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327" t="s">
        <v>3108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327" t="s">
        <v>3108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327" t="s">
        <v>3108</v>
      </c>
      <c r="Z827" t="str">
        <f>IFERROR(VLOOKUP(ROWS($Z$3:Z827),$X$3:$Y$992,2,0),"")</f>
        <v>Činnosti profesních organizací</v>
      </c>
    </row>
    <row r="828" spans="13:26" ht="12.75">
      <c r="M828" s="326">
        <f>IF(ISNUMBER(SEARCH(ZAKL_DATA!$B$29,N828)),MAX($M$2:M827)+1,0)</f>
        <v>826.0</v>
      </c>
      <c r="N828" s="327" t="s">
        <v>3110</v>
      </c>
      <c r="O828" s="342" t="s">
        <v>3111</v>
      </c>
      <c r="Q828" s="329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327" t="s">
        <v>3110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327" t="s">
        <v>3110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327" t="s">
        <v>3110</v>
      </c>
      <c r="Z828" t="str">
        <f>IFERROR(VLOOKUP(ROWS($Z$3:Z828),$X$3:$Y$992,2,0),"")</f>
        <v>Činnosti náboženských organizací</v>
      </c>
    </row>
    <row r="829" spans="13:26" ht="12.75">
      <c r="M829" s="326">
        <f>IF(ISNUMBER(SEARCH(ZAKL_DATA!$B$29,N829)),MAX($M$2:M828)+1,0)</f>
        <v>827.0</v>
      </c>
      <c r="N829" s="327" t="s">
        <v>3112</v>
      </c>
      <c r="O829" s="342" t="s">
        <v>3113</v>
      </c>
      <c r="Q829" s="329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327" t="s">
        <v>3112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327" t="s">
        <v>3112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327" t="s">
        <v>3112</v>
      </c>
      <c r="Z829" t="str">
        <f>IFERROR(VLOOKUP(ROWS($Z$3:Z829),$X$3:$Y$992,2,0),"")</f>
        <v>Činnosti politických stran a organizací</v>
      </c>
    </row>
    <row r="830" spans="13:26" ht="12.75">
      <c r="M830" s="326">
        <f>IF(ISNUMBER(SEARCH(ZAKL_DATA!$B$29,N830)),MAX($M$2:M829)+1,0)</f>
        <v>828.0</v>
      </c>
      <c r="N830" s="327" t="s">
        <v>3114</v>
      </c>
      <c r="O830" s="342" t="s">
        <v>3115</v>
      </c>
      <c r="Q830" s="329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327" t="s">
        <v>3114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327" t="s">
        <v>3114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327" t="s">
        <v>3114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26">
        <f>IF(ISNUMBER(SEARCH(ZAKL_DATA!$B$29,N831)),MAX($M$2:M830)+1,0)</f>
        <v>829.0</v>
      </c>
      <c r="N831" s="327" t="s">
        <v>3116</v>
      </c>
      <c r="O831" s="342" t="s">
        <v>3117</v>
      </c>
      <c r="Q831" s="329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327" t="s">
        <v>3116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327" t="s">
        <v>3116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327" t="s">
        <v>3116</v>
      </c>
      <c r="Z831" t="str">
        <f>IFERROR(VLOOKUP(ROWS($Z$3:Z831),$X$3:$Y$992,2,0),"")</f>
        <v>Opravy počítačů a periferních zařízení</v>
      </c>
    </row>
    <row r="832" spans="13:26" ht="12.75">
      <c r="M832" s="326">
        <f>IF(ISNUMBER(SEARCH(ZAKL_DATA!$B$29,N832)),MAX($M$2:M831)+1,0)</f>
        <v>830.0</v>
      </c>
      <c r="N832" s="327" t="s">
        <v>3118</v>
      </c>
      <c r="O832" s="342" t="s">
        <v>3119</v>
      </c>
      <c r="Q832" s="329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327" t="s">
        <v>3118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327" t="s">
        <v>3118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327" t="s">
        <v>3118</v>
      </c>
      <c r="Z832" t="str">
        <f>IFERROR(VLOOKUP(ROWS($Z$3:Z832),$X$3:$Y$992,2,0),"")</f>
        <v>Opravy komunikačních zařízení</v>
      </c>
    </row>
    <row r="833" spans="13:26" ht="12.75">
      <c r="M833" s="326">
        <f>IF(ISNUMBER(SEARCH(ZAKL_DATA!$B$29,N833)),MAX($M$2:M832)+1,0)</f>
        <v>831.0</v>
      </c>
      <c r="N833" s="327" t="s">
        <v>3120</v>
      </c>
      <c r="O833" s="342" t="s">
        <v>3121</v>
      </c>
      <c r="Q833" s="329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327" t="s">
        <v>3120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327" t="s">
        <v>3120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327" t="s">
        <v>3120</v>
      </c>
      <c r="Z833" t="str">
        <f>IFERROR(VLOOKUP(ROWS($Z$3:Z833),$X$3:$Y$992,2,0),"")</f>
        <v>Opravy spotřební elektroniky</v>
      </c>
    </row>
    <row r="834" spans="13:26" ht="12.75">
      <c r="M834" s="326">
        <f>IF(ISNUMBER(SEARCH(ZAKL_DATA!$B$29,N834)),MAX($M$2:M833)+1,0)</f>
        <v>832.0</v>
      </c>
      <c r="N834" s="327" t="s">
        <v>3122</v>
      </c>
      <c r="O834" s="342" t="s">
        <v>3123</v>
      </c>
      <c r="Q834" s="329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327" t="s">
        <v>3122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327" t="s">
        <v>3122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327" t="s">
        <v>3122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26">
        <f>IF(ISNUMBER(SEARCH(ZAKL_DATA!$B$29,N835)),MAX($M$2:M834)+1,0)</f>
        <v>833.0</v>
      </c>
      <c r="N835" s="327" t="s">
        <v>3124</v>
      </c>
      <c r="O835" s="342" t="s">
        <v>3125</v>
      </c>
      <c r="Q835" s="329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327" t="s">
        <v>3124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327" t="s">
        <v>3124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327" t="s">
        <v>3124</v>
      </c>
      <c r="Z835" t="str">
        <f>IFERROR(VLOOKUP(ROWS($Z$3:Z835),$X$3:$Y$992,2,0),"")</f>
        <v>Opravy obuvi a kožených výrobků</v>
      </c>
    </row>
    <row r="836" spans="13:26" ht="12.75">
      <c r="M836" s="326">
        <f>IF(ISNUMBER(SEARCH(ZAKL_DATA!$B$29,N836)),MAX($M$2:M835)+1,0)</f>
        <v>834.0</v>
      </c>
      <c r="N836" s="327" t="s">
        <v>3126</v>
      </c>
      <c r="O836" s="342" t="s">
        <v>3127</v>
      </c>
      <c r="Q836" s="329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327" t="s">
        <v>3126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327" t="s">
        <v>3126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327" t="s">
        <v>3126</v>
      </c>
      <c r="Z836" t="str">
        <f>IFERROR(VLOOKUP(ROWS($Z$3:Z836),$X$3:$Y$992,2,0),"")</f>
        <v>Opravy nábytku a bytového zařízení</v>
      </c>
    </row>
    <row r="837" spans="13:26" ht="12.75">
      <c r="M837" s="326">
        <f>IF(ISNUMBER(SEARCH(ZAKL_DATA!$B$29,N837)),MAX($M$2:M836)+1,0)</f>
        <v>835.0</v>
      </c>
      <c r="N837" s="327" t="s">
        <v>3128</v>
      </c>
      <c r="O837" s="342" t="s">
        <v>3129</v>
      </c>
      <c r="Q837" s="329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327" t="s">
        <v>3128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327" t="s">
        <v>3128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327" t="s">
        <v>3128</v>
      </c>
      <c r="Z837" t="str">
        <f>IFERROR(VLOOKUP(ROWS($Z$3:Z837),$X$3:$Y$992,2,0),"")</f>
        <v>Opravy hodin, hodinek a klenotnických výrobků</v>
      </c>
    </row>
    <row r="838" spans="13:26" ht="12.75">
      <c r="M838" s="326">
        <f>IF(ISNUMBER(SEARCH(ZAKL_DATA!$B$29,N838)),MAX($M$2:M837)+1,0)</f>
        <v>836.0</v>
      </c>
      <c r="N838" s="327" t="s">
        <v>3130</v>
      </c>
      <c r="O838" s="342" t="s">
        <v>3131</v>
      </c>
      <c r="Q838" s="329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327" t="s">
        <v>3130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327" t="s">
        <v>3130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327" t="s">
        <v>3130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26">
        <f>IF(ISNUMBER(SEARCH(ZAKL_DATA!$B$29,N839)),MAX($M$2:M838)+1,0)</f>
        <v>837.0</v>
      </c>
      <c r="N839" s="327" t="s">
        <v>3132</v>
      </c>
      <c r="O839" s="342" t="s">
        <v>3133</v>
      </c>
      <c r="Q839" s="329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327" t="s">
        <v>3132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327" t="s">
        <v>3132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327" t="s">
        <v>3132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26">
        <f>IF(ISNUMBER(SEARCH(ZAKL_DATA!$B$29,N840)),MAX($M$2:M839)+1,0)</f>
        <v>838.0</v>
      </c>
      <c r="N840" s="327" t="s">
        <v>3134</v>
      </c>
      <c r="O840" s="342" t="s">
        <v>3135</v>
      </c>
      <c r="Q840" s="329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327" t="s">
        <v>3134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327" t="s">
        <v>3134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327" t="s">
        <v>3134</v>
      </c>
      <c r="Z840" t="str">
        <f>IFERROR(VLOOKUP(ROWS($Z$3:Z840),$X$3:$Y$992,2,0),"")</f>
        <v>Kadeřnické, kosmetické a podobné činnosti</v>
      </c>
    </row>
    <row r="841" spans="13:26" ht="12.75">
      <c r="M841" s="326">
        <f>IF(ISNUMBER(SEARCH(ZAKL_DATA!$B$29,N841)),MAX($M$2:M840)+1,0)</f>
        <v>839.0</v>
      </c>
      <c r="N841" s="327" t="s">
        <v>3136</v>
      </c>
      <c r="O841" s="342" t="s">
        <v>3137</v>
      </c>
      <c r="Q841" s="329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327" t="s">
        <v>3136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327" t="s">
        <v>3136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327" t="s">
        <v>3136</v>
      </c>
      <c r="Z841" t="str">
        <f>IFERROR(VLOOKUP(ROWS($Z$3:Z841),$X$3:$Y$992,2,0),"")</f>
        <v>Pohřební a související činnosti</v>
      </c>
    </row>
    <row r="842" spans="13:26" ht="12.75">
      <c r="M842" s="326">
        <f>IF(ISNUMBER(SEARCH(ZAKL_DATA!$B$29,N842)),MAX($M$2:M841)+1,0)</f>
        <v>840.0</v>
      </c>
      <c r="N842" s="327" t="s">
        <v>3138</v>
      </c>
      <c r="O842" s="342" t="s">
        <v>3139</v>
      </c>
      <c r="Q842" s="329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327" t="s">
        <v>3138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327" t="s">
        <v>3138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327" t="s">
        <v>3138</v>
      </c>
      <c r="Z842" t="str">
        <f>IFERROR(VLOOKUP(ROWS($Z$3:Z842),$X$3:$Y$992,2,0),"")</f>
        <v>Činnosti pro osobní a fyzickou pohodu</v>
      </c>
    </row>
    <row r="843" spans="13:26" ht="12.75">
      <c r="M843" s="326">
        <f>IF(ISNUMBER(SEARCH(ZAKL_DATA!$B$29,N843)),MAX($M$2:M842)+1,0)</f>
        <v>841.0</v>
      </c>
      <c r="N843" s="327" t="s">
        <v>3140</v>
      </c>
      <c r="O843" s="342" t="s">
        <v>3141</v>
      </c>
      <c r="Q843" s="329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327" t="s">
        <v>3140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327" t="s">
        <v>3140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327" t="s">
        <v>3140</v>
      </c>
      <c r="Z843" t="str">
        <f>IFERROR(VLOOKUP(ROWS($Z$3:Z843),$X$3:$Y$992,2,0),"")</f>
        <v>Poskytování ostatních osobních služeb j. n.</v>
      </c>
    </row>
    <row r="844" spans="13:26" ht="12.75">
      <c r="M844" s="326">
        <f>IF(ISNUMBER(SEARCH(ZAKL_DATA!$B$29,N844)),MAX($M$2:M843)+1,0)</f>
        <v>842.0</v>
      </c>
      <c r="N844" s="327" t="s">
        <v>3142</v>
      </c>
      <c r="O844" s="342" t="s">
        <v>2232</v>
      </c>
      <c r="Q844" s="329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327" t="s">
        <v>3142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327" t="s">
        <v>3142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327" t="s">
        <v>3142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26">
        <f>IF(ISNUMBER(SEARCH(ZAKL_DATA!$B$29,N845)),MAX($M$2:M844)+1,0)</f>
        <v>843.0</v>
      </c>
      <c r="N845" s="327" t="s">
        <v>3143</v>
      </c>
      <c r="O845" s="342" t="s">
        <v>3144</v>
      </c>
      <c r="Q845" s="329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327" t="s">
        <v>3143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327" t="s">
        <v>3143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327" t="s">
        <v>3143</v>
      </c>
      <c r="Z845" t="str">
        <f>IFERROR(VLOOKUP(ROWS($Z$3:Z845),$X$3:$Y$992,2,0),"")</f>
        <v>Výroba obuvi s usňovým svrškem</v>
      </c>
    </row>
    <row r="846" spans="13:26" ht="12.75">
      <c r="M846" s="326">
        <f>IF(ISNUMBER(SEARCH(ZAKL_DATA!$B$29,N846)),MAX($M$2:M845)+1,0)</f>
        <v>844.0</v>
      </c>
      <c r="N846" s="327" t="s">
        <v>3145</v>
      </c>
      <c r="O846" s="342" t="s">
        <v>3146</v>
      </c>
      <c r="Q846" s="329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327" t="s">
        <v>3145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327" t="s">
        <v>3145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327" t="s">
        <v>3145</v>
      </c>
      <c r="Z846" t="str">
        <f>IFERROR(VLOOKUP(ROWS($Z$3:Z846),$X$3:$Y$992,2,0),"")</f>
        <v>Výroba obuvi z ostatních materiálů</v>
      </c>
    </row>
    <row r="847" spans="13:26" ht="12.75">
      <c r="M847" s="326">
        <f>IF(ISNUMBER(SEARCH(ZAKL_DATA!$B$29,N847)),MAX($M$2:M846)+1,0)</f>
        <v>845.0</v>
      </c>
      <c r="N847" s="327" t="s">
        <v>3147</v>
      </c>
      <c r="O847" s="342" t="s">
        <v>3148</v>
      </c>
      <c r="Q847" s="329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327" t="s">
        <v>3147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327" t="s">
        <v>3147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327" t="s">
        <v>3147</v>
      </c>
      <c r="Z847" t="str">
        <f>IFERROR(VLOOKUP(ROWS($Z$3:Z847),$X$3:$Y$992,2,0),"")</f>
        <v>Výroba chemických buničin</v>
      </c>
    </row>
    <row r="848" spans="13:26" ht="12.75">
      <c r="M848" s="326">
        <f>IF(ISNUMBER(SEARCH(ZAKL_DATA!$B$29,N848)),MAX($M$2:M847)+1,0)</f>
        <v>846.0</v>
      </c>
      <c r="N848" s="327" t="s">
        <v>3149</v>
      </c>
      <c r="O848" s="342" t="s">
        <v>3150</v>
      </c>
      <c r="Q848" s="329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327" t="s">
        <v>3149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327" t="s">
        <v>3149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327" t="s">
        <v>3149</v>
      </c>
      <c r="Z848" t="str">
        <f>IFERROR(VLOOKUP(ROWS($Z$3:Z848),$X$3:$Y$992,2,0),"")</f>
        <v>Výroba mechanických vláknin</v>
      </c>
    </row>
    <row r="849" spans="13:26" ht="12.75">
      <c r="M849" s="326">
        <f>IF(ISNUMBER(SEARCH(ZAKL_DATA!$B$29,N849)),MAX($M$2:M848)+1,0)</f>
        <v>847.0</v>
      </c>
      <c r="N849" s="327" t="s">
        <v>3151</v>
      </c>
      <c r="O849" s="342" t="s">
        <v>3152</v>
      </c>
      <c r="Q849" s="329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327" t="s">
        <v>3151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327" t="s">
        <v>3151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327" t="s">
        <v>3151</v>
      </c>
      <c r="Z849" t="str">
        <f>IFERROR(VLOOKUP(ROWS($Z$3:Z849),$X$3:$Y$992,2,0),"")</f>
        <v>Výroba ostatních papírenských vláknin</v>
      </c>
    </row>
    <row r="850" spans="13:26" ht="12.75">
      <c r="M850" s="326">
        <f>IF(ISNUMBER(SEARCH(ZAKL_DATA!$B$29,N850)),MAX($M$2:M849)+1,0)</f>
        <v>848.0</v>
      </c>
      <c r="N850" s="327" t="s">
        <v>3153</v>
      </c>
      <c r="O850" s="342" t="s">
        <v>3154</v>
      </c>
      <c r="Q850" s="329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327" t="s">
        <v>3153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327" t="s">
        <v>3153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327" t="s">
        <v>3153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26">
        <f>IF(ISNUMBER(SEARCH(ZAKL_DATA!$B$29,N851)),MAX($M$2:M850)+1,0)</f>
        <v>849.0</v>
      </c>
      <c r="N851" s="327" t="s">
        <v>3155</v>
      </c>
      <c r="O851" s="342" t="s">
        <v>3156</v>
      </c>
      <c r="Q851" s="329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327" t="s">
        <v>3155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327" t="s">
        <v>3155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327" t="s">
        <v>3155</v>
      </c>
      <c r="Z851" t="str">
        <f>IFERROR(VLOOKUP(ROWS($Z$3:Z851),$X$3:$Y$992,2,0),"")</f>
        <v>Výroba ostatních základních organických chemických látek</v>
      </c>
    </row>
    <row r="852" spans="13:26" ht="12.75">
      <c r="M852" s="326">
        <f>IF(ISNUMBER(SEARCH(ZAKL_DATA!$B$29,N852)),MAX($M$2:M851)+1,0)</f>
        <v>850.0</v>
      </c>
      <c r="N852" s="327" t="s">
        <v>3157</v>
      </c>
      <c r="O852" s="342" t="s">
        <v>3158</v>
      </c>
      <c r="Q852" s="329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327" t="s">
        <v>3157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327" t="s">
        <v>3157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327" t="s">
        <v>3157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26">
        <f>IF(ISNUMBER(SEARCH(ZAKL_DATA!$B$29,N853)),MAX($M$2:M852)+1,0)</f>
        <v>851.0</v>
      </c>
      <c r="N853" s="327" t="s">
        <v>3159</v>
      </c>
      <c r="O853" s="342" t="s">
        <v>3160</v>
      </c>
      <c r="Q853" s="329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327" t="s">
        <v>3159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327" t="s">
        <v>3159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327" t="s">
        <v>3159</v>
      </c>
      <c r="Z853" t="str">
        <f>IFERROR(VLOOKUP(ROWS($Z$3:Z853),$X$3:$Y$992,2,0),"")</f>
        <v>Výroba jiných chemických výrobků j. n.</v>
      </c>
    </row>
    <row r="854" spans="13:26" ht="12.75">
      <c r="M854" s="326">
        <f>IF(ISNUMBER(SEARCH(ZAKL_DATA!$B$29,N854)),MAX($M$2:M853)+1,0)</f>
        <v>852.0</v>
      </c>
      <c r="N854" s="327" t="s">
        <v>3161</v>
      </c>
      <c r="O854" s="342" t="s">
        <v>3162</v>
      </c>
      <c r="Q854" s="329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327" t="s">
        <v>3161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327" t="s">
        <v>3161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327" t="s">
        <v>3161</v>
      </c>
      <c r="Z854" t="str">
        <f>IFERROR(VLOOKUP(ROWS($Z$3:Z854),$X$3:$Y$992,2,0),"")</f>
        <v>Výroba surového železa, oceli a feroslitin</v>
      </c>
    </row>
    <row r="855" spans="13:26" ht="12.75">
      <c r="M855" s="326">
        <f>IF(ISNUMBER(SEARCH(ZAKL_DATA!$B$29,N855)),MAX($M$2:M854)+1,0)</f>
        <v>853.0</v>
      </c>
      <c r="N855" s="327" t="s">
        <v>3163</v>
      </c>
      <c r="O855" s="342" t="s">
        <v>3164</v>
      </c>
      <c r="Q855" s="329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327" t="s">
        <v>3163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327" t="s">
        <v>3163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327" t="s">
        <v>3163</v>
      </c>
      <c r="Z855" t="str">
        <f>IFERROR(VLOOKUP(ROWS($Z$3:Z855),$X$3:$Y$992,2,0),"")</f>
        <v>Výroba plochých výrobků (kromě pásky za studena)</v>
      </c>
    </row>
    <row r="856" spans="13:26" ht="12.75">
      <c r="M856" s="326">
        <f>IF(ISNUMBER(SEARCH(ZAKL_DATA!$B$29,N856)),MAX($M$2:M855)+1,0)</f>
        <v>854.0</v>
      </c>
      <c r="N856" s="327" t="s">
        <v>3165</v>
      </c>
      <c r="O856" s="342" t="s">
        <v>3166</v>
      </c>
      <c r="Q856" s="329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327" t="s">
        <v>3165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327" t="s">
        <v>3165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327" t="s">
        <v>3165</v>
      </c>
      <c r="Z856" t="str">
        <f>IFERROR(VLOOKUP(ROWS($Z$3:Z856),$X$3:$Y$992,2,0),"")</f>
        <v>Tváření výrobků za tepla</v>
      </c>
    </row>
    <row r="857" spans="13:26" ht="12.75">
      <c r="M857" s="326">
        <f>IF(ISNUMBER(SEARCH(ZAKL_DATA!$B$29,N857)),MAX($M$2:M856)+1,0)</f>
        <v>855.0</v>
      </c>
      <c r="N857" s="327" t="s">
        <v>3167</v>
      </c>
      <c r="O857" s="342" t="s">
        <v>3168</v>
      </c>
      <c r="Q857" s="329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327" t="s">
        <v>3167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327" t="s">
        <v>3167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327" t="s">
        <v>3167</v>
      </c>
      <c r="Z857" t="str">
        <f>IFERROR(VLOOKUP(ROWS($Z$3:Z857),$X$3:$Y$992,2,0),"")</f>
        <v>Výroba odlitků z litiny s lupínkovým grafitem</v>
      </c>
    </row>
    <row r="858" spans="13:26" ht="12.75">
      <c r="M858" s="326">
        <f>IF(ISNUMBER(SEARCH(ZAKL_DATA!$B$29,N858)),MAX($M$2:M857)+1,0)</f>
        <v>856.0</v>
      </c>
      <c r="N858" s="327" t="s">
        <v>3169</v>
      </c>
      <c r="O858" s="342" t="s">
        <v>3170</v>
      </c>
      <c r="Q858" s="329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327" t="s">
        <v>3169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327" t="s">
        <v>3169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327" t="s">
        <v>3169</v>
      </c>
      <c r="Z858" t="str">
        <f>IFERROR(VLOOKUP(ROWS($Z$3:Z858),$X$3:$Y$992,2,0),"")</f>
        <v>Výroba odlitků z litiny s kuličkovým grafitem</v>
      </c>
    </row>
    <row r="859" spans="13:26" ht="12.75">
      <c r="M859" s="326">
        <f>IF(ISNUMBER(SEARCH(ZAKL_DATA!$B$29,N859)),MAX($M$2:M858)+1,0)</f>
        <v>857.0</v>
      </c>
      <c r="N859" s="327" t="s">
        <v>3171</v>
      </c>
      <c r="O859" s="342" t="s">
        <v>3172</v>
      </c>
      <c r="Q859" s="329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327" t="s">
        <v>3171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327" t="s">
        <v>3171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327" t="s">
        <v>3171</v>
      </c>
      <c r="Z859" t="str">
        <f>IFERROR(VLOOKUP(ROWS($Z$3:Z859),$X$3:$Y$992,2,0),"")</f>
        <v>Výroba ostatních odlitků z litiny</v>
      </c>
    </row>
    <row r="860" spans="13:26" ht="12.75">
      <c r="M860" s="326">
        <f>IF(ISNUMBER(SEARCH(ZAKL_DATA!$B$29,N860)),MAX($M$2:M859)+1,0)</f>
        <v>858.0</v>
      </c>
      <c r="N860" s="327" t="s">
        <v>3173</v>
      </c>
      <c r="O860" s="342" t="s">
        <v>3174</v>
      </c>
      <c r="Q860" s="329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327" t="s">
        <v>3173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327" t="s">
        <v>3173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327" t="s">
        <v>3173</v>
      </c>
      <c r="Z860" t="str">
        <f>IFERROR(VLOOKUP(ROWS($Z$3:Z860),$X$3:$Y$992,2,0),"")</f>
        <v>Výroba odlitků z uhlíkatých ocelí</v>
      </c>
    </row>
    <row r="861" spans="13:26" ht="12.75">
      <c r="M861" s="326">
        <f>IF(ISNUMBER(SEARCH(ZAKL_DATA!$B$29,N861)),MAX($M$2:M860)+1,0)</f>
        <v>859.0</v>
      </c>
      <c r="N861" s="327" t="s">
        <v>3175</v>
      </c>
      <c r="O861" s="342" t="s">
        <v>3176</v>
      </c>
      <c r="Q861" s="329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327" t="s">
        <v>3175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327" t="s">
        <v>3175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327" t="s">
        <v>3175</v>
      </c>
      <c r="Z861" t="str">
        <f>IFERROR(VLOOKUP(ROWS($Z$3:Z861),$X$3:$Y$992,2,0),"")</f>
        <v>Výroba odlitků z legovaných ocelí</v>
      </c>
    </row>
    <row r="862" spans="13:26" ht="12.75">
      <c r="M862" s="326">
        <f>IF(ISNUMBER(SEARCH(ZAKL_DATA!$B$29,N862)),MAX($M$2:M861)+1,0)</f>
        <v>860.0</v>
      </c>
      <c r="N862" s="327" t="s">
        <v>3177</v>
      </c>
      <c r="O862" s="342" t="s">
        <v>3178</v>
      </c>
      <c r="Q862" s="329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327" t="s">
        <v>3177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327" t="s">
        <v>3177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327" t="s">
        <v>3177</v>
      </c>
      <c r="Z862" t="str">
        <f>IFERROR(VLOOKUP(ROWS($Z$3:Z862),$X$3:$Y$992,2,0),"")</f>
        <v>Opravy a údržba kolejových vozidel</v>
      </c>
    </row>
    <row r="863" spans="13:26" ht="12.75">
      <c r="M863" s="326">
        <f>IF(ISNUMBER(SEARCH(ZAKL_DATA!$B$29,N863)),MAX($M$2:M862)+1,0)</f>
        <v>861.0</v>
      </c>
      <c r="N863" s="327" t="s">
        <v>3179</v>
      </c>
      <c r="O863" s="342" t="s">
        <v>3180</v>
      </c>
      <c r="Q863" s="329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327" t="s">
        <v>3179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327" t="s">
        <v>3179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327" t="s">
        <v>3179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26">
        <f>IF(ISNUMBER(SEARCH(ZAKL_DATA!$B$29,N864)),MAX($M$2:M863)+1,0)</f>
        <v>862.0</v>
      </c>
      <c r="N864" s="327" t="s">
        <v>3181</v>
      </c>
      <c r="O864" s="342" t="s">
        <v>1912</v>
      </c>
      <c r="Q864" s="329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327" t="s">
        <v>3181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327" t="s">
        <v>3181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327" t="s">
        <v>3181</v>
      </c>
      <c r="Z864" t="str">
        <f>IFERROR(VLOOKUP(ROWS($Z$3:Z864),$X$3:$Y$992,2,0),"")</f>
        <v>Výroba a rozvod tepla a klimatizovaného vzduchu,výroba ledu</v>
      </c>
    </row>
    <row r="865" spans="13:26" ht="12.75">
      <c r="M865" s="326">
        <f>IF(ISNUMBER(SEARCH(ZAKL_DATA!$B$29,N865)),MAX($M$2:M864)+1,0)</f>
        <v>863.0</v>
      </c>
      <c r="N865" s="327" t="s">
        <v>3182</v>
      </c>
      <c r="O865" s="342" t="s">
        <v>3183</v>
      </c>
      <c r="Q865" s="329" t="str">
        <f>IFERROR(VLOOKUP(ROWS($Q$3:Q865),$M$3:$N$992,2,0),"")</f>
        <v>Výroba tepla</v>
      </c>
      <c r="R865">
        <f>IF(ISNUMBER(SEARCH('1Př1'!$A$32,N865)),MAX($M$2:M864)+1,0)</f>
        <v>863.0</v>
      </c>
      <c r="S865" s="327" t="s">
        <v>3182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327" t="s">
        <v>3182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327" t="s">
        <v>3182</v>
      </c>
      <c r="Z865" t="str">
        <f>IFERROR(VLOOKUP(ROWS($Z$3:Z865),$X$3:$Y$992,2,0),"")</f>
        <v>Výroba tepla</v>
      </c>
    </row>
    <row r="866" spans="13:26" ht="12.75">
      <c r="M866" s="326">
        <f>IF(ISNUMBER(SEARCH(ZAKL_DATA!$B$29,N866)),MAX($M$2:M865)+1,0)</f>
        <v>864.0</v>
      </c>
      <c r="N866" s="327" t="s">
        <v>3184</v>
      </c>
      <c r="O866" s="342" t="s">
        <v>3185</v>
      </c>
      <c r="Q866" s="329" t="str">
        <f>IFERROR(VLOOKUP(ROWS($Q$3:Q866),$M$3:$N$992,2,0),"")</f>
        <v>Rozvod tepla</v>
      </c>
      <c r="R866">
        <f>IF(ISNUMBER(SEARCH('1Př1'!$A$32,N866)),MAX($M$2:M865)+1,0)</f>
        <v>864.0</v>
      </c>
      <c r="S866" s="327" t="s">
        <v>3184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327" t="s">
        <v>3184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327" t="s">
        <v>3184</v>
      </c>
      <c r="Z866" t="str">
        <f>IFERROR(VLOOKUP(ROWS($Z$3:Z866),$X$3:$Y$992,2,0),"")</f>
        <v>Rozvod tepla</v>
      </c>
    </row>
    <row r="867" spans="13:26" ht="12.75">
      <c r="M867" s="326">
        <f>IF(ISNUMBER(SEARCH(ZAKL_DATA!$B$29,N867)),MAX($M$2:M866)+1,0)</f>
        <v>865.0</v>
      </c>
      <c r="N867" s="327" t="s">
        <v>3186</v>
      </c>
      <c r="O867" s="342" t="s">
        <v>3187</v>
      </c>
      <c r="Q867" s="329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327" t="s">
        <v>3186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327" t="s">
        <v>3186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327" t="s">
        <v>3186</v>
      </c>
      <c r="Z867" t="str">
        <f>IFERROR(VLOOKUP(ROWS($Z$3:Z867),$X$3:$Y$992,2,0),"")</f>
        <v>Výroba klimatizovaného vzduchu</v>
      </c>
    </row>
    <row r="868" spans="13:26" ht="12.75">
      <c r="M868" s="326">
        <f>IF(ISNUMBER(SEARCH(ZAKL_DATA!$B$29,N868)),MAX($M$2:M867)+1,0)</f>
        <v>866.0</v>
      </c>
      <c r="N868" s="327" t="s">
        <v>3188</v>
      </c>
      <c r="O868" s="342" t="s">
        <v>3189</v>
      </c>
      <c r="Q868" s="329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327" t="s">
        <v>3188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327" t="s">
        <v>3188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327" t="s">
        <v>3188</v>
      </c>
      <c r="Z868" t="str">
        <f>IFERROR(VLOOKUP(ROWS($Z$3:Z868),$X$3:$Y$992,2,0),"")</f>
        <v>Rozvod klimatizovaného vzduchu</v>
      </c>
    </row>
    <row r="869" spans="13:26" ht="12.75">
      <c r="M869" s="326">
        <f>IF(ISNUMBER(SEARCH(ZAKL_DATA!$B$29,N869)),MAX($M$2:M868)+1,0)</f>
        <v>867.0</v>
      </c>
      <c r="N869" s="327" t="s">
        <v>3190</v>
      </c>
      <c r="O869" s="342" t="s">
        <v>3191</v>
      </c>
      <c r="Q869" s="329" t="str">
        <f>IFERROR(VLOOKUP(ROWS($Q$3:Q869),$M$3:$N$992,2,0),"")</f>
        <v>Výroba chladicí vody</v>
      </c>
      <c r="R869">
        <f>IF(ISNUMBER(SEARCH('1Př1'!$A$32,N869)),MAX($M$2:M868)+1,0)</f>
        <v>867.0</v>
      </c>
      <c r="S869" s="327" t="s">
        <v>3190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327" t="s">
        <v>3190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327" t="s">
        <v>3190</v>
      </c>
      <c r="Z869" t="str">
        <f>IFERROR(VLOOKUP(ROWS($Z$3:Z869),$X$3:$Y$992,2,0),"")</f>
        <v>Výroba chladicí vody</v>
      </c>
    </row>
    <row r="870" spans="13:26" ht="12.75">
      <c r="M870" s="326">
        <f>IF(ISNUMBER(SEARCH(ZAKL_DATA!$B$29,N870)),MAX($M$2:M869)+1,0)</f>
        <v>868.0</v>
      </c>
      <c r="N870" s="327" t="s">
        <v>3192</v>
      </c>
      <c r="O870" s="342" t="s">
        <v>3193</v>
      </c>
      <c r="Q870" s="329" t="str">
        <f>IFERROR(VLOOKUP(ROWS($Q$3:Q870),$M$3:$N$992,2,0),"")</f>
        <v>Rozvod chladicí vody</v>
      </c>
      <c r="R870">
        <f>IF(ISNUMBER(SEARCH('1Př1'!$A$32,N870)),MAX($M$2:M869)+1,0)</f>
        <v>868.0</v>
      </c>
      <c r="S870" s="327" t="s">
        <v>3192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327" t="s">
        <v>3192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327" t="s">
        <v>3192</v>
      </c>
      <c r="Z870" t="str">
        <f>IFERROR(VLOOKUP(ROWS($Z$3:Z870),$X$3:$Y$992,2,0),"")</f>
        <v>Rozvod chladicí vody</v>
      </c>
    </row>
    <row r="871" spans="13:26" ht="12.75">
      <c r="M871" s="326">
        <f>IF(ISNUMBER(SEARCH(ZAKL_DATA!$B$29,N871)),MAX($M$2:M870)+1,0)</f>
        <v>869.0</v>
      </c>
      <c r="N871" s="327" t="s">
        <v>3194</v>
      </c>
      <c r="O871" s="342" t="s">
        <v>3195</v>
      </c>
      <c r="Q871" s="329" t="str">
        <f>IFERROR(VLOOKUP(ROWS($Q$3:Q871),$M$3:$N$992,2,0),"")</f>
        <v>Výroba ledu</v>
      </c>
      <c r="R871">
        <f>IF(ISNUMBER(SEARCH('1Př1'!$A$32,N871)),MAX($M$2:M870)+1,0)</f>
        <v>869.0</v>
      </c>
      <c r="S871" s="327" t="s">
        <v>3194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327" t="s">
        <v>3194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327" t="s">
        <v>3194</v>
      </c>
      <c r="Z871" t="str">
        <f>IFERROR(VLOOKUP(ROWS($Z$3:Z871),$X$3:$Y$992,2,0),"")</f>
        <v>Výroba ledu</v>
      </c>
    </row>
    <row r="872" spans="13:26" ht="12.75">
      <c r="M872" s="326">
        <f>IF(ISNUMBER(SEARCH(ZAKL_DATA!$B$29,N872)),MAX($M$2:M871)+1,0)</f>
        <v>870.0</v>
      </c>
      <c r="N872" s="327" t="s">
        <v>3196</v>
      </c>
      <c r="O872" s="342" t="s">
        <v>3197</v>
      </c>
      <c r="Q872" s="329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327" t="s">
        <v>3196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327" t="s">
        <v>3196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327" t="s">
        <v>3196</v>
      </c>
      <c r="Z872" t="str">
        <f>IFERROR(VLOOKUP(ROWS($Z$3:Z872),$X$3:$Y$992,2,0),"")</f>
        <v>Výstavba nebytových budov</v>
      </c>
    </row>
    <row r="873" spans="13:26" ht="12.75">
      <c r="M873" s="326">
        <f>IF(ISNUMBER(SEARCH(ZAKL_DATA!$B$29,N873)),MAX($M$2:M872)+1,0)</f>
        <v>871.0</v>
      </c>
      <c r="N873" s="327" t="s">
        <v>3198</v>
      </c>
      <c r="O873" s="342" t="s">
        <v>3199</v>
      </c>
      <c r="Q873" s="329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327" t="s">
        <v>3198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327" t="s">
        <v>3198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327" t="s">
        <v>3198</v>
      </c>
      <c r="Z873" t="str">
        <f>IFERROR(VLOOKUP(ROWS($Z$3:Z873),$X$3:$Y$992,2,0),"")</f>
        <v>Výstavba inženýrských sítí pro kapaliny</v>
      </c>
    </row>
    <row r="874" spans="13:26" ht="12.75">
      <c r="M874" s="326">
        <f>IF(ISNUMBER(SEARCH(ZAKL_DATA!$B$29,N874)),MAX($M$2:M873)+1,0)</f>
        <v>872.0</v>
      </c>
      <c r="N874" s="327" t="s">
        <v>3200</v>
      </c>
      <c r="O874" s="342" t="s">
        <v>3201</v>
      </c>
      <c r="Q874" s="329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327" t="s">
        <v>3200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327" t="s">
        <v>3200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327" t="s">
        <v>3200</v>
      </c>
      <c r="Z874" t="str">
        <f>IFERROR(VLOOKUP(ROWS($Z$3:Z874),$X$3:$Y$992,2,0),"")</f>
        <v>Výstavba inženýrských sítí pro plyny</v>
      </c>
    </row>
    <row r="875" spans="13:26" ht="12.75">
      <c r="M875" s="326">
        <f>IF(ISNUMBER(SEARCH(ZAKL_DATA!$B$29,N875)),MAX($M$2:M874)+1,0)</f>
        <v>873.0</v>
      </c>
      <c r="N875" s="327" t="s">
        <v>3202</v>
      </c>
      <c r="O875" s="342" t="s">
        <v>3203</v>
      </c>
      <c r="Q875" s="329" t="str">
        <f>IFERROR(VLOOKUP(ROWS($Q$3:Q875),$M$3:$N$992,2,0),"")</f>
        <v>Sklenářské práce</v>
      </c>
      <c r="R875">
        <f>IF(ISNUMBER(SEARCH('1Př1'!$A$32,N875)),MAX($M$2:M874)+1,0)</f>
        <v>873.0</v>
      </c>
      <c r="S875" s="327" t="s">
        <v>3202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327" t="s">
        <v>3202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327" t="s">
        <v>3202</v>
      </c>
      <c r="Z875" t="str">
        <f>IFERROR(VLOOKUP(ROWS($Z$3:Z875),$X$3:$Y$992,2,0),"")</f>
        <v>Sklenářské práce</v>
      </c>
    </row>
    <row r="876" spans="13:26" ht="12.75">
      <c r="M876" s="326">
        <f>IF(ISNUMBER(SEARCH(ZAKL_DATA!$B$29,N876)),MAX($M$2:M875)+1,0)</f>
        <v>874.0</v>
      </c>
      <c r="N876" s="327" t="s">
        <v>3204</v>
      </c>
      <c r="O876" s="342" t="s">
        <v>3205</v>
      </c>
      <c r="Q876" s="329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327" t="s">
        <v>3204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327" t="s">
        <v>3204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327" t="s">
        <v>3204</v>
      </c>
      <c r="Z876" t="str">
        <f>IFERROR(VLOOKUP(ROWS($Z$3:Z876),$X$3:$Y$992,2,0),"")</f>
        <v>Malířské a natěračské práce</v>
      </c>
    </row>
    <row r="877" spans="13:26" ht="12.75">
      <c r="M877" s="326">
        <f>IF(ISNUMBER(SEARCH(ZAKL_DATA!$B$29,N877)),MAX($M$2:M876)+1,0)</f>
        <v>875.0</v>
      </c>
      <c r="N877" s="327" t="s">
        <v>3206</v>
      </c>
      <c r="O877" s="342" t="s">
        <v>3207</v>
      </c>
      <c r="Q877" s="329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327" t="s">
        <v>3206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327" t="s">
        <v>3206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327" t="s">
        <v>3206</v>
      </c>
      <c r="Z877" t="str">
        <f>IFERROR(VLOOKUP(ROWS($Z$3:Z877),$X$3:$Y$992,2,0),"")</f>
        <v>Montáž a demontáž lešení a bednění</v>
      </c>
    </row>
    <row r="878" spans="13:26" ht="12.75">
      <c r="M878" s="326">
        <f>IF(ISNUMBER(SEARCH(ZAKL_DATA!$B$29,N878)),MAX($M$2:M877)+1,0)</f>
        <v>876.0</v>
      </c>
      <c r="N878" s="327" t="s">
        <v>3208</v>
      </c>
      <c r="O878" s="342" t="s">
        <v>3209</v>
      </c>
      <c r="Q878" s="329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327" t="s">
        <v>3208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327" t="s">
        <v>3208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327" t="s">
        <v>3208</v>
      </c>
      <c r="Z878" t="str">
        <f>IFERROR(VLOOKUP(ROWS($Z$3:Z878),$X$3:$Y$992,2,0),"")</f>
        <v>Jiné specializované stavební činnosti j. n.</v>
      </c>
    </row>
    <row r="879" spans="13:26" ht="12.75">
      <c r="M879" s="326">
        <f>IF(ISNUMBER(SEARCH(ZAKL_DATA!$B$29,N879)),MAX($M$2:M878)+1,0)</f>
        <v>877.0</v>
      </c>
      <c r="N879" s="327" t="s">
        <v>3210</v>
      </c>
      <c r="O879" s="342" t="s">
        <v>3211</v>
      </c>
      <c r="Q879" s="329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327" t="s">
        <v>3210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327" t="s">
        <v>3210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327" t="s">
        <v>3210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26">
        <f>IF(ISNUMBER(SEARCH(ZAKL_DATA!$B$29,N880)),MAX($M$2:M879)+1,0)</f>
        <v>878.0</v>
      </c>
      <c r="N880" s="327" t="s">
        <v>3212</v>
      </c>
      <c r="O880" s="342" t="s">
        <v>3213</v>
      </c>
      <c r="Q880" s="329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327" t="s">
        <v>3212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327" t="s">
        <v>3212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327" t="s">
        <v>3212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26">
        <f>IF(ISNUMBER(SEARCH(ZAKL_DATA!$B$29,N881)),MAX($M$2:M880)+1,0)</f>
        <v>879.0</v>
      </c>
      <c r="N881" s="327" t="s">
        <v>3214</v>
      </c>
      <c r="O881" s="342" t="s">
        <v>3215</v>
      </c>
      <c r="Q881" s="329" t="str">
        <f>IFERROR(VLOOKUP(ROWS($Q$3:Q881),$M$3:$N$992,2,0),"")</f>
        <v>Velkoobchod s oděvy</v>
      </c>
      <c r="R881">
        <f>IF(ISNUMBER(SEARCH('1Př1'!$A$32,N881)),MAX($M$2:M880)+1,0)</f>
        <v>879.0</v>
      </c>
      <c r="S881" s="327" t="s">
        <v>3214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327" t="s">
        <v>3214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327" t="s">
        <v>3214</v>
      </c>
      <c r="Z881" t="str">
        <f>IFERROR(VLOOKUP(ROWS($Z$3:Z881),$X$3:$Y$992,2,0),"")</f>
        <v>Velkoobchod s oděvy</v>
      </c>
    </row>
    <row r="882" spans="13:26" ht="12.75">
      <c r="M882" s="326">
        <f>IF(ISNUMBER(SEARCH(ZAKL_DATA!$B$29,N882)),MAX($M$2:M881)+1,0)</f>
        <v>880.0</v>
      </c>
      <c r="N882" s="327" t="s">
        <v>3216</v>
      </c>
      <c r="O882" s="342" t="s">
        <v>3217</v>
      </c>
      <c r="Q882" s="329" t="str">
        <f>IFERROR(VLOOKUP(ROWS($Q$3:Q882),$M$3:$N$992,2,0),"")</f>
        <v>Velkoobchod s obuví</v>
      </c>
      <c r="R882">
        <f>IF(ISNUMBER(SEARCH('1Př1'!$A$32,N882)),MAX($M$2:M881)+1,0)</f>
        <v>880.0</v>
      </c>
      <c r="S882" s="327" t="s">
        <v>3216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327" t="s">
        <v>3216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327" t="s">
        <v>3216</v>
      </c>
      <c r="Z882" t="str">
        <f>IFERROR(VLOOKUP(ROWS($Z$3:Z882),$X$3:$Y$992,2,0),"")</f>
        <v>Velkoobchod s obuví</v>
      </c>
    </row>
    <row r="883" spans="13:26" ht="12.75">
      <c r="M883" s="326">
        <f>IF(ISNUMBER(SEARCH(ZAKL_DATA!$B$29,N883)),MAX($M$2:M882)+1,0)</f>
        <v>881.0</v>
      </c>
      <c r="N883" s="327" t="s">
        <v>3218</v>
      </c>
      <c r="O883" s="342" t="s">
        <v>3219</v>
      </c>
      <c r="Q883" s="329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327" t="s">
        <v>3218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327" t="s">
        <v>3218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327" t="s">
        <v>3218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26">
        <f>IF(ISNUMBER(SEARCH(ZAKL_DATA!$B$29,N884)),MAX($M$2:M883)+1,0)</f>
        <v>882.0</v>
      </c>
      <c r="N884" s="327" t="s">
        <v>3220</v>
      </c>
      <c r="O884" s="342" t="s">
        <v>3221</v>
      </c>
      <c r="Q884" s="329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327" t="s">
        <v>3220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327" t="s">
        <v>3220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327" t="s">
        <v>3220</v>
      </c>
      <c r="Z884" t="str">
        <f>IFERROR(VLOOKUP(ROWS($Z$3:Z884),$X$3:$Y$992,2,0),"")</f>
        <v>Velkoobchod s pracími a čisticími prostředky</v>
      </c>
    </row>
    <row r="885" spans="13:26" ht="12.75">
      <c r="M885" s="326">
        <f>IF(ISNUMBER(SEARCH(ZAKL_DATA!$B$29,N885)),MAX($M$2:M884)+1,0)</f>
        <v>883.0</v>
      </c>
      <c r="N885" s="327" t="s">
        <v>3222</v>
      </c>
      <c r="O885" s="342" t="s">
        <v>3223</v>
      </c>
      <c r="Q885" s="329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327" t="s">
        <v>3222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327" t="s">
        <v>3222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327" t="s">
        <v>3222</v>
      </c>
      <c r="Z885" t="str">
        <f>IFERROR(VLOOKUP(ROWS($Z$3:Z885),$X$3:$Y$992,2,0),"")</f>
        <v>Velkoobchod s pevnými palivy a příbuznými výrobky</v>
      </c>
    </row>
    <row r="886" spans="13:26" ht="12.75">
      <c r="M886" s="326">
        <f>IF(ISNUMBER(SEARCH(ZAKL_DATA!$B$29,N886)),MAX($M$2:M885)+1,0)</f>
        <v>884.0</v>
      </c>
      <c r="N886" s="327" t="s">
        <v>3224</v>
      </c>
      <c r="O886" s="342" t="s">
        <v>3225</v>
      </c>
      <c r="Q886" s="329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327" t="s">
        <v>3224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327" t="s">
        <v>3224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327" t="s">
        <v>3224</v>
      </c>
      <c r="Z886" t="str">
        <f>IFERROR(VLOOKUP(ROWS($Z$3:Z886),$X$3:$Y$992,2,0),"")</f>
        <v>Velkoobchod s kapalnými palivy a příbuznými výrobky</v>
      </c>
    </row>
    <row r="887" spans="13:26" ht="12.75">
      <c r="M887" s="326">
        <f>IF(ISNUMBER(SEARCH(ZAKL_DATA!$B$29,N887)),MAX($M$2:M886)+1,0)</f>
        <v>885.0</v>
      </c>
      <c r="N887" s="327" t="s">
        <v>3226</v>
      </c>
      <c r="O887" s="342" t="s">
        <v>3227</v>
      </c>
      <c r="Q887" s="329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327" t="s">
        <v>3226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327" t="s">
        <v>3226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327" t="s">
        <v>3226</v>
      </c>
      <c r="Z887" t="str">
        <f>IFERROR(VLOOKUP(ROWS($Z$3:Z887),$X$3:$Y$992,2,0),"")</f>
        <v>Velkoobchod s plynnými palivy a příbuznými výrobky</v>
      </c>
    </row>
    <row r="888" spans="13:26" ht="12.75">
      <c r="M888" s="326">
        <f>IF(ISNUMBER(SEARCH(ZAKL_DATA!$B$29,N888)),MAX($M$2:M887)+1,0)</f>
        <v>886.0</v>
      </c>
      <c r="N888" s="327" t="s">
        <v>3228</v>
      </c>
      <c r="O888" s="342" t="s">
        <v>3229</v>
      </c>
      <c r="Q888" s="329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327" t="s">
        <v>3228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327" t="s">
        <v>3228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327" t="s">
        <v>3228</v>
      </c>
      <c r="Z888" t="str">
        <f>IFERROR(VLOOKUP(ROWS($Z$3:Z888),$X$3:$Y$992,2,0),"")</f>
        <v>Velkoobchod s papírenskými meziprodukty</v>
      </c>
    </row>
    <row r="889" spans="13:26" ht="12.75">
      <c r="M889" s="326">
        <f>IF(ISNUMBER(SEARCH(ZAKL_DATA!$B$29,N889)),MAX($M$2:M888)+1,0)</f>
        <v>887.0</v>
      </c>
      <c r="N889" s="327" t="s">
        <v>3230</v>
      </c>
      <c r="O889" s="342" t="s">
        <v>3231</v>
      </c>
      <c r="Q889" s="329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327" t="s">
        <v>3230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327" t="s">
        <v>3230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327" t="s">
        <v>3230</v>
      </c>
      <c r="Z889" t="str">
        <f>IFERROR(VLOOKUP(ROWS($Z$3:Z889),$X$3:$Y$992,2,0),"")</f>
        <v>Velkoobchod s ostatními meziprodukty j. n.</v>
      </c>
    </row>
    <row r="890" spans="13:26" ht="12.75">
      <c r="M890" s="326">
        <f>IF(ISNUMBER(SEARCH(ZAKL_DATA!$B$29,N890)),MAX($M$2:M889)+1,0)</f>
        <v>888.0</v>
      </c>
      <c r="N890" s="327" t="s">
        <v>3232</v>
      </c>
      <c r="O890" s="342" t="s">
        <v>3233</v>
      </c>
      <c r="Q890" s="329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327" t="s">
        <v>3232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327" t="s">
        <v>3232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327" t="s">
        <v>3232</v>
      </c>
      <c r="Z890" t="str">
        <f>IFERROR(VLOOKUP(ROWS($Z$3:Z890),$X$3:$Y$992,2,0),"")</f>
        <v>Maloobchod s fotografickým a optickým zařízením a potřebami</v>
      </c>
    </row>
    <row r="891" spans="13:26" ht="12.75">
      <c r="M891" s="326">
        <f>IF(ISNUMBER(SEARCH(ZAKL_DATA!$B$29,N891)),MAX($M$2:M890)+1,0)</f>
        <v>889.0</v>
      </c>
      <c r="N891" s="327" t="s">
        <v>3234</v>
      </c>
      <c r="O891" s="342" t="s">
        <v>3235</v>
      </c>
      <c r="Q891" s="329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327" t="s">
        <v>3234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327" t="s">
        <v>3234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327" t="s">
        <v>3234</v>
      </c>
      <c r="Z891" t="str">
        <f>IFERROR(VLOOKUP(ROWS($Z$3:Z891),$X$3:$Y$992,2,0),"")</f>
        <v>Maloobchod s pevnými palivy</v>
      </c>
    </row>
    <row r="892" spans="13:26" ht="12.75">
      <c r="M892" s="326">
        <f>IF(ISNUMBER(SEARCH(ZAKL_DATA!$B$29,N892)),MAX($M$2:M891)+1,0)</f>
        <v>890.0</v>
      </c>
      <c r="N892" s="327" t="s">
        <v>3236</v>
      </c>
      <c r="O892" s="342" t="s">
        <v>3237</v>
      </c>
      <c r="Q892" s="329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327" t="s">
        <v>3236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327" t="s">
        <v>3236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327" t="s">
        <v>3236</v>
      </c>
      <c r="Z892" t="str">
        <f>IFERROR(VLOOKUP(ROWS($Z$3:Z892),$X$3:$Y$992,2,0),"")</f>
        <v>Maloobchod s kapalnými palivy (kromě pohonných hmot)</v>
      </c>
    </row>
    <row r="893" spans="13:26" ht="12.75">
      <c r="M893" s="326">
        <f>IF(ISNUMBER(SEARCH(ZAKL_DATA!$B$29,N893)),MAX($M$2:M892)+1,0)</f>
        <v>891.0</v>
      </c>
      <c r="N893" s="327" t="s">
        <v>3238</v>
      </c>
      <c r="O893" s="342" t="s">
        <v>3239</v>
      </c>
      <c r="Q893" s="329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327" t="s">
        <v>3238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327" t="s">
        <v>3238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327" t="s">
        <v>3238</v>
      </c>
      <c r="Z893" t="str">
        <f>IFERROR(VLOOKUP(ROWS($Z$3:Z893),$X$3:$Y$992,2,0),"")</f>
        <v>Maloobchod s plynnými palivy (kromě pohonných hmot)</v>
      </c>
    </row>
    <row r="894" spans="13:26" ht="12.75">
      <c r="M894" s="326">
        <f>IF(ISNUMBER(SEARCH(ZAKL_DATA!$B$29,N894)),MAX($M$2:M893)+1,0)</f>
        <v>892.0</v>
      </c>
      <c r="N894" s="327" t="s">
        <v>3240</v>
      </c>
      <c r="O894" s="342" t="s">
        <v>3241</v>
      </c>
      <c r="Q894" s="329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327" t="s">
        <v>3240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327" t="s">
        <v>3240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327" t="s">
        <v>3240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26">
        <f>IF(ISNUMBER(SEARCH(ZAKL_DATA!$B$29,N895)),MAX($M$2:M894)+1,0)</f>
        <v>893.0</v>
      </c>
      <c r="N895" s="327" t="s">
        <v>3242</v>
      </c>
      <c r="O895" s="342" t="s">
        <v>3243</v>
      </c>
      <c r="Q895" s="329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327" t="s">
        <v>3242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327" t="s">
        <v>3242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327" t="s">
        <v>3242</v>
      </c>
      <c r="Z895" t="str">
        <f>IFERROR(VLOOKUP(ROWS($Z$3:Z895),$X$3:$Y$992,2,0),"")</f>
        <v>Maloobchod prostřednictvím internetu</v>
      </c>
    </row>
    <row r="896" spans="13:26" ht="12.75">
      <c r="M896" s="326">
        <f>IF(ISNUMBER(SEARCH(ZAKL_DATA!$B$29,N896)),MAX($M$2:M895)+1,0)</f>
        <v>894.0</v>
      </c>
      <c r="N896" s="327" t="s">
        <v>3244</v>
      </c>
      <c r="O896" s="342" t="s">
        <v>3245</v>
      </c>
      <c r="Q896" s="329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327" t="s">
        <v>3244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327" t="s">
        <v>3244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327" t="s">
        <v>3244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26">
        <f>IF(ISNUMBER(SEARCH(ZAKL_DATA!$B$29,N897)),MAX($M$2:M896)+1,0)</f>
        <v>895.0</v>
      </c>
      <c r="N897" s="327" t="s">
        <v>3246</v>
      </c>
      <c r="O897" s="342" t="s">
        <v>3247</v>
      </c>
      <c r="Q897" s="329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327" t="s">
        <v>3246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327" t="s">
        <v>3246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327" t="s">
        <v>3246</v>
      </c>
      <c r="Z897" t="str">
        <f>IFERROR(VLOOKUP(ROWS($Z$3:Z897),$X$3:$Y$992,2,0),"")</f>
        <v>Meziměstská pravidelná pozemní osobní doprava</v>
      </c>
    </row>
    <row r="898" spans="13:26" ht="12.75">
      <c r="M898" s="326">
        <f>IF(ISNUMBER(SEARCH(ZAKL_DATA!$B$29,N898)),MAX($M$2:M897)+1,0)</f>
        <v>896.0</v>
      </c>
      <c r="N898" s="327" t="s">
        <v>3248</v>
      </c>
      <c r="O898" s="342" t="s">
        <v>3249</v>
      </c>
      <c r="Q898" s="329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327" t="s">
        <v>3248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327" t="s">
        <v>3248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327" t="s">
        <v>3248</v>
      </c>
      <c r="Z898" t="str">
        <f>IFERROR(VLOOKUP(ROWS($Z$3:Z898),$X$3:$Y$992,2,0),"")</f>
        <v>Osobní doprava lanovkou nebo vlekem</v>
      </c>
    </row>
    <row r="899" spans="13:26" ht="12.75">
      <c r="M899" s="326">
        <f>IF(ISNUMBER(SEARCH(ZAKL_DATA!$B$29,N899)),MAX($M$2:M898)+1,0)</f>
        <v>897.0</v>
      </c>
      <c r="N899" s="327" t="s">
        <v>3250</v>
      </c>
      <c r="O899" s="342" t="s">
        <v>3251</v>
      </c>
      <c r="Q899" s="329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327" t="s">
        <v>3250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327" t="s">
        <v>3250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327" t="s">
        <v>3250</v>
      </c>
      <c r="Z899" t="str">
        <f>IFERROR(VLOOKUP(ROWS($Z$3:Z899),$X$3:$Y$992,2,0),"")</f>
        <v>Nepravidelná pozemní osobní doprava</v>
      </c>
    </row>
    <row r="900" spans="13:26" ht="12.75">
      <c r="M900" s="326">
        <f>IF(ISNUMBER(SEARCH(ZAKL_DATA!$B$29,N900)),MAX($M$2:M899)+1,0)</f>
        <v>898.0</v>
      </c>
      <c r="N900" s="327" t="s">
        <v>3252</v>
      </c>
      <c r="O900" s="342" t="s">
        <v>3253</v>
      </c>
      <c r="Q900" s="329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327" t="s">
        <v>3252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327" t="s">
        <v>3252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327" t="s">
        <v>3252</v>
      </c>
      <c r="Z900" t="str">
        <f>IFERROR(VLOOKUP(ROWS($Z$3:Z900),$X$3:$Y$992,2,0),"")</f>
        <v>Jiná pozemní osobní doprava j. n.</v>
      </c>
    </row>
    <row r="901" spans="13:26" ht="12.75">
      <c r="M901" s="326">
        <f>IF(ISNUMBER(SEARCH(ZAKL_DATA!$B$29,N901)),MAX($M$2:M900)+1,0)</f>
        <v>899.0</v>
      </c>
      <c r="N901" s="327" t="s">
        <v>3254</v>
      </c>
      <c r="O901" s="342" t="s">
        <v>3255</v>
      </c>
      <c r="Q901" s="329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327" t="s">
        <v>3254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327" t="s">
        <v>3254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327" t="s">
        <v>3254</v>
      </c>
      <c r="Z901" t="str">
        <f>IFERROR(VLOOKUP(ROWS($Z$3:Z901),$X$3:$Y$992,2,0),"")</f>
        <v>Potrubní doprava ropovodem</v>
      </c>
    </row>
    <row r="902" spans="13:26" ht="12.75">
      <c r="M902" s="326">
        <f>IF(ISNUMBER(SEARCH(ZAKL_DATA!$B$29,N902)),MAX($M$2:M901)+1,0)</f>
        <v>900.0</v>
      </c>
      <c r="N902" s="327" t="s">
        <v>3256</v>
      </c>
      <c r="O902" s="342" t="s">
        <v>3257</v>
      </c>
      <c r="Q902" s="329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327" t="s">
        <v>3256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327" t="s">
        <v>3256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327" t="s">
        <v>3256</v>
      </c>
      <c r="Z902" t="str">
        <f>IFERROR(VLOOKUP(ROWS($Z$3:Z902),$X$3:$Y$992,2,0),"")</f>
        <v>Potrubní doprava plynovodem</v>
      </c>
    </row>
    <row r="903" spans="13:26" ht="12.75">
      <c r="M903" s="326">
        <f>IF(ISNUMBER(SEARCH(ZAKL_DATA!$B$29,N903)),MAX($M$2:M902)+1,0)</f>
        <v>901.0</v>
      </c>
      <c r="N903" s="327" t="s">
        <v>3258</v>
      </c>
      <c r="O903" s="342" t="s">
        <v>3259</v>
      </c>
      <c r="Q903" s="329" t="str">
        <f>IFERROR(VLOOKUP(ROWS($Q$3:Q903),$M$3:$N$992,2,0),"")</f>
        <v>Potrubní doprava ostatní</v>
      </c>
      <c r="R903">
        <f>IF(ISNUMBER(SEARCH('1Př1'!$A$32,N903)),MAX($M$2:M902)+1,0)</f>
        <v>901.0</v>
      </c>
      <c r="S903" s="327" t="s">
        <v>3258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327" t="s">
        <v>3258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327" t="s">
        <v>3258</v>
      </c>
      <c r="Z903" t="str">
        <f>IFERROR(VLOOKUP(ROWS($Z$3:Z903),$X$3:$Y$992,2,0),"")</f>
        <v>Potrubní doprava ostatní</v>
      </c>
    </row>
    <row r="904" spans="13:26" ht="12.75">
      <c r="M904" s="326">
        <f>IF(ISNUMBER(SEARCH(ZAKL_DATA!$B$29,N904)),MAX($M$2:M903)+1,0)</f>
        <v>902.0</v>
      </c>
      <c r="N904" s="327" t="s">
        <v>3260</v>
      </c>
      <c r="O904" s="342" t="s">
        <v>3261</v>
      </c>
      <c r="Q904" s="329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327" t="s">
        <v>3260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327" t="s">
        <v>3260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327" t="s">
        <v>3260</v>
      </c>
      <c r="Z904" t="str">
        <f>IFERROR(VLOOKUP(ROWS($Z$3:Z904),$X$3:$Y$992,2,0),"")</f>
        <v>Vnitrostátní pravidelná letecká osobní doprava</v>
      </c>
    </row>
    <row r="905" spans="13:26" ht="12.75">
      <c r="M905" s="326">
        <f>IF(ISNUMBER(SEARCH(ZAKL_DATA!$B$29,N905)),MAX($M$2:M904)+1,0)</f>
        <v>903.0</v>
      </c>
      <c r="N905" s="327" t="s">
        <v>3262</v>
      </c>
      <c r="O905" s="342" t="s">
        <v>3263</v>
      </c>
      <c r="Q905" s="329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327" t="s">
        <v>3262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327" t="s">
        <v>3262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327" t="s">
        <v>3262</v>
      </c>
      <c r="Z905" t="str">
        <f>IFERROR(VLOOKUP(ROWS($Z$3:Z905),$X$3:$Y$992,2,0),"")</f>
        <v>Vnitrostátní nepravidelná letecká osobní doprava</v>
      </c>
    </row>
    <row r="906" spans="13:26" ht="12.75">
      <c r="M906" s="326">
        <f>IF(ISNUMBER(SEARCH(ZAKL_DATA!$B$29,N906)),MAX($M$2:M905)+1,0)</f>
        <v>904.0</v>
      </c>
      <c r="N906" s="327" t="s">
        <v>3264</v>
      </c>
      <c r="O906" s="342" t="s">
        <v>3265</v>
      </c>
      <c r="Q906" s="329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327" t="s">
        <v>3264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327" t="s">
        <v>3264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327" t="s">
        <v>3264</v>
      </c>
      <c r="Z906" t="str">
        <f>IFERROR(VLOOKUP(ROWS($Z$3:Z906),$X$3:$Y$992,2,0),"")</f>
        <v>Mezinárodní pravidelná letecká osobní doprava</v>
      </c>
    </row>
    <row r="907" spans="13:26" ht="12.75">
      <c r="M907" s="326">
        <f>IF(ISNUMBER(SEARCH(ZAKL_DATA!$B$29,N907)),MAX($M$2:M906)+1,0)</f>
        <v>905.0</v>
      </c>
      <c r="N907" s="327" t="s">
        <v>3266</v>
      </c>
      <c r="O907" s="342" t="s">
        <v>3267</v>
      </c>
      <c r="Q907" s="329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327" t="s">
        <v>3266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327" t="s">
        <v>3266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327" t="s">
        <v>3266</v>
      </c>
      <c r="Z907" t="str">
        <f>IFERROR(VLOOKUP(ROWS($Z$3:Z907),$X$3:$Y$992,2,0),"")</f>
        <v>Mezinárodní nepravidelná letecká osobní doprava</v>
      </c>
    </row>
    <row r="908" spans="13:26" ht="12.75">
      <c r="M908" s="326">
        <f>IF(ISNUMBER(SEARCH(ZAKL_DATA!$B$29,N908)),MAX($M$2:M907)+1,0)</f>
        <v>906.0</v>
      </c>
      <c r="N908" s="327" t="s">
        <v>3268</v>
      </c>
      <c r="O908" s="342" t="s">
        <v>3269</v>
      </c>
      <c r="Q908" s="329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327" t="s">
        <v>3268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327" t="s">
        <v>3268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327" t="s">
        <v>3268</v>
      </c>
      <c r="Z908" t="str">
        <f>IFERROR(VLOOKUP(ROWS($Z$3:Z908),$X$3:$Y$992,2,0),"")</f>
        <v>Ostatní letecká osobní doprava</v>
      </c>
    </row>
    <row r="909" spans="13:26" ht="12.75">
      <c r="M909" s="326">
        <f>IF(ISNUMBER(SEARCH(ZAKL_DATA!$B$29,N909)),MAX($M$2:M908)+1,0)</f>
        <v>907.0</v>
      </c>
      <c r="N909" s="327" t="s">
        <v>3270</v>
      </c>
      <c r="O909" s="342" t="s">
        <v>3271</v>
      </c>
      <c r="Q909" s="329" t="str">
        <f>IFERROR(VLOOKUP(ROWS($Q$3:Q909),$M$3:$N$992,2,0),"")</f>
        <v>Hotely</v>
      </c>
      <c r="R909">
        <f>IF(ISNUMBER(SEARCH('1Př1'!$A$32,N909)),MAX($M$2:M908)+1,0)</f>
        <v>907.0</v>
      </c>
      <c r="S909" s="327" t="s">
        <v>3270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327" t="s">
        <v>3270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327" t="s">
        <v>3270</v>
      </c>
      <c r="Z909" t="str">
        <f>IFERROR(VLOOKUP(ROWS($Z$3:Z909),$X$3:$Y$992,2,0),"")</f>
        <v>Hotely</v>
      </c>
    </row>
    <row r="910" spans="13:26" ht="12.75">
      <c r="M910" s="326">
        <f>IF(ISNUMBER(SEARCH(ZAKL_DATA!$B$29,N910)),MAX($M$2:M909)+1,0)</f>
        <v>908.0</v>
      </c>
      <c r="N910" s="327" t="s">
        <v>3272</v>
      </c>
      <c r="O910" s="342" t="s">
        <v>3273</v>
      </c>
      <c r="Q910" s="329" t="str">
        <f>IFERROR(VLOOKUP(ROWS($Q$3:Q910),$M$3:$N$992,2,0),"")</f>
        <v>Motely, botely</v>
      </c>
      <c r="R910">
        <f>IF(ISNUMBER(SEARCH('1Př1'!$A$32,N910)),MAX($M$2:M909)+1,0)</f>
        <v>908.0</v>
      </c>
      <c r="S910" s="327" t="s">
        <v>3272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327" t="s">
        <v>3272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327" t="s">
        <v>3272</v>
      </c>
      <c r="Z910" t="str">
        <f>IFERROR(VLOOKUP(ROWS($Z$3:Z910),$X$3:$Y$992,2,0),"")</f>
        <v>Motely, botely</v>
      </c>
    </row>
    <row r="911" spans="13:26" ht="12.75">
      <c r="M911" s="326">
        <f>IF(ISNUMBER(SEARCH(ZAKL_DATA!$B$29,N911)),MAX($M$2:M910)+1,0)</f>
        <v>909.0</v>
      </c>
      <c r="N911" s="327" t="s">
        <v>3274</v>
      </c>
      <c r="O911" s="342" t="s">
        <v>3275</v>
      </c>
      <c r="Q911" s="329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327" t="s">
        <v>3274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327" t="s">
        <v>3274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327" t="s">
        <v>3274</v>
      </c>
      <c r="Z911" t="str">
        <f>IFERROR(VLOOKUP(ROWS($Z$3:Z911),$X$3:$Y$992,2,0),"")</f>
        <v>Ostatní podobná ubytovací zařízení</v>
      </c>
    </row>
    <row r="912" spans="13:26" ht="12.75">
      <c r="M912" s="326">
        <f>IF(ISNUMBER(SEARCH(ZAKL_DATA!$B$29,N912)),MAX($M$2:M911)+1,0)</f>
        <v>910.0</v>
      </c>
      <c r="N912" s="327" t="s">
        <v>3276</v>
      </c>
      <c r="O912" s="342" t="s">
        <v>3277</v>
      </c>
      <c r="Q912" s="329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327" t="s">
        <v>3276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327" t="s">
        <v>3276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327" t="s">
        <v>3276</v>
      </c>
      <c r="Z912" t="str">
        <f>IFERROR(VLOOKUP(ROWS($Z$3:Z912),$X$3:$Y$992,2,0),"")</f>
        <v>Ubytování v zařízených pronájmech</v>
      </c>
    </row>
    <row r="913" spans="13:26" ht="12.75">
      <c r="M913" s="326">
        <f>IF(ISNUMBER(SEARCH(ZAKL_DATA!$B$29,N913)),MAX($M$2:M912)+1,0)</f>
        <v>911.0</v>
      </c>
      <c r="N913" s="327" t="s">
        <v>3278</v>
      </c>
      <c r="O913" s="342" t="s">
        <v>3279</v>
      </c>
      <c r="Q913" s="329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327" t="s">
        <v>3278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327" t="s">
        <v>3278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327" t="s">
        <v>3278</v>
      </c>
      <c r="Z913" t="str">
        <f>IFERROR(VLOOKUP(ROWS($Z$3:Z913),$X$3:$Y$992,2,0),"")</f>
        <v>Ubytování ve vysokoškolských kolejích, domovech mládeže</v>
      </c>
    </row>
    <row r="914" spans="13:26" ht="12.75">
      <c r="M914" s="326">
        <f>IF(ISNUMBER(SEARCH(ZAKL_DATA!$B$29,N914)),MAX($M$2:M913)+1,0)</f>
        <v>912.0</v>
      </c>
      <c r="N914" s="327" t="s">
        <v>3280</v>
      </c>
      <c r="O914" s="342" t="s">
        <v>3281</v>
      </c>
      <c r="Q914" s="329" t="str">
        <f>IFERROR(VLOOKUP(ROWS($Q$3:Q914),$M$3:$N$992,2,0),"")</f>
        <v>Ostatní ubytování j. n.</v>
      </c>
      <c r="R914">
        <f>IF(ISNUMBER(SEARCH('1Př1'!$A$32,N914)),MAX($M$2:M913)+1,0)</f>
        <v>912.0</v>
      </c>
      <c r="S914" s="327" t="s">
        <v>3280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327" t="s">
        <v>3280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327" t="s">
        <v>3280</v>
      </c>
      <c r="Z914" t="str">
        <f>IFERROR(VLOOKUP(ROWS($Z$3:Z914),$X$3:$Y$992,2,0),"")</f>
        <v>Ostatní ubytování j. n.</v>
      </c>
    </row>
    <row r="915" spans="13:26" ht="12.75">
      <c r="M915" s="326">
        <f>IF(ISNUMBER(SEARCH(ZAKL_DATA!$B$29,N915)),MAX($M$2:M914)+1,0)</f>
        <v>913.0</v>
      </c>
      <c r="N915" s="327" t="s">
        <v>3282</v>
      </c>
      <c r="O915" s="342" t="s">
        <v>3283</v>
      </c>
      <c r="Q915" s="329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327" t="s">
        <v>3282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327" t="s">
        <v>3282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327" t="s">
        <v>3282</v>
      </c>
      <c r="Z915" t="str">
        <f>IFERROR(VLOOKUP(ROWS($Z$3:Z915),$X$3:$Y$992,2,0),"")</f>
        <v>Stravování v závodních kuchyních</v>
      </c>
    </row>
    <row r="916" spans="13:26" ht="12.75">
      <c r="M916" s="326">
        <f>IF(ISNUMBER(SEARCH(ZAKL_DATA!$B$29,N916)),MAX($M$2:M915)+1,0)</f>
        <v>914.0</v>
      </c>
      <c r="N916" s="327" t="s">
        <v>3284</v>
      </c>
      <c r="O916" s="342" t="s">
        <v>3285</v>
      </c>
      <c r="Q916" s="329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327" t="s">
        <v>3284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327" t="s">
        <v>3284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327" t="s">
        <v>3284</v>
      </c>
      <c r="Z916" t="str">
        <f>IFERROR(VLOOKUP(ROWS($Z$3:Z916),$X$3:$Y$992,2,0),"")</f>
        <v>Stravování ve školních zařízeních, menzách</v>
      </c>
    </row>
    <row r="917" spans="13:26" ht="12.75">
      <c r="M917" s="326">
        <f>IF(ISNUMBER(SEARCH(ZAKL_DATA!$B$29,N917)),MAX($M$2:M916)+1,0)</f>
        <v>915.0</v>
      </c>
      <c r="N917" s="327" t="s">
        <v>3286</v>
      </c>
      <c r="O917" s="342" t="s">
        <v>3287</v>
      </c>
      <c r="Q917" s="329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327" t="s">
        <v>3286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327" t="s">
        <v>3286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327" t="s">
        <v>3286</v>
      </c>
      <c r="Z917" t="str">
        <f>IFERROR(VLOOKUP(ROWS($Z$3:Z917),$X$3:$Y$992,2,0),"")</f>
        <v>Poskytování jiných stravovacích služeb j. n.</v>
      </c>
    </row>
    <row r="918" spans="13:26" ht="12.75">
      <c r="M918" s="326">
        <f>IF(ISNUMBER(SEARCH(ZAKL_DATA!$B$29,N918)),MAX($M$2:M917)+1,0)</f>
        <v>916.0</v>
      </c>
      <c r="N918" s="327" t="s">
        <v>3288</v>
      </c>
      <c r="O918" s="342" t="s">
        <v>3289</v>
      </c>
      <c r="Q918" s="329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327" t="s">
        <v>3288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327" t="s">
        <v>3288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327" t="s">
        <v>3288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26">
        <f>IF(ISNUMBER(SEARCH(ZAKL_DATA!$B$29,N919)),MAX($M$2:M918)+1,0)</f>
        <v>917.0</v>
      </c>
      <c r="N919" s="327" t="s">
        <v>3290</v>
      </c>
      <c r="O919" s="342" t="s">
        <v>3291</v>
      </c>
      <c r="Q919" s="329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327" t="s">
        <v>3290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327" t="s">
        <v>3290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327" t="s">
        <v>3290</v>
      </c>
      <c r="Z919" t="str">
        <f>IFERROR(VLOOKUP(ROWS($Z$3:Z919),$X$3:$Y$992,2,0),"")</f>
        <v>Pronájem pevné telekomunikační sítě</v>
      </c>
    </row>
    <row r="920" spans="13:26" ht="12.75">
      <c r="M920" s="326">
        <f>IF(ISNUMBER(SEARCH(ZAKL_DATA!$B$29,N920)),MAX($M$2:M919)+1,0)</f>
        <v>918.0</v>
      </c>
      <c r="N920" s="327" t="s">
        <v>3292</v>
      </c>
      <c r="O920" s="342" t="s">
        <v>3293</v>
      </c>
      <c r="Q920" s="329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327" t="s">
        <v>3292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327" t="s">
        <v>3292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327" t="s">
        <v>3292</v>
      </c>
      <c r="Z920" t="str">
        <f>IFERROR(VLOOKUP(ROWS($Z$3:Z920),$X$3:$Y$992,2,0),"")</f>
        <v>Přenos dat přes pevnou telekomunikační síť</v>
      </c>
    </row>
    <row r="921" spans="13:26" ht="12.75">
      <c r="M921" s="326">
        <f>IF(ISNUMBER(SEARCH(ZAKL_DATA!$B$29,N921)),MAX($M$2:M920)+1,0)</f>
        <v>919.0</v>
      </c>
      <c r="N921" s="327" t="s">
        <v>3294</v>
      </c>
      <c r="O921" s="342" t="s">
        <v>3295</v>
      </c>
      <c r="Q921" s="329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327" t="s">
        <v>3294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327" t="s">
        <v>3294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327" t="s">
        <v>3294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26">
        <f>IF(ISNUMBER(SEARCH(ZAKL_DATA!$B$29,N922)),MAX($M$2:M921)+1,0)</f>
        <v>920.0</v>
      </c>
      <c r="N922" s="327" t="s">
        <v>3296</v>
      </c>
      <c r="O922" s="342" t="s">
        <v>3297</v>
      </c>
      <c r="Q922" s="329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327" t="s">
        <v>3296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327" t="s">
        <v>3296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327" t="s">
        <v>3296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26">
        <f>IF(ISNUMBER(SEARCH(ZAKL_DATA!$B$29,N923)),MAX($M$2:M922)+1,0)</f>
        <v>921.0</v>
      </c>
      <c r="N923" s="327" t="s">
        <v>3298</v>
      </c>
      <c r="O923" s="342" t="s">
        <v>3299</v>
      </c>
      <c r="Q923" s="329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327" t="s">
        <v>3298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327" t="s">
        <v>3298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327" t="s">
        <v>3298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26">
        <f>IF(ISNUMBER(SEARCH(ZAKL_DATA!$B$29,N924)),MAX($M$2:M923)+1,0)</f>
        <v>922.0</v>
      </c>
      <c r="N924" s="327" t="s">
        <v>3300</v>
      </c>
      <c r="O924" s="342" t="s">
        <v>3301</v>
      </c>
      <c r="Q924" s="329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327" t="s">
        <v>3300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327" t="s">
        <v>3300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327" t="s">
        <v>3300</v>
      </c>
      <c r="Z924" t="str">
        <f>IFERROR(VLOOKUP(ROWS($Z$3:Z924),$X$3:$Y$992,2,0),"")</f>
        <v>Pronájem bezdrátové telekomunikační sítě</v>
      </c>
    </row>
    <row r="925" spans="13:26" ht="12.75">
      <c r="M925" s="326">
        <f>IF(ISNUMBER(SEARCH(ZAKL_DATA!$B$29,N925)),MAX($M$2:M924)+1,0)</f>
        <v>923.0</v>
      </c>
      <c r="N925" s="327" t="s">
        <v>3302</v>
      </c>
      <c r="O925" s="342" t="s">
        <v>3303</v>
      </c>
      <c r="Q925" s="329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327" t="s">
        <v>3302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327" t="s">
        <v>3302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327" t="s">
        <v>3302</v>
      </c>
      <c r="Z925" t="str">
        <f>IFERROR(VLOOKUP(ROWS($Z$3:Z925),$X$3:$Y$992,2,0),"")</f>
        <v>Přenos dat přes bezdrátovou telekomunikační síť</v>
      </c>
    </row>
    <row r="926" spans="13:26" ht="12.75">
      <c r="M926" s="326">
        <f>IF(ISNUMBER(SEARCH(ZAKL_DATA!$B$29,N926)),MAX($M$2:M925)+1,0)</f>
        <v>924.0</v>
      </c>
      <c r="N926" s="327" t="s">
        <v>3304</v>
      </c>
      <c r="O926" s="342" t="s">
        <v>3305</v>
      </c>
      <c r="Q926" s="329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327" t="s">
        <v>3304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327" t="s">
        <v>3304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327" t="s">
        <v>3304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26">
        <f>IF(ISNUMBER(SEARCH(ZAKL_DATA!$B$29,N927)),MAX($M$2:M926)+1,0)</f>
        <v>925.0</v>
      </c>
      <c r="N927" s="327" t="s">
        <v>3306</v>
      </c>
      <c r="O927" s="342" t="s">
        <v>3307</v>
      </c>
      <c r="Q927" s="329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327" t="s">
        <v>3306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327" t="s">
        <v>3306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327" t="s">
        <v>3306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26">
        <f>IF(ISNUMBER(SEARCH(ZAKL_DATA!$B$29,N928)),MAX($M$2:M927)+1,0)</f>
        <v>926.0</v>
      </c>
      <c r="N928" s="327" t="s">
        <v>3308</v>
      </c>
      <c r="O928" s="342" t="s">
        <v>3309</v>
      </c>
      <c r="Q928" s="329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327" t="s">
        <v>3308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327" t="s">
        <v>3308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327" t="s">
        <v>3308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26">
        <f>IF(ISNUMBER(SEARCH(ZAKL_DATA!$B$29,N929)),MAX($M$2:M928)+1,0)</f>
        <v>927.0</v>
      </c>
      <c r="N929" s="327" t="s">
        <v>3310</v>
      </c>
      <c r="O929" s="342" t="s">
        <v>3311</v>
      </c>
      <c r="Q929" s="329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327" t="s">
        <v>3310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327" t="s">
        <v>3310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327" t="s">
        <v>3310</v>
      </c>
      <c r="Z929" t="str">
        <f>IFERROR(VLOOKUP(ROWS($Z$3:Z929),$X$3:$Y$992,2,0),"")</f>
        <v>Poskytování obchodních úvěrů</v>
      </c>
    </row>
    <row r="930" spans="13:26" ht="12.75">
      <c r="M930" s="326">
        <f>IF(ISNUMBER(SEARCH(ZAKL_DATA!$B$29,N930)),MAX($M$2:M929)+1,0)</f>
        <v>928.0</v>
      </c>
      <c r="N930" s="327" t="s">
        <v>3312</v>
      </c>
      <c r="O930" s="342" t="s">
        <v>3313</v>
      </c>
      <c r="Q930" s="329" t="str">
        <f>IFERROR(VLOOKUP(ROWS($Q$3:Q930),$M$3:$N$992,2,0),"")</f>
        <v>Činnosti zastaváren</v>
      </c>
      <c r="R930">
        <f>IF(ISNUMBER(SEARCH('1Př1'!$A$32,N930)),MAX($M$2:M929)+1,0)</f>
        <v>928.0</v>
      </c>
      <c r="S930" s="327" t="s">
        <v>3312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327" t="s">
        <v>3312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327" t="s">
        <v>3312</v>
      </c>
      <c r="Z930" t="str">
        <f>IFERROR(VLOOKUP(ROWS($Z$3:Z930),$X$3:$Y$992,2,0),"")</f>
        <v>Činnosti zastaváren</v>
      </c>
    </row>
    <row r="931" spans="13:26" ht="12.75">
      <c r="M931" s="326">
        <f>IF(ISNUMBER(SEARCH(ZAKL_DATA!$B$29,N931)),MAX($M$2:M930)+1,0)</f>
        <v>929.0</v>
      </c>
      <c r="N931" s="327" t="s">
        <v>3314</v>
      </c>
      <c r="O931" s="342" t="s">
        <v>3315</v>
      </c>
      <c r="Q931" s="329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327" t="s">
        <v>3314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327" t="s">
        <v>3314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327" t="s">
        <v>3314</v>
      </c>
      <c r="Z931" t="str">
        <f>IFERROR(VLOOKUP(ROWS($Z$3:Z931),$X$3:$Y$992,2,0),"")</f>
        <v>Ostatní poskytování úvěrů j. n.</v>
      </c>
    </row>
    <row r="932" spans="13:26" ht="12.75">
      <c r="M932" s="326">
        <f>IF(ISNUMBER(SEARCH(ZAKL_DATA!$B$29,N932)),MAX($M$2:M931)+1,0)</f>
        <v>930.0</v>
      </c>
      <c r="N932" s="327" t="s">
        <v>3316</v>
      </c>
      <c r="O932" s="342" t="s">
        <v>3317</v>
      </c>
      <c r="Q932" s="329" t="str">
        <f>IFERROR(VLOOKUP(ROWS($Q$3:Q932),$M$3:$N$992,2,0),"")</f>
        <v>Faktoringové činnosti</v>
      </c>
      <c r="R932">
        <f>IF(ISNUMBER(SEARCH('1Př1'!$A$32,N932)),MAX($M$2:M931)+1,0)</f>
        <v>930.0</v>
      </c>
      <c r="S932" s="327" t="s">
        <v>3316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327" t="s">
        <v>3316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327" t="s">
        <v>3316</v>
      </c>
      <c r="Z932" t="str">
        <f>IFERROR(VLOOKUP(ROWS($Z$3:Z932),$X$3:$Y$992,2,0),"")</f>
        <v>Faktoringové činnosti</v>
      </c>
    </row>
    <row r="933" spans="13:26" ht="12.75">
      <c r="M933" s="326">
        <f>IF(ISNUMBER(SEARCH(ZAKL_DATA!$B$29,N933)),MAX($M$2:M932)+1,0)</f>
        <v>931.0</v>
      </c>
      <c r="N933" s="327" t="s">
        <v>3318</v>
      </c>
      <c r="O933" s="342" t="s">
        <v>3319</v>
      </c>
      <c r="Q933" s="329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327" t="s">
        <v>3318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327" t="s">
        <v>3318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327" t="s">
        <v>3318</v>
      </c>
      <c r="Z933" t="str">
        <f>IFERROR(VLOOKUP(ROWS($Z$3:Z933),$X$3:$Y$992,2,0),"")</f>
        <v>Obchodování s cennými papíry na vlastní účet</v>
      </c>
    </row>
    <row r="934" spans="13:26" ht="12.75">
      <c r="M934" s="326">
        <f>IF(ISNUMBER(SEARCH(ZAKL_DATA!$B$29,N934)),MAX($M$2:M933)+1,0)</f>
        <v>932.0</v>
      </c>
      <c r="N934" s="327" t="s">
        <v>3320</v>
      </c>
      <c r="O934" s="342" t="s">
        <v>3321</v>
      </c>
      <c r="Q934" s="329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327" t="s">
        <v>3320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327" t="s">
        <v>3320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327" t="s">
        <v>3320</v>
      </c>
      <c r="Z934" t="str">
        <f>IFERROR(VLOOKUP(ROWS($Z$3:Z934),$X$3:$Y$992,2,0),"")</f>
        <v>Jiné finanční zprostředkování j. n.</v>
      </c>
    </row>
    <row r="935" spans="13:26" ht="12.75">
      <c r="M935" s="326">
        <f>IF(ISNUMBER(SEARCH(ZAKL_DATA!$B$29,N935)),MAX($M$2:M934)+1,0)</f>
        <v>933.0</v>
      </c>
      <c r="N935" s="327" t="s">
        <v>3322</v>
      </c>
      <c r="O935" s="342" t="s">
        <v>3323</v>
      </c>
      <c r="Q935" s="329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327" t="s">
        <v>3322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327" t="s">
        <v>3322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327" t="s">
        <v>3322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26">
        <f>IF(ISNUMBER(SEARCH(ZAKL_DATA!$B$29,N936)),MAX($M$2:M935)+1,0)</f>
        <v>934.0</v>
      </c>
      <c r="N936" s="327" t="s">
        <v>3324</v>
      </c>
      <c r="O936" s="342" t="s">
        <v>3325</v>
      </c>
      <c r="Q936" s="329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327" t="s">
        <v>3324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327" t="s">
        <v>3324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327" t="s">
        <v>3324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26">
        <f>IF(ISNUMBER(SEARCH(ZAKL_DATA!$B$29,N937)),MAX($M$2:M936)+1,0)</f>
        <v>935.0</v>
      </c>
      <c r="N937" s="327" t="s">
        <v>3326</v>
      </c>
      <c r="O937" s="342" t="s">
        <v>3327</v>
      </c>
      <c r="Q937" s="329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327" t="s">
        <v>3326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327" t="s">
        <v>3326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327" t="s">
        <v>3326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26">
        <f>IF(ISNUMBER(SEARCH(ZAKL_DATA!$B$29,N938)),MAX($M$2:M937)+1,0)</f>
        <v>936.0</v>
      </c>
      <c r="N938" s="327" t="s">
        <v>3328</v>
      </c>
      <c r="O938" s="342" t="s">
        <v>3329</v>
      </c>
      <c r="Q938" s="329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327" t="s">
        <v>3328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327" t="s">
        <v>3328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327" t="s">
        <v>3328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26">
        <f>IF(ISNUMBER(SEARCH(ZAKL_DATA!$B$29,N939)),MAX($M$2:M938)+1,0)</f>
        <v>937.0</v>
      </c>
      <c r="N939" s="327" t="s">
        <v>3330</v>
      </c>
      <c r="O939" s="342" t="s">
        <v>3331</v>
      </c>
      <c r="Q939" s="329" t="str">
        <f>IFERROR(VLOOKUP(ROWS($Q$3:Q939),$M$3:$N$992,2,0),"")</f>
        <v>Geologický průzkum</v>
      </c>
      <c r="R939">
        <f>IF(ISNUMBER(SEARCH('1Př1'!$A$32,N939)),MAX($M$2:M938)+1,0)</f>
        <v>937.0</v>
      </c>
      <c r="S939" s="327" t="s">
        <v>3330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327" t="s">
        <v>3330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327" t="s">
        <v>3330</v>
      </c>
      <c r="Z939" t="str">
        <f>IFERROR(VLOOKUP(ROWS($Z$3:Z939),$X$3:$Y$992,2,0),"")</f>
        <v>Geologický průzkum</v>
      </c>
    </row>
    <row r="940" spans="13:26" ht="12.75">
      <c r="M940" s="326">
        <f>IF(ISNUMBER(SEARCH(ZAKL_DATA!$B$29,N940)),MAX($M$2:M939)+1,0)</f>
        <v>938.0</v>
      </c>
      <c r="N940" s="327" t="s">
        <v>3332</v>
      </c>
      <c r="O940" s="342" t="s">
        <v>3333</v>
      </c>
      <c r="Q940" s="329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327" t="s">
        <v>3332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327" t="s">
        <v>3332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327" t="s">
        <v>3332</v>
      </c>
      <c r="Z940" t="str">
        <f>IFERROR(VLOOKUP(ROWS($Z$3:Z940),$X$3:$Y$992,2,0),"")</f>
        <v>Zeměměřické a kartografické činnosti</v>
      </c>
    </row>
    <row r="941" spans="13:26" ht="12.75">
      <c r="M941" s="326">
        <f>IF(ISNUMBER(SEARCH(ZAKL_DATA!$B$29,N941)),MAX($M$2:M940)+1,0)</f>
        <v>939.0</v>
      </c>
      <c r="N941" s="327" t="s">
        <v>3334</v>
      </c>
      <c r="O941" s="342" t="s">
        <v>3335</v>
      </c>
      <c r="Q941" s="329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327" t="s">
        <v>3334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327" t="s">
        <v>3334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327" t="s">
        <v>3334</v>
      </c>
      <c r="Z941" t="str">
        <f>IFERROR(VLOOKUP(ROWS($Z$3:Z941),$X$3:$Y$992,2,0),"")</f>
        <v>Hydrometeorologické a meteorologické činnosti</v>
      </c>
    </row>
    <row r="942" spans="13:26" ht="12.75">
      <c r="M942" s="326">
        <f>IF(ISNUMBER(SEARCH(ZAKL_DATA!$B$29,N942)),MAX($M$2:M941)+1,0)</f>
        <v>940.0</v>
      </c>
      <c r="N942" s="327" t="s">
        <v>3336</v>
      </c>
      <c r="O942" s="342" t="s">
        <v>3337</v>
      </c>
      <c r="Q942" s="329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327" t="s">
        <v>3336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327" t="s">
        <v>3336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327" t="s">
        <v>3336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26">
        <f>IF(ISNUMBER(SEARCH(ZAKL_DATA!$B$29,N943)),MAX($M$2:M942)+1,0)</f>
        <v>941.0</v>
      </c>
      <c r="N943" s="327" t="s">
        <v>3338</v>
      </c>
      <c r="O943" s="342" t="s">
        <v>3339</v>
      </c>
      <c r="Q943" s="329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327" t="s">
        <v>3338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327" t="s">
        <v>3338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327" t="s">
        <v>3338</v>
      </c>
      <c r="Z943" t="str">
        <f>IFERROR(VLOOKUP(ROWS($Z$3:Z943),$X$3:$Y$992,2,0),"")</f>
        <v>Zkoušky a analýzy vyhrazených technických zařízení</v>
      </c>
    </row>
    <row r="944" spans="13:26" ht="12.75">
      <c r="M944" s="326">
        <f>IF(ISNUMBER(SEARCH(ZAKL_DATA!$B$29,N944)),MAX($M$2:M943)+1,0)</f>
        <v>942.0</v>
      </c>
      <c r="N944" s="327" t="s">
        <v>3340</v>
      </c>
      <c r="O944" s="342" t="s">
        <v>3341</v>
      </c>
      <c r="Q944" s="329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327" t="s">
        <v>3340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327" t="s">
        <v>3340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327" t="s">
        <v>3340</v>
      </c>
      <c r="Z944" t="str">
        <f>IFERROR(VLOOKUP(ROWS($Z$3:Z944),$X$3:$Y$992,2,0),"")</f>
        <v>Ostatní technické zkouky a analýzy</v>
      </c>
    </row>
    <row r="945" spans="13:26" ht="12.75">
      <c r="M945" s="326">
        <f>IF(ISNUMBER(SEARCH(ZAKL_DATA!$B$29,N945)),MAX($M$2:M944)+1,0)</f>
        <v>943.0</v>
      </c>
      <c r="N945" s="327" t="s">
        <v>3342</v>
      </c>
      <c r="O945" s="342" t="s">
        <v>2985</v>
      </c>
      <c r="Q945" s="329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327" t="s">
        <v>3342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327" t="s">
        <v>3342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327" t="s">
        <v>3342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26">
        <f>IF(ISNUMBER(SEARCH(ZAKL_DATA!$B$29,N946)),MAX($M$2:M945)+1,0)</f>
        <v>944.0</v>
      </c>
      <c r="N946" s="327" t="s">
        <v>3343</v>
      </c>
      <c r="O946" s="342" t="s">
        <v>3344</v>
      </c>
      <c r="Q946" s="329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327" t="s">
        <v>3343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327" t="s">
        <v>3343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327" t="s">
        <v>3343</v>
      </c>
      <c r="Z946" t="str">
        <f>IFERROR(VLOOKUP(ROWS($Z$3:Z946),$X$3:$Y$992,2,0),"")</f>
        <v>Výzkum a vývoj v oblasti lékařských věd</v>
      </c>
    </row>
    <row r="947" spans="13:26" ht="12.75">
      <c r="M947" s="326">
        <f>IF(ISNUMBER(SEARCH(ZAKL_DATA!$B$29,N947)),MAX($M$2:M946)+1,0)</f>
        <v>945.0</v>
      </c>
      <c r="N947" s="327" t="s">
        <v>3345</v>
      </c>
      <c r="O947" s="342" t="s">
        <v>3346</v>
      </c>
      <c r="Q947" s="329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327" t="s">
        <v>3345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327" t="s">
        <v>3345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327" t="s">
        <v>3345</v>
      </c>
      <c r="Z947" t="str">
        <f>IFERROR(VLOOKUP(ROWS($Z$3:Z947),$X$3:$Y$992,2,0),"")</f>
        <v>Výzkum a vývoj v oblasti technických věd</v>
      </c>
    </row>
    <row r="948" spans="13:26" ht="12.75">
      <c r="M948" s="326">
        <f>IF(ISNUMBER(SEARCH(ZAKL_DATA!$B$29,N948)),MAX($M$2:M947)+1,0)</f>
        <v>946.0</v>
      </c>
      <c r="N948" s="327" t="s">
        <v>3347</v>
      </c>
      <c r="O948" s="342" t="s">
        <v>3348</v>
      </c>
      <c r="Q948" s="329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327" t="s">
        <v>3347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327" t="s">
        <v>3347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327" t="s">
        <v>3347</v>
      </c>
      <c r="Z948" t="str">
        <f>IFERROR(VLOOKUP(ROWS($Z$3:Z948),$X$3:$Y$992,2,0),"")</f>
        <v>Výzkum a vývoj v oblasti jiných přírodních věd</v>
      </c>
    </row>
    <row r="949" spans="13:26" ht="12.75">
      <c r="M949" s="326">
        <f>IF(ISNUMBER(SEARCH(ZAKL_DATA!$B$29,N949)),MAX($M$2:M948)+1,0)</f>
        <v>947.0</v>
      </c>
      <c r="N949" s="327" t="s">
        <v>3349</v>
      </c>
      <c r="O949" s="342" t="s">
        <v>2129</v>
      </c>
      <c r="Q949" s="329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327" t="s">
        <v>3349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327" t="s">
        <v>3349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327" t="s">
        <v>3349</v>
      </c>
      <c r="Z949" t="str">
        <f>IFERROR(VLOOKUP(ROWS($Z$3:Z949),$X$3:$Y$992,2,0),"")</f>
        <v>Ostatní profesní,vědecké a technické činnosti j.n.</v>
      </c>
    </row>
    <row r="950" spans="13:26" ht="12.75">
      <c r="M950" s="326">
        <f>IF(ISNUMBER(SEARCH(ZAKL_DATA!$B$29,N950)),MAX($M$2:M949)+1,0)</f>
        <v>948.0</v>
      </c>
      <c r="N950" s="327" t="s">
        <v>3350</v>
      </c>
      <c r="O950" s="342" t="s">
        <v>3351</v>
      </c>
      <c r="Q950" s="329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327" t="s">
        <v>3350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327" t="s">
        <v>3350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327" t="s">
        <v>3350</v>
      </c>
      <c r="Z950" t="str">
        <f>IFERROR(VLOOKUP(ROWS($Z$3:Z950),$X$3:$Y$992,2,0),"")</f>
        <v>Poradenství v oblasti bezpečnosti a ochrany zdraví při práci</v>
      </c>
    </row>
    <row r="951" spans="13:26" ht="12.75">
      <c r="M951" s="326">
        <f>IF(ISNUMBER(SEARCH(ZAKL_DATA!$B$29,N951)),MAX($M$2:M950)+1,0)</f>
        <v>949.0</v>
      </c>
      <c r="N951" s="327" t="s">
        <v>3352</v>
      </c>
      <c r="O951" s="342" t="s">
        <v>3353</v>
      </c>
      <c r="Q951" s="329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327" t="s">
        <v>3352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327" t="s">
        <v>3352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327" t="s">
        <v>3352</v>
      </c>
      <c r="Z951" t="str">
        <f>IFERROR(VLOOKUP(ROWS($Z$3:Z951),$X$3:$Y$992,2,0),"")</f>
        <v>Poradenství v oblasti požární ochrany</v>
      </c>
    </row>
    <row r="952" spans="13:26" ht="12.75">
      <c r="M952" s="326">
        <f>IF(ISNUMBER(SEARCH(ZAKL_DATA!$B$29,N952)),MAX($M$2:M951)+1,0)</f>
        <v>950.0</v>
      </c>
      <c r="N952" s="327" t="s">
        <v>3354</v>
      </c>
      <c r="O952" s="342" t="s">
        <v>3355</v>
      </c>
      <c r="Q952" s="329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327" t="s">
        <v>3354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327" t="s">
        <v>3354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327" t="s">
        <v>3354</v>
      </c>
      <c r="Z952" t="str">
        <f>IFERROR(VLOOKUP(ROWS($Z$3:Z952),$X$3:$Y$992,2,0),"")</f>
        <v>Jiné profesní, vědecké a technické činnosti j. n.</v>
      </c>
    </row>
    <row r="953" spans="13:26" ht="12.75">
      <c r="M953" s="326">
        <f>IF(ISNUMBER(SEARCH(ZAKL_DATA!$B$29,N953)),MAX($M$2:M952)+1,0)</f>
        <v>951.0</v>
      </c>
      <c r="N953" s="327" t="s">
        <v>3356</v>
      </c>
      <c r="O953" s="342" t="s">
        <v>3357</v>
      </c>
      <c r="Q953" s="329" t="str">
        <f>IFERROR(VLOOKUP(ROWS($Q$3:Q953),$M$3:$N$992,2,0),"")</f>
        <v>Průvodcovské činnosti</v>
      </c>
      <c r="R953">
        <f>IF(ISNUMBER(SEARCH('1Př1'!$A$32,N953)),MAX($M$2:M952)+1,0)</f>
        <v>951.0</v>
      </c>
      <c r="S953" s="327" t="s">
        <v>3356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327" t="s">
        <v>3356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327" t="s">
        <v>3356</v>
      </c>
      <c r="Z953" t="str">
        <f>IFERROR(VLOOKUP(ROWS($Z$3:Z953),$X$3:$Y$992,2,0),"")</f>
        <v>Průvodcovské činnosti</v>
      </c>
    </row>
    <row r="954" spans="13:26" ht="12.75">
      <c r="M954" s="326">
        <f>IF(ISNUMBER(SEARCH(ZAKL_DATA!$B$29,N954)),MAX($M$2:M953)+1,0)</f>
        <v>952.0</v>
      </c>
      <c r="N954" s="327" t="s">
        <v>3358</v>
      </c>
      <c r="O954" s="342" t="s">
        <v>3359</v>
      </c>
      <c r="Q954" s="329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327" t="s">
        <v>3358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327" t="s">
        <v>3358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327" t="s">
        <v>3358</v>
      </c>
      <c r="Z954" t="str">
        <f>IFERROR(VLOOKUP(ROWS($Z$3:Z954),$X$3:$Y$992,2,0),"")</f>
        <v>Ostatní rezervační a související činnosti j. n.</v>
      </c>
    </row>
    <row r="955" spans="13:26" ht="12.75">
      <c r="M955" s="326">
        <f>IF(ISNUMBER(SEARCH(ZAKL_DATA!$B$29,N955)),MAX($M$2:M954)+1,0)</f>
        <v>953.0</v>
      </c>
      <c r="N955" s="327" t="s">
        <v>3360</v>
      </c>
      <c r="O955" s="342" t="s">
        <v>3361</v>
      </c>
      <c r="Q955" s="329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327" t="s">
        <v>3360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327" t="s">
        <v>3360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327" t="s">
        <v>3360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26">
        <f>IF(ISNUMBER(SEARCH(ZAKL_DATA!$B$29,N956)),MAX($M$2:M955)+1,0)</f>
        <v>954.0</v>
      </c>
      <c r="N956" s="327" t="s">
        <v>3362</v>
      </c>
      <c r="O956" s="342" t="s">
        <v>3363</v>
      </c>
      <c r="Q956" s="329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327" t="s">
        <v>3362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327" t="s">
        <v>3362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327" t="s">
        <v>3362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26">
        <f>IF(ISNUMBER(SEARCH(ZAKL_DATA!$B$29,N957)),MAX($M$2:M956)+1,0)</f>
        <v>955.0</v>
      </c>
      <c r="N957" s="327" t="s">
        <v>3364</v>
      </c>
      <c r="O957" s="342" t="s">
        <v>3365</v>
      </c>
      <c r="Q957" s="329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327" t="s">
        <v>3364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327" t="s">
        <v>3364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327" t="s">
        <v>3364</v>
      </c>
      <c r="Z957" t="str">
        <f>IFERROR(VLOOKUP(ROWS($Z$3:Z957),$X$3:$Y$992,2,0),"")</f>
        <v>Ostatní činnosti v oblasti zahraničních věcí</v>
      </c>
    </row>
    <row r="958" spans="13:26" ht="12.75">
      <c r="M958" s="326">
        <f>IF(ISNUMBER(SEARCH(ZAKL_DATA!$B$29,N958)),MAX($M$2:M957)+1,0)</f>
        <v>956.0</v>
      </c>
      <c r="N958" s="327" t="s">
        <v>3366</v>
      </c>
      <c r="O958" s="342" t="s">
        <v>3367</v>
      </c>
      <c r="Q958" s="329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327" t="s">
        <v>3366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327" t="s">
        <v>3366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327" t="s">
        <v>3366</v>
      </c>
      <c r="Z958" t="str">
        <f>IFERROR(VLOOKUP(ROWS($Z$3:Z958),$X$3:$Y$992,2,0),"")</f>
        <v>Základní vzdělávání na druhém stupni základních škol</v>
      </c>
    </row>
    <row r="959" spans="13:26" ht="12.75">
      <c r="M959" s="326">
        <f>IF(ISNUMBER(SEARCH(ZAKL_DATA!$B$29,N959)),MAX($M$2:M958)+1,0)</f>
        <v>957.0</v>
      </c>
      <c r="N959" s="327" t="s">
        <v>3368</v>
      </c>
      <c r="O959" s="342" t="s">
        <v>3369</v>
      </c>
      <c r="Q959" s="329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327" t="s">
        <v>3368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327" t="s">
        <v>3368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327" t="s">
        <v>3368</v>
      </c>
      <c r="Z959" t="str">
        <f>IFERROR(VLOOKUP(ROWS($Z$3:Z959),$X$3:$Y$992,2,0),"")</f>
        <v>Střední všeobecné vzdělávání</v>
      </c>
    </row>
    <row r="960" spans="13:26" ht="12.75">
      <c r="M960" s="326">
        <f>IF(ISNUMBER(SEARCH(ZAKL_DATA!$B$29,N960)),MAX($M$2:M959)+1,0)</f>
        <v>958.0</v>
      </c>
      <c r="N960" s="327" t="s">
        <v>3370</v>
      </c>
      <c r="O960" s="342" t="s">
        <v>3371</v>
      </c>
      <c r="Q960" s="329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327" t="s">
        <v>3370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327" t="s">
        <v>3370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327" t="s">
        <v>3370</v>
      </c>
      <c r="Z960" t="str">
        <f>IFERROR(VLOOKUP(ROWS($Z$3:Z960),$X$3:$Y$992,2,0),"")</f>
        <v>Střední odborné vzdělávání na učilištích</v>
      </c>
    </row>
    <row r="961" spans="13:26" ht="12.75">
      <c r="M961" s="326">
        <f>IF(ISNUMBER(SEARCH(ZAKL_DATA!$B$29,N961)),MAX($M$2:M960)+1,0)</f>
        <v>959.0</v>
      </c>
      <c r="N961" s="327" t="s">
        <v>3372</v>
      </c>
      <c r="O961" s="342" t="s">
        <v>3373</v>
      </c>
      <c r="Q961" s="329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327" t="s">
        <v>3372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327" t="s">
        <v>3372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327" t="s">
        <v>3372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26">
        <f>IF(ISNUMBER(SEARCH(ZAKL_DATA!$B$29,N962)),MAX($M$2:M961)+1,0)</f>
        <v>960.0</v>
      </c>
      <c r="N962" s="327" t="s">
        <v>3374</v>
      </c>
      <c r="O962" s="342" t="s">
        <v>3375</v>
      </c>
      <c r="Q962" s="329" t="str">
        <f>IFERROR(VLOOKUP(ROWS($Q$3:Q962),$M$3:$N$992,2,0),"")</f>
        <v>Činnosti autoškol</v>
      </c>
      <c r="R962">
        <f>IF(ISNUMBER(SEARCH('1Př1'!$A$32,N962)),MAX($M$2:M961)+1,0)</f>
        <v>960.0</v>
      </c>
      <c r="S962" s="327" t="s">
        <v>3374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327" t="s">
        <v>3374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327" t="s">
        <v>3374</v>
      </c>
      <c r="Z962" t="str">
        <f>IFERROR(VLOOKUP(ROWS($Z$3:Z962),$X$3:$Y$992,2,0),"")</f>
        <v>Činnosti autoškol</v>
      </c>
    </row>
    <row r="963" spans="13:26" ht="12.75">
      <c r="M963" s="326">
        <f>IF(ISNUMBER(SEARCH(ZAKL_DATA!$B$29,N963)),MAX($M$2:M962)+1,0)</f>
        <v>961.0</v>
      </c>
      <c r="N963" s="327" t="s">
        <v>3376</v>
      </c>
      <c r="O963" s="342" t="s">
        <v>3377</v>
      </c>
      <c r="Q963" s="329" t="str">
        <f>IFERROR(VLOOKUP(ROWS($Q$3:Q963),$M$3:$N$992,2,0),"")</f>
        <v>Činnosti leteckých škol</v>
      </c>
      <c r="R963">
        <f>IF(ISNUMBER(SEARCH('1Př1'!$A$32,N963)),MAX($M$2:M962)+1,0)</f>
        <v>961.0</v>
      </c>
      <c r="S963" s="327" t="s">
        <v>3376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327" t="s">
        <v>3376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327" t="s">
        <v>3376</v>
      </c>
      <c r="Z963" t="str">
        <f>IFERROR(VLOOKUP(ROWS($Z$3:Z963),$X$3:$Y$992,2,0),"")</f>
        <v>Činnosti leteckých škol</v>
      </c>
    </row>
    <row r="964" spans="13:26" ht="12.75">
      <c r="M964" s="326">
        <f>IF(ISNUMBER(SEARCH(ZAKL_DATA!$B$29,N964)),MAX($M$2:M963)+1,0)</f>
        <v>962.0</v>
      </c>
      <c r="N964" s="327" t="s">
        <v>3378</v>
      </c>
      <c r="O964" s="342" t="s">
        <v>3379</v>
      </c>
      <c r="Q964" s="329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327" t="s">
        <v>3378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327" t="s">
        <v>3378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327" t="s">
        <v>3378</v>
      </c>
      <c r="Z964" t="str">
        <f>IFERROR(VLOOKUP(ROWS($Z$3:Z964),$X$3:$Y$992,2,0),"")</f>
        <v>Činnosti ostatních škol řízení</v>
      </c>
    </row>
    <row r="965" spans="13:26" ht="12.75">
      <c r="M965" s="326">
        <f>IF(ISNUMBER(SEARCH(ZAKL_DATA!$B$29,N965)),MAX($M$2:M964)+1,0)</f>
        <v>963.0</v>
      </c>
      <c r="N965" s="327" t="s">
        <v>3380</v>
      </c>
      <c r="O965" s="342" t="s">
        <v>3381</v>
      </c>
      <c r="Q965" s="329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327" t="s">
        <v>3380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327" t="s">
        <v>3380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327" t="s">
        <v>3380</v>
      </c>
      <c r="Z965" t="str">
        <f>IFERROR(VLOOKUP(ROWS($Z$3:Z965),$X$3:$Y$992,2,0),"")</f>
        <v>Vzdělávání v jazykových školách</v>
      </c>
    </row>
    <row r="966" spans="13:26" ht="12.75">
      <c r="M966" s="326">
        <f>IF(ISNUMBER(SEARCH(ZAKL_DATA!$B$29,N966)),MAX($M$2:M965)+1,0)</f>
        <v>964.0</v>
      </c>
      <c r="N966" s="327" t="s">
        <v>3382</v>
      </c>
      <c r="O966" s="342" t="s">
        <v>3383</v>
      </c>
      <c r="Q966" s="329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327" t="s">
        <v>3382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327" t="s">
        <v>3382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327" t="s">
        <v>3382</v>
      </c>
      <c r="Z966" t="str">
        <f>IFERROR(VLOOKUP(ROWS($Z$3:Z966),$X$3:$Y$992,2,0),"")</f>
        <v>Environmentální vzdělávání</v>
      </c>
    </row>
    <row r="967" spans="13:26" ht="12.75">
      <c r="M967" s="326">
        <f>IF(ISNUMBER(SEARCH(ZAKL_DATA!$B$29,N967)),MAX($M$2:M966)+1,0)</f>
        <v>965.0</v>
      </c>
      <c r="N967" s="327" t="s">
        <v>3384</v>
      </c>
      <c r="O967" s="342" t="s">
        <v>3385</v>
      </c>
      <c r="Q967" s="329" t="str">
        <f>IFERROR(VLOOKUP(ROWS($Q$3:Q967),$M$3:$N$992,2,0),"")</f>
        <v>Inovační vzdělávání</v>
      </c>
      <c r="R967">
        <f>IF(ISNUMBER(SEARCH('1Př1'!$A$32,N967)),MAX($M$2:M966)+1,0)</f>
        <v>965.0</v>
      </c>
      <c r="S967" s="327" t="s">
        <v>3384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327" t="s">
        <v>3384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327" t="s">
        <v>3384</v>
      </c>
      <c r="Z967" t="str">
        <f>IFERROR(VLOOKUP(ROWS($Z$3:Z967),$X$3:$Y$992,2,0),"")</f>
        <v>Inovační vzdělávání</v>
      </c>
    </row>
    <row r="968" spans="13:26" ht="12.75">
      <c r="M968" s="326">
        <f>IF(ISNUMBER(SEARCH(ZAKL_DATA!$B$29,N968)),MAX($M$2:M967)+1,0)</f>
        <v>966.0</v>
      </c>
      <c r="N968" s="327" t="s">
        <v>3386</v>
      </c>
      <c r="O968" s="342" t="s">
        <v>3387</v>
      </c>
      <c r="Q968" s="329" t="str">
        <f>IFERROR(VLOOKUP(ROWS($Q$3:Q968),$M$3:$N$992,2,0),"")</f>
        <v>Jiné vzdělávání j. n.</v>
      </c>
      <c r="R968">
        <f>IF(ISNUMBER(SEARCH('1Př1'!$A$32,N968)),MAX($M$2:M967)+1,0)</f>
        <v>966.0</v>
      </c>
      <c r="S968" s="327" t="s">
        <v>3386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327" t="s">
        <v>3386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327" t="s">
        <v>3386</v>
      </c>
      <c r="Z968" t="str">
        <f>IFERROR(VLOOKUP(ROWS($Z$3:Z968),$X$3:$Y$992,2,0),"")</f>
        <v>Jiné vzdělávání j. n.</v>
      </c>
    </row>
    <row r="969" spans="13:26" ht="12.75">
      <c r="M969" s="326">
        <f>IF(ISNUMBER(SEARCH(ZAKL_DATA!$B$29,N969)),MAX($M$2:M968)+1,0)</f>
        <v>967.0</v>
      </c>
      <c r="N969" s="327" t="s">
        <v>3388</v>
      </c>
      <c r="O969" s="342" t="s">
        <v>3389</v>
      </c>
      <c r="Q969" s="329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327" t="s">
        <v>3388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327" t="s">
        <v>3388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327" t="s">
        <v>3388</v>
      </c>
      <c r="Z969" t="str">
        <f>IFERROR(VLOOKUP(ROWS($Z$3:Z969),$X$3:$Y$992,2,0),"")</f>
        <v>Činnosti související s ochranou veřejného zdraví</v>
      </c>
    </row>
    <row r="970" spans="13:26" ht="12.75">
      <c r="M970" s="326">
        <f>IF(ISNUMBER(SEARCH(ZAKL_DATA!$B$29,N970)),MAX($M$2:M969)+1,0)</f>
        <v>968.0</v>
      </c>
      <c r="N970" s="327" t="s">
        <v>3390</v>
      </c>
      <c r="O970" s="342" t="s">
        <v>3391</v>
      </c>
      <c r="Q970" s="329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327" t="s">
        <v>3390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327" t="s">
        <v>3390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327" t="s">
        <v>3390</v>
      </c>
      <c r="Z970" t="str">
        <f>IFERROR(VLOOKUP(ROWS($Z$3:Z970),$X$3:$Y$992,2,0),"")</f>
        <v>Ostatní činnosti související se zdravotní péčí j. n.</v>
      </c>
    </row>
    <row r="971" spans="13:26" ht="12.75">
      <c r="M971" s="326">
        <f>IF(ISNUMBER(SEARCH(ZAKL_DATA!$B$29,N971)),MAX($M$2:M970)+1,0)</f>
        <v>969.0</v>
      </c>
      <c r="N971" s="327" t="s">
        <v>3392</v>
      </c>
      <c r="O971" s="342" t="s">
        <v>3393</v>
      </c>
      <c r="Q971" s="329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327" t="s">
        <v>3392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327" t="s">
        <v>3392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327" t="s">
        <v>3392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26">
        <f>IF(ISNUMBER(SEARCH(ZAKL_DATA!$B$29,N972)),MAX($M$2:M971)+1,0)</f>
        <v>970.0</v>
      </c>
      <c r="N972" s="327" t="s">
        <v>3394</v>
      </c>
      <c r="O972" s="342" t="s">
        <v>3395</v>
      </c>
      <c r="Q972" s="329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327" t="s">
        <v>3394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327" t="s">
        <v>3394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327" t="s">
        <v>3394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26">
        <f>IF(ISNUMBER(SEARCH(ZAKL_DATA!$B$29,N973)),MAX($M$2:M972)+1,0)</f>
        <v>971.0</v>
      </c>
      <c r="N973" s="327" t="s">
        <v>3396</v>
      </c>
      <c r="O973" s="342" t="s">
        <v>3397</v>
      </c>
      <c r="Q973" s="329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327" t="s">
        <v>3396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327" t="s">
        <v>3396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327" t="s">
        <v>3396</v>
      </c>
      <c r="Z973" t="str">
        <f>IFERROR(VLOOKUP(ROWS($Z$3:Z973),$X$3:$Y$992,2,0),"")</f>
        <v>Sociální péče v domovech pro seniory</v>
      </c>
    </row>
    <row r="974" spans="13:26" ht="12.75">
      <c r="M974" s="326">
        <f>IF(ISNUMBER(SEARCH(ZAKL_DATA!$B$29,N974)),MAX($M$2:M973)+1,0)</f>
        <v>972.0</v>
      </c>
      <c r="N974" s="327" t="s">
        <v>3398</v>
      </c>
      <c r="O974" s="342" t="s">
        <v>3399</v>
      </c>
      <c r="Q974" s="329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327" t="s">
        <v>3398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327" t="s">
        <v>3398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327" t="s">
        <v>3398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26">
        <f>IF(ISNUMBER(SEARCH(ZAKL_DATA!$B$29,N975)),MAX($M$2:M974)+1,0)</f>
        <v>973.0</v>
      </c>
      <c r="N975" s="327" t="s">
        <v>3400</v>
      </c>
      <c r="O975" s="342" t="s">
        <v>2206</v>
      </c>
      <c r="Q975" s="329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327" t="s">
        <v>3400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327" t="s">
        <v>3400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327" t="s">
        <v>3400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26">
        <f>IF(ISNUMBER(SEARCH(ZAKL_DATA!$B$29,N976)),MAX($M$2:M975)+1,0)</f>
        <v>974.0</v>
      </c>
      <c r="N976" s="327" t="s">
        <v>3401</v>
      </c>
      <c r="O976" s="342" t="s">
        <v>3402</v>
      </c>
      <c r="Q976" s="329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327" t="s">
        <v>3401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327" t="s">
        <v>3401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327" t="s">
        <v>3401</v>
      </c>
      <c r="Z976" t="str">
        <f>IFERROR(VLOOKUP(ROWS($Z$3:Z976),$X$3:$Y$992,2,0),"")</f>
        <v>Ambulantní nebo terénní sociální služby pro seniory</v>
      </c>
    </row>
    <row r="977" spans="13:26" ht="12.75">
      <c r="M977" s="326">
        <f>IF(ISNUMBER(SEARCH(ZAKL_DATA!$B$29,N977)),MAX($M$2:M976)+1,0)</f>
        <v>975.0</v>
      </c>
      <c r="N977" s="327" t="s">
        <v>3403</v>
      </c>
      <c r="O977" s="342" t="s">
        <v>3404</v>
      </c>
      <c r="Q977" s="329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327" t="s">
        <v>3403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327" t="s">
        <v>3403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327" t="s">
        <v>3403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26">
        <f>IF(ISNUMBER(SEARCH(ZAKL_DATA!$B$29,N978)),MAX($M$2:M977)+1,0)</f>
        <v>976.0</v>
      </c>
      <c r="N978" s="327" t="s">
        <v>3405</v>
      </c>
      <c r="O978" s="342" t="s">
        <v>3406</v>
      </c>
      <c r="Q978" s="329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327" t="s">
        <v>3405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327" t="s">
        <v>3405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327" t="s">
        <v>3405</v>
      </c>
      <c r="Z978" t="str">
        <f>IFERROR(VLOOKUP(ROWS($Z$3:Z978),$X$3:$Y$992,2,0),"")</f>
        <v>Sociální služby pro uprchlíky, oběti katastrof</v>
      </c>
    </row>
    <row r="979" spans="13:26" ht="12.75">
      <c r="M979" s="326">
        <f>IF(ISNUMBER(SEARCH(ZAKL_DATA!$B$29,N979)),MAX($M$2:M978)+1,0)</f>
        <v>977.0</v>
      </c>
      <c r="N979" s="327" t="s">
        <v>3407</v>
      </c>
      <c r="O979" s="342" t="s">
        <v>3408</v>
      </c>
      <c r="Q979" s="329" t="str">
        <f>IFERROR(VLOOKUP(ROWS($Q$3:Q979),$M$3:$N$992,2,0),"")</f>
        <v>Sociální prevence</v>
      </c>
      <c r="R979">
        <f>IF(ISNUMBER(SEARCH('1Př1'!$A$32,N979)),MAX($M$2:M978)+1,0)</f>
        <v>977.0</v>
      </c>
      <c r="S979" s="327" t="s">
        <v>3407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327" t="s">
        <v>3407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327" t="s">
        <v>3407</v>
      </c>
      <c r="Z979" t="str">
        <f>IFERROR(VLOOKUP(ROWS($Z$3:Z979),$X$3:$Y$992,2,0),"")</f>
        <v>Sociální prevence</v>
      </c>
    </row>
    <row r="980" spans="13:26" ht="12.75">
      <c r="M980" s="326">
        <f>IF(ISNUMBER(SEARCH(ZAKL_DATA!$B$29,N980)),MAX($M$2:M979)+1,0)</f>
        <v>978.0</v>
      </c>
      <c r="N980" s="327" t="s">
        <v>3409</v>
      </c>
      <c r="O980" s="342" t="s">
        <v>3410</v>
      </c>
      <c r="Q980" s="329" t="str">
        <f>IFERROR(VLOOKUP(ROWS($Q$3:Q980),$M$3:$N$992,2,0),"")</f>
        <v>Sociální rehabilitace</v>
      </c>
      <c r="R980">
        <f>IF(ISNUMBER(SEARCH('1Př1'!$A$32,N980)),MAX($M$2:M979)+1,0)</f>
        <v>978.0</v>
      </c>
      <c r="S980" s="327" t="s">
        <v>3409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327" t="s">
        <v>3409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327" t="s">
        <v>3409</v>
      </c>
      <c r="Z980" t="str">
        <f>IFERROR(VLOOKUP(ROWS($Z$3:Z980),$X$3:$Y$992,2,0),"")</f>
        <v>Sociální rehabilitace</v>
      </c>
    </row>
    <row r="981" spans="13:26" ht="12.75">
      <c r="M981" s="326">
        <f>IF(ISNUMBER(SEARCH(ZAKL_DATA!$B$29,N981)),MAX($M$2:M980)+1,0)</f>
        <v>979.0</v>
      </c>
      <c r="N981" s="327" t="s">
        <v>3411</v>
      </c>
      <c r="O981" s="342" t="s">
        <v>3412</v>
      </c>
      <c r="Q981" s="329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327" t="s">
        <v>3411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327" t="s">
        <v>3411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327" t="s">
        <v>3411</v>
      </c>
      <c r="Z981" t="str">
        <f>IFERROR(VLOOKUP(ROWS($Z$3:Z981),$X$3:$Y$992,2,0),"")</f>
        <v>Jiné ambulantní nebo terénní sociální služby j. n.</v>
      </c>
    </row>
    <row r="982" spans="13:26" ht="12.75">
      <c r="M982" s="326">
        <f>IF(ISNUMBER(SEARCH(ZAKL_DATA!$B$29,N982)),MAX($M$2:M981)+1,0)</f>
        <v>980.0</v>
      </c>
      <c r="N982" s="327" t="s">
        <v>3413</v>
      </c>
      <c r="O982" s="342" t="s">
        <v>3093</v>
      </c>
      <c r="Q982" s="329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327" t="s">
        <v>3413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327" t="s">
        <v>3413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327" t="s">
        <v>3413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26">
        <f>IF(ISNUMBER(SEARCH(ZAKL_DATA!$B$29,N983)),MAX($M$2:M982)+1,0)</f>
        <v>981.0</v>
      </c>
      <c r="N983" s="327" t="s">
        <v>3414</v>
      </c>
      <c r="O983" s="342" t="s">
        <v>3415</v>
      </c>
      <c r="Q983" s="329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327" t="s">
        <v>3414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327" t="s">
        <v>3414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327" t="s">
        <v>3414</v>
      </c>
      <c r="Z983" t="str">
        <f>IFERROR(VLOOKUP(ROWS($Z$3:Z983),$X$3:$Y$992,2,0),"")</f>
        <v>Činnosti botanických a zoologických zahrad</v>
      </c>
    </row>
    <row r="984" spans="13:26" ht="12.75">
      <c r="M984" s="326">
        <f>IF(ISNUMBER(SEARCH(ZAKL_DATA!$B$29,N984)),MAX($M$2:M983)+1,0)</f>
        <v>982.0</v>
      </c>
      <c r="N984" s="327" t="s">
        <v>3416</v>
      </c>
      <c r="O984" s="342" t="s">
        <v>3417</v>
      </c>
      <c r="Q984" s="329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327" t="s">
        <v>3416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327" t="s">
        <v>3416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327" t="s">
        <v>3416</v>
      </c>
      <c r="Z984" t="str">
        <f>IFERROR(VLOOKUP(ROWS($Z$3:Z984),$X$3:$Y$992,2,0),"")</f>
        <v>Činnosti přírodních rezervací a národních parků</v>
      </c>
    </row>
    <row r="985" spans="13:26" ht="12.75">
      <c r="M985" s="326">
        <f>IF(ISNUMBER(SEARCH(ZAKL_DATA!$B$29,N985)),MAX($M$2:M984)+1,0)</f>
        <v>983.0</v>
      </c>
      <c r="N985" s="327" t="s">
        <v>3418</v>
      </c>
      <c r="O985" s="342" t="s">
        <v>3419</v>
      </c>
      <c r="Q985" s="329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327" t="s">
        <v>3418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327" t="s">
        <v>3418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327" t="s">
        <v>3418</v>
      </c>
      <c r="Z985" t="str">
        <f>IFERROR(VLOOKUP(ROWS($Z$3:Z985),$X$3:$Y$992,2,0),"")</f>
        <v>Činnosti organizací dětí a mládeže</v>
      </c>
    </row>
    <row r="986" spans="13:26" ht="12.75">
      <c r="M986" s="326">
        <f>IF(ISNUMBER(SEARCH(ZAKL_DATA!$B$29,N986)),MAX($M$2:M985)+1,0)</f>
        <v>984.0</v>
      </c>
      <c r="N986" s="327" t="s">
        <v>3420</v>
      </c>
      <c r="O986" s="342" t="s">
        <v>3421</v>
      </c>
      <c r="Q986" s="329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327" t="s">
        <v>3420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327" t="s">
        <v>3420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327" t="s">
        <v>3420</v>
      </c>
      <c r="Z986" t="str">
        <f>IFERROR(VLOOKUP(ROWS($Z$3:Z986),$X$3:$Y$992,2,0),"")</f>
        <v>Činnosti organizací na podporu kulturní činnosti</v>
      </c>
    </row>
    <row r="987" spans="13:26" ht="12.75">
      <c r="M987" s="326">
        <f>IF(ISNUMBER(SEARCH(ZAKL_DATA!$B$29,N987)),MAX($M$2:M986)+1,0)</f>
        <v>985.0</v>
      </c>
      <c r="N987" s="327" t="s">
        <v>3422</v>
      </c>
      <c r="O987" s="342" t="s">
        <v>3423</v>
      </c>
      <c r="Q987" s="329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327" t="s">
        <v>3422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327" t="s">
        <v>3422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327" t="s">
        <v>3422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26">
        <f>IF(ISNUMBER(SEARCH(ZAKL_DATA!$B$29,N988)),MAX($M$2:M987)+1,0)</f>
        <v>986.0</v>
      </c>
      <c r="N988" s="327" t="s">
        <v>3424</v>
      </c>
      <c r="O988" s="342" t="s">
        <v>3425</v>
      </c>
      <c r="Q988" s="329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327" t="s">
        <v>3424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327" t="s">
        <v>3424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327" t="s">
        <v>3424</v>
      </c>
      <c r="Z988" t="str">
        <f>IFERROR(VLOOKUP(ROWS($Z$3:Z988),$X$3:$Y$992,2,0),"")</f>
        <v>Činnosti spotřebitelských organizací</v>
      </c>
    </row>
    <row r="989" spans="13:26" ht="12.75">
      <c r="M989" s="326">
        <f>IF(ISNUMBER(SEARCH(ZAKL_DATA!$B$29,N989)),MAX($M$2:M988)+1,0)</f>
        <v>987.0</v>
      </c>
      <c r="N989" s="327" t="s">
        <v>3426</v>
      </c>
      <c r="O989" s="342" t="s">
        <v>3427</v>
      </c>
      <c r="Q989" s="329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327" t="s">
        <v>3426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327" t="s">
        <v>3426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327" t="s">
        <v>3426</v>
      </c>
      <c r="Z989" t="str">
        <f>IFERROR(VLOOKUP(ROWS($Z$3:Z989),$X$3:$Y$992,2,0),"")</f>
        <v>Činnosti environmentálních a ekologických hnutí</v>
      </c>
    </row>
    <row r="990" spans="13:26" ht="12.75">
      <c r="M990" s="326">
        <f>IF(ISNUMBER(SEARCH(ZAKL_DATA!$B$29,N990)),MAX($M$2:M989)+1,0)</f>
        <v>988.0</v>
      </c>
      <c r="N990" s="327" t="s">
        <v>3428</v>
      </c>
      <c r="O990" s="342" t="s">
        <v>3429</v>
      </c>
      <c r="Q990" s="329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327" t="s">
        <v>3428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327" t="s">
        <v>3428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327" t="s">
        <v>3428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26">
        <f>IF(ISNUMBER(SEARCH(ZAKL_DATA!$B$29,N991)),MAX($M$2:M990)+1,0)</f>
        <v>989.0</v>
      </c>
      <c r="N991" s="327" t="s">
        <v>3430</v>
      </c>
      <c r="O991" s="342" t="s">
        <v>3431</v>
      </c>
      <c r="Q991" s="329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327" t="s">
        <v>3430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327" t="s">
        <v>3430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327" t="s">
        <v>3430</v>
      </c>
      <c r="Z991" t="str">
        <f>IFERROR(VLOOKUP(ROWS($Z$3:Z991),$X$3:$Y$992,2,0),"")</f>
        <v>Činnosti občanských iniciativ, protestních hnutí</v>
      </c>
    </row>
    <row r="992" spans="13:26" ht="13.5" thickBot="1">
      <c r="M992" s="326">
        <f>IF(ISNUMBER(SEARCH(ZAKL_DATA!$B$29,N992)),MAX($M$2:M991)+1,0)</f>
        <v>990.0</v>
      </c>
      <c r="N992" s="350" t="s">
        <v>3432</v>
      </c>
      <c r="O992" s="351" t="s">
        <v>3433</v>
      </c>
      <c r="Q992" s="352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50" t="s">
        <v>3432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50" t="s">
        <v>3432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50" t="s">
        <v>3432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90" zoomScaleNormal="90" workbookViewId="0" topLeftCell="XFD1048576">
      <selection pane="topLeft" activeCell="A46" sqref="A1:XFD1048576"/>
    </sheetView>
  </sheetViews>
  <sheetFormatPr defaultColWidth="0" defaultRowHeight="12.75" customHeight="1" zeroHeight="1"/>
  <cols>
    <col min="1" max="16384" width="6.571428571428571" hidden="1"/>
  </cols>
  <sheetData>
    <row r="1" spans="1:27" ht="12.75" customHeight="1" hidden="1">
      <c r="A1" s="353" t="s">
        <v>361</v>
      </c>
      <c r="E1" t="s">
        <v>431</v>
      </c>
      <c r="I1" t="s">
        <v>478</v>
      </c>
      <c r="M1" t="s">
        <v>499</v>
      </c>
      <c r="Q1" t="s">
        <v>517</v>
      </c>
      <c r="R1" s="358" t="s">
        <v>3568</v>
      </c>
      <c r="S1" s="358" t="s">
        <v>516</v>
      </c>
      <c r="T1" s="358" t="s">
        <v>518</v>
      </c>
      <c r="U1" s="358" t="s">
        <v>3569</v>
      </c>
      <c r="V1" s="358" t="s">
        <v>3570</v>
      </c>
      <c r="W1" s="358" t="s">
        <v>519</v>
      </c>
      <c r="X1" s="358" t="s">
        <v>520</v>
      </c>
      <c r="Y1" s="298" t="s">
        <v>521</v>
      </c>
      <c r="Z1" s="298" t="s">
        <v>3567</v>
      </c>
      <c r="AA1" s="298" t="s">
        <v>3566</v>
      </c>
    </row>
    <row r="2" spans="1:27" ht="12.75" customHeight="1" hidden="1">
      <c r="A2" s="298" t="s">
        <v>362</v>
      </c>
      <c r="B2" s="354" t="str">
        <f>IF('DAP1'!J19&lt;&gt;"","A",IF('DAP1'!L19&lt;&gt;"","N",""))</f>
        <v>N</v>
      </c>
      <c r="C2" s="305" t="s">
        <v>3434</v>
      </c>
      <c r="E2" s="298" t="s">
        <v>432</v>
      </c>
      <c r="F2" s="354" t="str">
        <f>IF(ZAKL_DATA!B26&lt;&gt;"",ZAKL_DATA!B26,"")</f>
        <v/>
      </c>
      <c r="G2" s="305" t="s">
        <v>3435</v>
      </c>
      <c r="I2" s="298" t="s">
        <v>479</v>
      </c>
      <c r="J2" s="356">
        <f>'6Př'!E20</f>
        <v>0.0</v>
      </c>
      <c r="M2" s="298" t="s">
        <v>500</v>
      </c>
      <c r="N2" s="356">
        <f>'DAP2'!F34</f>
        <v>0.0</v>
      </c>
      <c r="O2" s="305" t="s">
        <v>3435</v>
      </c>
      <c r="R2" s="354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54" t="e">
        <f>IF('DAP3'!B17&lt;&gt;"XXX",MID('DAP3'!B17,(FIND(" ",'DAP3'!B17,1))+1,LEN('DAP3'!B17)),"")</f>
        <v>#VALUE!</v>
      </c>
      <c r="T2" s="305" t="str">
        <f>IF('DAP3'!F17&lt;&gt;"",'DAP3'!F17,"")</f>
        <v/>
      </c>
      <c r="U2" s="305" t="str">
        <f>IF('DAP3'!H17&lt;&gt;"",'DAP3'!H17,"")</f>
        <v/>
      </c>
      <c r="V2" t="str">
        <f>IF('DAP3'!J17&lt;&gt;"",'DAP3'!J17,"")</f>
        <v/>
      </c>
      <c r="W2" s="354" t="e">
        <f>IF('DAP3'!B17&lt;&gt;"XXX",LEFT('DAP3'!B17,(FIND(" ",'DAP3'!B17,1))-1),"")</f>
        <v>#VALUE!</v>
      </c>
      <c r="X2" s="299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2.75" customHeight="1" hidden="1">
      <c r="A3" s="298" t="s">
        <v>363</v>
      </c>
      <c r="B3" t="e">
        <f>VLOOKUP(ZAKL_DATA!B13,FU!B3:C17,2,FALSE)</f>
        <v>#N/A</v>
      </c>
      <c r="E3" s="298" t="s">
        <v>433</v>
      </c>
      <c r="I3" s="298" t="s">
        <v>480</v>
      </c>
      <c r="J3" s="356">
        <f>'6Př'!F20</f>
        <v>0.0</v>
      </c>
      <c r="M3" s="298" t="s">
        <v>501</v>
      </c>
      <c r="N3" s="356">
        <f>'DAP2'!F27</f>
        <v>0.0</v>
      </c>
      <c r="O3" s="305" t="s">
        <v>3435</v>
      </c>
      <c r="R3" s="299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99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99" t="e">
        <f>IF('DAP3'!B18&lt;&gt;"XXX",LEFT('DAP3'!B18,(FIND(" ",'DAP3'!B18,1))-1),"")</f>
        <v>#VALUE!</v>
      </c>
      <c r="X3" s="299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2.75" customHeight="1" hidden="1">
      <c r="A4" s="298" t="s">
        <v>364</v>
      </c>
      <c r="B4" s="299" t="str">
        <f>IF('DAP1'!K15&lt;&gt;"",TEXT('DAP1'!K15,"DD.MM.RRRR"),"")</f>
        <v/>
      </c>
      <c r="C4" s="361"/>
      <c r="E4" s="298" t="s">
        <v>434</v>
      </c>
      <c r="F4" s="354" t="str">
        <f>IF(ISNUMBER(FIND("/",ZAKL_DATA!B17)),MID(ZAKL_DATA!B17,(FIND("/",ZAKL_DATA!B17,1))+1,LEN(ZAKL_DATA!B17)),"")</f>
        <v/>
      </c>
      <c r="G4" s="305" t="s">
        <v>3435</v>
      </c>
      <c r="I4" s="298" t="s">
        <v>481</v>
      </c>
      <c r="J4" s="356">
        <f>'DAP2'!E6</f>
        <v>0.0</v>
      </c>
      <c r="K4" s="305" t="s">
        <v>3435</v>
      </c>
      <c r="M4" s="298" t="s">
        <v>502</v>
      </c>
      <c r="N4" s="356">
        <f>'DAP2'!F31</f>
        <v>0.0</v>
      </c>
      <c r="O4" s="305" t="s">
        <v>3435</v>
      </c>
      <c r="R4" s="299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99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99" t="e">
        <f>IF('DAP3'!B19&lt;&gt;"XXX",LEFT('DAP3'!B19,(FIND(" ",'DAP3'!B19,1))-1),"")</f>
        <v>#VALUE!</v>
      </c>
      <c r="X4" s="299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2.75" customHeight="1" hidden="1">
      <c r="A5" s="298" t="s">
        <v>365</v>
      </c>
      <c r="B5" s="354" t="str">
        <f>TEXT('DAP4'!A43,"DD.MM.RRRR")</f>
        <v>09.03.2023</v>
      </c>
      <c r="C5" s="305" t="s">
        <v>3435</v>
      </c>
      <c r="E5" s="298" t="s">
        <v>435</v>
      </c>
      <c r="F5" s="354" t="str">
        <f>IF('DAP1'!J29&lt;&gt;"",'DAP1'!J29,"")</f>
        <v/>
      </c>
      <c r="G5" s="305" t="s">
        <v>3435</v>
      </c>
      <c r="I5" s="298" t="s">
        <v>482</v>
      </c>
      <c r="J5" s="356">
        <f>'DAP2'!E5</f>
        <v>0.0</v>
      </c>
      <c r="K5" s="305" t="s">
        <v>3435</v>
      </c>
      <c r="M5" s="298" t="s">
        <v>503</v>
      </c>
      <c r="N5" s="356">
        <f>'DAP2'!F24</f>
        <v>0.0</v>
      </c>
      <c r="O5" s="305" t="s">
        <v>3435</v>
      </c>
      <c r="R5" s="299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99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99" t="e">
        <f>IF('DAP3'!B20&lt;&gt;"XXX",LEFT('DAP3'!B20,(FIND(" ",'DAP3'!B20,1))-1),"")</f>
        <v>#VALUE!</v>
      </c>
      <c r="X5" s="299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2.75" customHeight="1" hidden="1">
      <c r="A6" s="298" t="s">
        <v>366</v>
      </c>
      <c r="B6" s="354" t="str">
        <f>IF('DAP1'!K13&gt;0,TEXT('DAP1'!K13,"DD.MM.RRRR"),"")</f>
        <v/>
      </c>
      <c r="C6" s="305" t="s">
        <v>3435</v>
      </c>
      <c r="E6" s="298" t="s">
        <v>436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05" t="s">
        <v>3435</v>
      </c>
      <c r="I6" s="298" t="s">
        <v>483</v>
      </c>
      <c r="K6" s="305" t="s">
        <v>3438</v>
      </c>
      <c r="M6" s="298" t="s">
        <v>504</v>
      </c>
      <c r="N6" s="356">
        <f>'DAP2'!F25</f>
        <v>0.0</v>
      </c>
      <c r="O6" s="305" t="s">
        <v>3435</v>
      </c>
    </row>
    <row r="7" spans="1:22" ht="12.75" customHeight="1" hidden="1">
      <c r="A7" s="298" t="s">
        <v>367</v>
      </c>
      <c r="B7" s="356">
        <f>'DAP2'!F38</f>
        <v>0.0</v>
      </c>
      <c r="C7" s="305" t="s">
        <v>3435</v>
      </c>
      <c r="E7" s="298" t="s">
        <v>437</v>
      </c>
      <c r="F7" t="e">
        <f>VLOOKUP(ZAKL_DATA!B14,FU!E3:F204,2,FALSE)</f>
        <v>#N/A</v>
      </c>
      <c r="G7" s="305" t="s">
        <v>3435</v>
      </c>
      <c r="I7" s="298" t="s">
        <v>484</v>
      </c>
      <c r="J7" s="356">
        <f>'DAP2'!E4</f>
        <v>0.0</v>
      </c>
      <c r="K7" s="305" t="s">
        <v>3435</v>
      </c>
      <c r="M7" s="298" t="s">
        <v>505</v>
      </c>
      <c r="N7" s="356">
        <f>'DAP2'!F26</f>
        <v>0.0</v>
      </c>
      <c r="O7" s="305" t="s">
        <v>3435</v>
      </c>
      <c r="R7" s="380"/>
      <c r="S7" s="305" t="s">
        <v>3435</v>
      </c>
      <c r="T7" s="305" t="s">
        <v>3435</v>
      </c>
      <c r="U7" s="305" t="s">
        <v>3435</v>
      </c>
      <c r="V7" s="305" t="s">
        <v>3435</v>
      </c>
    </row>
    <row r="8" spans="1:15" ht="12.75" customHeight="1" hidden="1">
      <c r="A8" s="298" t="s">
        <v>368</v>
      </c>
      <c r="B8" s="356">
        <f>'DAP2'!F41</f>
        <v>0.0</v>
      </c>
      <c r="C8" s="305" t="s">
        <v>3435</v>
      </c>
      <c r="E8" s="298" t="s">
        <v>438</v>
      </c>
      <c r="F8" s="354" t="str">
        <f>IF(ZAKL_DATA!B25&lt;&gt;"",ZAKL_DATA!B25,"")</f>
        <v/>
      </c>
      <c r="G8" t="s">
        <v>3435</v>
      </c>
      <c r="I8" s="298" t="s">
        <v>485</v>
      </c>
      <c r="J8" s="356">
        <f>'DAP2'!E17</f>
        <v>0.0</v>
      </c>
      <c r="K8" s="305" t="s">
        <v>3435</v>
      </c>
      <c r="M8" s="298" t="s">
        <v>506</v>
      </c>
      <c r="N8" s="356">
        <f>'DAP2'!F22</f>
        <v>0.0</v>
      </c>
      <c r="O8" s="305" t="s">
        <v>3435</v>
      </c>
    </row>
    <row r="9" spans="1:15" ht="12.75" customHeight="1" hidden="1">
      <c r="A9" s="298" t="s">
        <v>369</v>
      </c>
      <c r="B9" s="356">
        <f>'DAP3'!E12</f>
        <v>0.0</v>
      </c>
      <c r="C9" s="305" t="s">
        <v>3435</v>
      </c>
      <c r="E9" s="298" t="s">
        <v>439</v>
      </c>
      <c r="F9" s="299" t="str">
        <f>MID(ZAKL_DATA!D2,3,10)</f>
        <v/>
      </c>
      <c r="G9" t="s">
        <v>3435</v>
      </c>
      <c r="I9" s="298" t="s">
        <v>486</v>
      </c>
      <c r="J9" s="356">
        <f>'DAP2'!E8</f>
        <v>0.0</v>
      </c>
      <c r="K9" s="305" t="s">
        <v>3435</v>
      </c>
      <c r="M9" s="298" t="s">
        <v>507</v>
      </c>
      <c r="N9" s="356">
        <f>'DAP2'!F23</f>
        <v>0.0</v>
      </c>
      <c r="O9" s="305" t="s">
        <v>3435</v>
      </c>
    </row>
    <row r="10" spans="1:15" ht="12.75" customHeight="1" hidden="1">
      <c r="A10" s="298" t="s">
        <v>370</v>
      </c>
      <c r="B10" s="356">
        <f>'DAP3'!D26</f>
        <v>0.0</v>
      </c>
      <c r="C10" s="305" t="s">
        <v>3435</v>
      </c>
      <c r="E10" s="298" t="s">
        <v>440</v>
      </c>
      <c r="F10" s="354" t="str">
        <f>IF(ZAKL_DATA!B27&lt;&gt;"",ZAKL_DATA!B27,"")</f>
        <v/>
      </c>
      <c r="G10" t="s">
        <v>3435</v>
      </c>
      <c r="I10" s="298" t="s">
        <v>487</v>
      </c>
      <c r="J10" s="356">
        <f>'DAP2'!E15</f>
        <v>0.0</v>
      </c>
      <c r="K10" s="305" t="s">
        <v>3435</v>
      </c>
      <c r="M10" s="298" t="s">
        <v>508</v>
      </c>
      <c r="N10" s="356">
        <f>'DAP2'!F28</f>
        <v>0.0</v>
      </c>
      <c r="O10" s="305" t="s">
        <v>3435</v>
      </c>
    </row>
    <row r="11" spans="1:24" ht="12.75" customHeight="1" hidden="1">
      <c r="A11" s="298" t="s">
        <v>371</v>
      </c>
      <c r="B11" s="357">
        <f>'DAP2'!F36</f>
        <v>0.0</v>
      </c>
      <c r="C11" s="305" t="s">
        <v>3435</v>
      </c>
      <c r="E11" s="298" t="s">
        <v>441</v>
      </c>
      <c r="F11" s="354" t="str">
        <f>IF(ZAKL_DATA!B4&lt;&gt;"",ZAKL_DATA!B4,"")</f>
        <v/>
      </c>
      <c r="G11" t="s">
        <v>3435</v>
      </c>
      <c r="I11" s="298" t="s">
        <v>488</v>
      </c>
      <c r="J11" s="356">
        <f>'DAP2'!E15</f>
        <v>0.0</v>
      </c>
      <c r="K11" s="305" t="s">
        <v>3435</v>
      </c>
      <c r="M11" s="298" t="s">
        <v>509</v>
      </c>
      <c r="N11" s="356">
        <f>'DAP2'!F29</f>
        <v>0.0</v>
      </c>
      <c r="O11" s="305" t="s">
        <v>3435</v>
      </c>
      <c r="X11" s="305"/>
    </row>
    <row r="12" spans="1:15" ht="12.75" customHeight="1" hidden="1">
      <c r="A12" s="298" t="s">
        <v>372</v>
      </c>
      <c r="B12" s="354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05" t="s">
        <v>3435</v>
      </c>
      <c r="E12" s="298" t="s">
        <v>442</v>
      </c>
      <c r="F12" s="299" t="str">
        <f>IF(AND(ZAKL_DATA!B20&lt;&gt;"",ZAKL_DATA!B20&lt;&gt;0),IF(ZAKL_DATA!B20&lt;&gt;"ČESKÁ REPUBLIKA",VLOOKUP(ZAKL_DATA!B20,FU!J3:K253,2,FALSE),"CZ"),"CZ")</f>
        <v>CZ</v>
      </c>
      <c r="G12" t="s">
        <v>3435</v>
      </c>
      <c r="I12" s="298" t="s">
        <v>489</v>
      </c>
      <c r="J12" s="356">
        <f>'DAP2'!E10</f>
        <v>0.0</v>
      </c>
      <c r="K12" s="305" t="s">
        <v>3435</v>
      </c>
      <c r="M12" s="298" t="s">
        <v>510</v>
      </c>
      <c r="N12" s="356">
        <f>'DAP2'!F29</f>
        <v>0.0</v>
      </c>
      <c r="O12" s="305" t="s">
        <v>3435</v>
      </c>
    </row>
    <row r="13" spans="1:15" ht="12.75" customHeight="1" hidden="1">
      <c r="A13" s="298" t="s">
        <v>373</v>
      </c>
      <c r="B13" s="368" t="s">
        <v>3898</v>
      </c>
      <c r="C13" s="305" t="s">
        <v>3436</v>
      </c>
      <c r="E13" s="298" t="s">
        <v>443</v>
      </c>
      <c r="I13" s="298" t="s">
        <v>490</v>
      </c>
      <c r="J13" s="356">
        <f>'DAP2'!E19</f>
        <v>0.0</v>
      </c>
      <c r="K13" s="305" t="s">
        <v>3435</v>
      </c>
      <c r="M13" s="298" t="s">
        <v>511</v>
      </c>
      <c r="N13" s="356">
        <f>'DAP2'!F32</f>
        <v>0.0</v>
      </c>
      <c r="O13" s="305" t="s">
        <v>3435</v>
      </c>
    </row>
    <row r="14" spans="1:25" ht="12.75" customHeight="1" hidden="1">
      <c r="A14" s="298" t="s">
        <v>374</v>
      </c>
      <c r="B14" s="354" t="str">
        <f>IF(OR('DAP1'!A15="i",'DAP1'!A15="I"),"I",IF(OR('DAP1'!A15="g",'DAP1'!A15="G"),"G",""))</f>
        <v/>
      </c>
      <c r="C14" s="305" t="s">
        <v>3435</v>
      </c>
      <c r="E14" s="298" t="s">
        <v>444</v>
      </c>
      <c r="F14" s="354" t="str">
        <f>IF(ISNUMBER(FIND("/",'DAP1'!J35)),MID('DAP1'!J35,(FIND("/",'DAP1'!J35,1))+1,LEN('DAP1'!J35)),"")</f>
        <v/>
      </c>
      <c r="I14" s="298" t="s">
        <v>491</v>
      </c>
      <c r="J14" s="356">
        <f>'DAP2'!E16</f>
        <v>0.0</v>
      </c>
      <c r="K14" s="305" t="s">
        <v>3435</v>
      </c>
      <c r="M14" s="298" t="s">
        <v>512</v>
      </c>
      <c r="N14" s="356">
        <f>'DAP2'!F33</f>
        <v>0.0</v>
      </c>
      <c r="O14" s="305" t="s">
        <v>3435</v>
      </c>
      <c r="Y14" s="379"/>
    </row>
    <row r="15" spans="1:15" ht="12.75" customHeight="1" hidden="1">
      <c r="A15" s="298" t="s">
        <v>375</v>
      </c>
      <c r="B15" s="354" t="s">
        <v>3437</v>
      </c>
      <c r="C15" s="305" t="s">
        <v>3436</v>
      </c>
      <c r="E15" s="298" t="s">
        <v>445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98" t="s">
        <v>492</v>
      </c>
      <c r="J15" s="356">
        <f>'DAP2'!E12</f>
        <v>0.0</v>
      </c>
      <c r="K15" s="305" t="s">
        <v>3435</v>
      </c>
      <c r="M15" s="298" t="s">
        <v>513</v>
      </c>
      <c r="N15">
        <f>'DAP2'!E29</f>
        <v>0.0</v>
      </c>
      <c r="O15" s="305" t="s">
        <v>3435</v>
      </c>
    </row>
    <row r="16" spans="1:15" ht="12.75" customHeight="1" hidden="1">
      <c r="A16" s="298" t="s">
        <v>376</v>
      </c>
      <c r="B16">
        <f>'DAP1'!K41</f>
        <v>0.0</v>
      </c>
      <c r="C16" s="305" t="s">
        <v>3435</v>
      </c>
      <c r="E16" s="298" t="s">
        <v>446</v>
      </c>
      <c r="F16" s="354" t="str">
        <f>IF('DAP1'!B35&lt;&gt;"",'DAP1'!B35,"")</f>
        <v/>
      </c>
      <c r="I16" s="298" t="s">
        <v>493</v>
      </c>
      <c r="J16" s="356">
        <f>'DAP2'!E14</f>
        <v>0.0</v>
      </c>
      <c r="K16" s="305" t="s">
        <v>3435</v>
      </c>
      <c r="M16" s="298" t="s">
        <v>514</v>
      </c>
      <c r="N16">
        <f>'DAP2'!E23</f>
        <v>0.0</v>
      </c>
      <c r="O16" s="305" t="s">
        <v>3435</v>
      </c>
    </row>
    <row r="17" spans="1:15" ht="12.75" customHeight="1" hidden="1">
      <c r="A17" s="298" t="s">
        <v>377</v>
      </c>
      <c r="B17" s="356">
        <f>'DAP3'!D29</f>
        <v>0.0</v>
      </c>
      <c r="C17" s="305" t="s">
        <v>3435</v>
      </c>
      <c r="E17" s="298" t="s">
        <v>447</v>
      </c>
      <c r="F17" s="354" t="str">
        <f>IF('DAP1'!L35&lt;&gt;"",'DAP1'!L35,"")</f>
        <v/>
      </c>
      <c r="I17" s="298" t="s">
        <v>494</v>
      </c>
      <c r="J17" s="356">
        <f>'DAP2'!E10</f>
        <v>0.0</v>
      </c>
      <c r="K17" s="305" t="s">
        <v>3435</v>
      </c>
      <c r="M17" s="298" t="s">
        <v>515</v>
      </c>
      <c r="N17" s="299">
        <f>'DAP2'!C29</f>
        <v>0.0</v>
      </c>
      <c r="O17" s="305" t="s">
        <v>3435</v>
      </c>
    </row>
    <row r="18" spans="1:11" ht="12.75" customHeight="1" hidden="1">
      <c r="A18" s="298" t="s">
        <v>378</v>
      </c>
      <c r="B18" s="356">
        <f>'DAP3'!D23</f>
        <v>0.0</v>
      </c>
      <c r="C18" s="305" t="s">
        <v>3435</v>
      </c>
      <c r="E18" s="298" t="s">
        <v>448</v>
      </c>
      <c r="F18" s="354" t="str">
        <f>IF('DAP1'!G35&lt;&gt;"",'DAP1'!G35,"")</f>
        <v/>
      </c>
      <c r="I18" s="298" t="s">
        <v>495</v>
      </c>
      <c r="J18" s="356">
        <f>'DAP2'!E7</f>
        <v>0.0</v>
      </c>
      <c r="K18" s="305" t="s">
        <v>3435</v>
      </c>
    </row>
    <row r="19" spans="1:11" ht="12.75" customHeight="1" hidden="1">
      <c r="A19" s="298" t="s">
        <v>379</v>
      </c>
      <c r="B19" s="356">
        <f>'DAP3'!E9</f>
        <v>0.0</v>
      </c>
      <c r="C19" s="305" t="s">
        <v>3435</v>
      </c>
      <c r="E19" s="298" t="s">
        <v>449</v>
      </c>
      <c r="F19" s="299" t="str">
        <f>IF(ZAKL_DATA!B18&lt;&gt;"",ZAKL_DATA!B18,"")</f>
        <v/>
      </c>
      <c r="G19" t="s">
        <v>3435</v>
      </c>
      <c r="I19" s="298" t="s">
        <v>496</v>
      </c>
      <c r="J19" s="356">
        <f>'DAP2'!E11</f>
        <v>0.0</v>
      </c>
      <c r="K19" s="305" t="s">
        <v>3435</v>
      </c>
    </row>
    <row r="20" spans="1:21" ht="12.75" customHeight="1" hidden="1">
      <c r="A20" s="298" t="s">
        <v>380</v>
      </c>
      <c r="B20" s="356">
        <f>'DAP2'!F39</f>
        <v>0.0</v>
      </c>
      <c r="C20" s="305" t="s">
        <v>3435</v>
      </c>
      <c r="E20" s="298" t="s">
        <v>450</v>
      </c>
      <c r="F20" s="299" t="str">
        <f>IF(AND(ZAKL_DATA!D4&lt;&gt;"",ZAKL_DATA!D14&lt;&gt;"",'DAP4'!C30&lt;&gt;"4a",'DAP4'!C30&lt;&gt;"4b"),ZAKL_DATA!D14,"")</f>
        <v/>
      </c>
      <c r="G20" t="s">
        <v>3446</v>
      </c>
      <c r="I20" s="298" t="s">
        <v>497</v>
      </c>
      <c r="J20" s="356">
        <f>'DAP2'!E13</f>
        <v>0.0</v>
      </c>
      <c r="K20" s="305" t="s">
        <v>3435</v>
      </c>
      <c r="Q20" t="s">
        <v>597</v>
      </c>
      <c r="R20" s="298" t="s">
        <v>575</v>
      </c>
      <c r="S20" s="301" t="s">
        <v>576</v>
      </c>
      <c r="T20" s="301" t="s">
        <v>573</v>
      </c>
      <c r="U20" s="301" t="s">
        <v>577</v>
      </c>
    </row>
    <row r="21" spans="1:23" ht="12.75" customHeight="1" hidden="1">
      <c r="A21" s="298" t="s">
        <v>381</v>
      </c>
      <c r="B21" s="356">
        <f>'DAP3'!D47</f>
        <v>0.0</v>
      </c>
      <c r="C21" s="305" t="s">
        <v>3435</v>
      </c>
      <c r="E21" s="298" t="s">
        <v>451</v>
      </c>
      <c r="F21" s="299" t="str">
        <f>IF(AND(ZAKL_DATA!D4&lt;&gt;"",ZAKL_DATA!D17&lt;&gt;"",'DAP4'!C30&lt;&gt;"4a",'DAP4'!C30&lt;&gt;"4b"),ZAKL_DATA!D17,"")</f>
        <v/>
      </c>
      <c r="G21" t="s">
        <v>3446</v>
      </c>
      <c r="I21" s="298" t="s">
        <v>498</v>
      </c>
      <c r="J21" s="356">
        <f>'DAP2'!E18</f>
        <v>0.0</v>
      </c>
      <c r="K21" s="305" t="s">
        <v>3435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56" t="str">
        <f>IF('1Př1'!F32&lt;&gt;0,'1Př1'!F32,"")</f>
        <v/>
      </c>
      <c r="T21" t="str">
        <f>IF(AND('1Př1'!D32&lt;&gt;0,'1Př1'!D32&lt;&gt;""),100*'1Př1'!D32,"")</f>
        <v/>
      </c>
      <c r="U21" s="356" t="str">
        <f>IF(ISNUMBER(W21),'1Př1'!H32,"")</f>
        <v/>
      </c>
      <c r="W21" t="e">
        <f>UPPER(VLOOKUP('1Př1'!A32,FU!N3:O992,2,FALSE))</f>
        <v>#N/A</v>
      </c>
    </row>
    <row r="22" spans="1:23" ht="12.75" customHeight="1" hidden="1">
      <c r="A22" s="298" t="s">
        <v>382</v>
      </c>
      <c r="B22" s="356">
        <f>'DAP3'!E4</f>
        <v>0.0</v>
      </c>
      <c r="C22" s="305" t="s">
        <v>3435</v>
      </c>
      <c r="E22" s="298" t="s">
        <v>452</v>
      </c>
      <c r="F22" s="299" t="str">
        <f>IF(AND(ZAKL_DATA!D4&lt;&gt;"",ZAKL_DATA!D15&lt;&gt;"",'DAP4'!C30&lt;&gt;"4a",'DAP4'!C30&lt;&gt;"4b"),ZAKL_DATA!D15,"")</f>
        <v/>
      </c>
      <c r="G22" t="s">
        <v>3446</v>
      </c>
      <c r="R22" t="str">
        <f t="shared" si="0"/>
        <v/>
      </c>
      <c r="S22" s="356" t="str">
        <f>IF('1Př1'!F33&lt;&gt;0,'1Př1'!F33,"")</f>
        <v/>
      </c>
      <c r="T22" t="str">
        <f>IF(AND('1Př1'!D33&lt;&gt;0,'1Př1'!D33&lt;&gt;""),100*'1Př1'!D33,"")</f>
        <v/>
      </c>
      <c r="U22" s="356" t="str">
        <f>IF(ISNUMBER(W22),'1Př1'!H33,"")</f>
        <v/>
      </c>
      <c r="W22" t="e">
        <f>UPPER(VLOOKUP('1Př1'!A33,FU!N3:O992,2,FALSE))</f>
        <v>#N/A</v>
      </c>
    </row>
    <row r="23" spans="1:23" ht="12.75" customHeight="1" hidden="1">
      <c r="A23" s="298" t="s">
        <v>383</v>
      </c>
      <c r="B23" s="356">
        <f>'DAP3'!E2</f>
        <v>30840.0</v>
      </c>
      <c r="C23" s="305" t="s">
        <v>3435</v>
      </c>
      <c r="E23" s="298" t="s">
        <v>453</v>
      </c>
      <c r="F23" s="354" t="str">
        <f>IF(ZAKL_DATA!B5&lt;&gt;"",ZAKL_DATA!B5,"")</f>
        <v/>
      </c>
      <c r="G23" t="s">
        <v>3435</v>
      </c>
      <c r="R23" t="str">
        <f t="shared" si="0"/>
        <v/>
      </c>
      <c r="S23" s="356" t="str">
        <f>IF('1Př1'!F34&lt;&gt;0,'1Př1'!F34,"")</f>
        <v/>
      </c>
      <c r="T23" t="str">
        <f>IF(AND('1Př1'!D34&lt;&gt;0,'1Př1'!D34&lt;&gt;""),100*'1Př1'!D34,"")</f>
        <v/>
      </c>
      <c r="U23" s="356" t="str">
        <f>IF(ISNUMBER(W23),'1Př1'!H34,"")</f>
        <v/>
      </c>
      <c r="W23" t="e">
        <f>UPPER(VLOOKUP('1Př1'!A34,FU!N3:O992,2,FALSE))</f>
        <v>#N/A</v>
      </c>
    </row>
    <row r="24" spans="1:11" ht="12.75" customHeight="1" hidden="1">
      <c r="A24" s="298" t="s">
        <v>384</v>
      </c>
      <c r="B24" s="356">
        <f>'DAP3'!E3</f>
        <v>0.0</v>
      </c>
      <c r="C24" s="305" t="s">
        <v>3435</v>
      </c>
      <c r="E24" s="298" t="s">
        <v>454</v>
      </c>
      <c r="F24" s="354" t="str">
        <f>IF(ZAKL_DATA!B19&lt;&gt;"",ZAKL_DATA!B19,"")</f>
        <v/>
      </c>
      <c r="G24" t="s">
        <v>3435</v>
      </c>
      <c r="K24" t="e">
        <f>LEN(LEFT('DAP3'!#REF!,(FIND(" ",'DAP3'!#REF!,1))))</f>
        <v>#REF!</v>
      </c>
    </row>
    <row r="25" spans="1:21" ht="12.75" customHeight="1" hidden="1">
      <c r="A25" s="298" t="s">
        <v>385</v>
      </c>
      <c r="B25" s="356">
        <f>'DAP3'!E5</f>
        <v>0.0</v>
      </c>
      <c r="C25" s="305" t="s">
        <v>3435</v>
      </c>
      <c r="E25" s="298" t="s">
        <v>455</v>
      </c>
      <c r="F25" s="354" t="str">
        <f>IF(ZAKL_DATA!B9&lt;&gt;"",ZAKL_DATA!B9,"")</f>
        <v/>
      </c>
      <c r="G25" t="s">
        <v>3435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3435</v>
      </c>
      <c r="S25" t="s">
        <v>3435</v>
      </c>
      <c r="T25" t="s">
        <v>3435</v>
      </c>
      <c r="U25" t="s">
        <v>3435</v>
      </c>
    </row>
    <row r="26" spans="1:12" ht="12.75" customHeight="1" hidden="1">
      <c r="A26" s="298" t="s">
        <v>386</v>
      </c>
      <c r="B26" s="356">
        <f>'DAP3'!E6</f>
        <v>0.0</v>
      </c>
      <c r="C26" s="305" t="s">
        <v>3435</v>
      </c>
      <c r="E26" s="298" t="s">
        <v>456</v>
      </c>
      <c r="F26" s="354" t="str">
        <f>IF(ZAKL_DATA!B6&lt;&gt;"",ZAKL_DATA!B6,"")</f>
        <v/>
      </c>
      <c r="G26" t="s">
        <v>3435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2.75" customHeight="1" hidden="1">
      <c r="A27" s="298" t="s">
        <v>387</v>
      </c>
      <c r="B27" s="356">
        <f>'DAP3'!E7</f>
        <v>0.0</v>
      </c>
      <c r="C27" s="305" t="s">
        <v>3435</v>
      </c>
      <c r="E27" s="298" t="s">
        <v>457</v>
      </c>
      <c r="F27" s="299"/>
      <c r="G27" s="305" t="s">
        <v>3439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2.75" customHeight="1" hidden="1">
      <c r="A28" s="298" t="s">
        <v>388</v>
      </c>
      <c r="B28" s="356">
        <f>'DAP3'!D42</f>
        <v>0.0</v>
      </c>
      <c r="C28" s="305" t="s">
        <v>3435</v>
      </c>
      <c r="E28" s="298" t="s">
        <v>458</v>
      </c>
      <c r="F28" s="354" t="str">
        <f>IF(AND(ZAKL_DATA!B20&lt;&gt;"ČESKÁ REPUBLIKA",ZAKL_DATA!B20&lt;&gt;""),VLOOKUP(ZAKL_DATA!B20,FU!J3:K253,2,FALSE),"")</f>
        <v/>
      </c>
      <c r="G28" s="305" t="s">
        <v>3435</v>
      </c>
    </row>
    <row r="29" spans="1:7" ht="12.75" customHeight="1" hidden="1">
      <c r="A29" s="298" t="s">
        <v>389</v>
      </c>
      <c r="B29" s="356"/>
      <c r="C29" s="305" t="s">
        <v>3438</v>
      </c>
      <c r="E29" s="298" t="s">
        <v>459</v>
      </c>
      <c r="F29" s="354" t="str">
        <f>IF(ZAKL_DATA!B7&lt;&gt;"",ZAKL_DATA!B7,"")</f>
        <v/>
      </c>
      <c r="G29" s="305" t="s">
        <v>3435</v>
      </c>
    </row>
    <row r="30" spans="1:13" ht="12.75" customHeight="1" hidden="1">
      <c r="A30" s="298" t="s">
        <v>390</v>
      </c>
      <c r="B30" s="356" t="str">
        <f>IF(AND('DAP3'!D33&lt;&gt;"",'DAP3'!D33&lt;&gt;0),'DAP3'!D33,"")</f>
        <v/>
      </c>
      <c r="C30" s="305" t="s">
        <v>3435</v>
      </c>
      <c r="E30" s="298" t="s">
        <v>460</v>
      </c>
      <c r="F30" s="354" t="str">
        <f>IF(ZAKL_DATA!B16&lt;&gt;"",ZAKL_DATA!B16,"")</f>
        <v/>
      </c>
      <c r="G30" s="305" t="s">
        <v>3435</v>
      </c>
      <c r="I30" t="s">
        <v>522</v>
      </c>
      <c r="M30" t="s">
        <v>544</v>
      </c>
    </row>
    <row r="31" spans="1:15" ht="12.75" customHeight="1" hidden="1">
      <c r="A31" s="298" t="s">
        <v>391</v>
      </c>
      <c r="B31" s="356" t="str">
        <f>IF(AND('DAP3'!D36&lt;&gt;"",'DAP3'!D36&lt;&gt;0),'DAP3'!D36,"")</f>
        <v/>
      </c>
      <c r="C31" s="305" t="s">
        <v>3435</v>
      </c>
      <c r="E31" s="298" t="s">
        <v>461</v>
      </c>
      <c r="F31" s="354" t="str">
        <f>IF(ISNUMBER('DAP1'!I39),'DAP1'!I39,"")</f>
        <v/>
      </c>
      <c r="I31" s="298" t="s">
        <v>523</v>
      </c>
      <c r="J31">
        <f>'DAP4'!K25</f>
        <v>0.0</v>
      </c>
      <c r="K31" t="s">
        <v>3435</v>
      </c>
      <c r="M31" s="298" t="s">
        <v>545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2.75" customHeight="1" hidden="1">
      <c r="A32" s="298" t="s">
        <v>392</v>
      </c>
      <c r="B32" s="356">
        <f>'DAP3'!D31</f>
        <v>0.0</v>
      </c>
      <c r="C32" s="305" t="s">
        <v>3435</v>
      </c>
      <c r="E32" s="298" t="s">
        <v>462</v>
      </c>
      <c r="I32" s="298" t="s">
        <v>524</v>
      </c>
      <c r="J32">
        <f>'DAP4'!K10</f>
        <v>0.0</v>
      </c>
      <c r="K32" t="s">
        <v>3435</v>
      </c>
      <c r="M32" s="298" t="s">
        <v>546</v>
      </c>
      <c r="N32" s="356">
        <f>'1Př1'!F35</f>
        <v>0.0</v>
      </c>
      <c r="O32" s="305" t="s">
        <v>3435</v>
      </c>
    </row>
    <row r="33" spans="1:15" ht="12.75" customHeight="1" hidden="1">
      <c r="A33" s="298" t="s">
        <v>393</v>
      </c>
      <c r="B33" s="356" t="str">
        <f>IF(AND('DAP3'!D35&lt;&gt;"",'DAP3'!D35&lt;&gt;0),'DAP3'!D35,"")</f>
        <v/>
      </c>
      <c r="C33" s="305" t="s">
        <v>3435</v>
      </c>
      <c r="E33" s="298" t="s">
        <v>463</v>
      </c>
      <c r="F33" s="354" t="str">
        <f>IF(ISNUMBER(FIND("/",'DAP1'!L38)),MID('DAP1'!L38,(FIND("/",'DAP1'!L38,1))+1,LEN('DAP1'!L38)),"")</f>
        <v/>
      </c>
      <c r="I33" s="298" t="s">
        <v>525</v>
      </c>
      <c r="J33">
        <f>'DAP4'!K18</f>
        <v>0.0</v>
      </c>
      <c r="K33" t="s">
        <v>3435</v>
      </c>
      <c r="M33" s="298" t="s">
        <v>547</v>
      </c>
      <c r="N33" s="356">
        <f>'1Př1'!H35</f>
        <v>0.0</v>
      </c>
      <c r="O33" s="305" t="s">
        <v>3435</v>
      </c>
    </row>
    <row r="34" spans="1:15" ht="12.75" customHeight="1" hidden="1">
      <c r="A34" s="298" t="s">
        <v>394</v>
      </c>
      <c r="B34" s="356" t="str">
        <f>IF(AND('DAP3'!D38&lt;&gt;"",'DAP3'!D38&lt;&gt;0),'DAP3'!D38,"")</f>
        <v/>
      </c>
      <c r="C34" s="305" t="s">
        <v>3435</v>
      </c>
      <c r="E34" s="298" t="s">
        <v>464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98" t="s">
        <v>526</v>
      </c>
      <c r="K34" s="305" t="s">
        <v>3691</v>
      </c>
      <c r="M34" s="298" t="s">
        <v>548</v>
      </c>
      <c r="N34" s="354" t="str">
        <f>IF('1Př2'!F3&lt;&gt;0,TEXT('1Př2'!F3,"DD.MM.RRRR"),"")</f>
        <v/>
      </c>
      <c r="O34" s="305" t="s">
        <v>3435</v>
      </c>
    </row>
    <row r="35" spans="1:15" ht="12.75" customHeight="1" hidden="1">
      <c r="A35" s="298" t="s">
        <v>395</v>
      </c>
      <c r="B35" s="356">
        <f>'DAP3'!D24</f>
        <v>0.0</v>
      </c>
      <c r="C35" s="305" t="s">
        <v>3435</v>
      </c>
      <c r="E35" s="298" t="s">
        <v>465</v>
      </c>
      <c r="F35" s="354" t="str">
        <f>IF('DAP1'!F39&lt;&gt;"",'DAP1'!F39,"")</f>
        <v/>
      </c>
      <c r="I35" s="298" t="s">
        <v>527</v>
      </c>
      <c r="J35">
        <f>'DAP4'!K19</f>
        <v>0.0</v>
      </c>
      <c r="K35" t="s">
        <v>3435</v>
      </c>
      <c r="M35" s="298" t="s">
        <v>549</v>
      </c>
      <c r="N35" s="354" t="str">
        <f>IF('1Př2'!C3&lt;&gt;0,TEXT('1Př2'!C3,"DD.MM.RRRR"),"")</f>
        <v/>
      </c>
      <c r="O35" s="305" t="s">
        <v>3435</v>
      </c>
    </row>
    <row r="36" spans="1:15" ht="12.75" customHeight="1" hidden="1">
      <c r="A36" s="298" t="s">
        <v>396</v>
      </c>
      <c r="B36" s="357">
        <f>'DAP2'!F37</f>
        <v>0.0</v>
      </c>
      <c r="C36" s="305" t="s">
        <v>3435</v>
      </c>
      <c r="E36" s="298" t="s">
        <v>466</v>
      </c>
      <c r="F36" s="354" t="str">
        <f>IF(ISNUMBER(FIND("@",'DAP1'!I39)),'DAP1'!I39,"")</f>
        <v/>
      </c>
      <c r="I36" s="298" t="s">
        <v>528</v>
      </c>
      <c r="J36">
        <f>'DAP4'!K15</f>
        <v>0.0</v>
      </c>
      <c r="K36" t="s">
        <v>3435</v>
      </c>
      <c r="M36" s="298" t="s">
        <v>550</v>
      </c>
      <c r="N36" s="354" t="str">
        <f>IF('1Př2'!E3&lt;&gt;0,TEXT('1Př2'!E3,"DD.MM.RRRR"),"")</f>
        <v/>
      </c>
      <c r="O36" s="305" t="s">
        <v>3435</v>
      </c>
    </row>
    <row r="37" spans="1:15" ht="12.75" customHeight="1" hidden="1">
      <c r="A37" s="298" t="s">
        <v>397</v>
      </c>
      <c r="B37" s="356">
        <f>'DAP3'!D43</f>
        <v>0.0</v>
      </c>
      <c r="C37" s="305" t="s">
        <v>3435</v>
      </c>
      <c r="E37" s="298" t="s">
        <v>467</v>
      </c>
      <c r="F37" s="354" t="str">
        <f>IF('DAP1'!B38&lt;&gt;"",'DAP1'!B38,"")</f>
        <v/>
      </c>
      <c r="I37" s="298" t="s">
        <v>529</v>
      </c>
      <c r="J37">
        <f>'DAP4'!K16</f>
        <v>0.0</v>
      </c>
      <c r="K37" t="s">
        <v>3435</v>
      </c>
      <c r="M37" s="298" t="s">
        <v>551</v>
      </c>
      <c r="N37" s="354" t="str">
        <f>IF('1Př2'!A3&lt;&gt;0,TEXT('1Př2'!A3,"DD.MM.RRRR"),"")</f>
        <v/>
      </c>
      <c r="O37" s="305" t="s">
        <v>3435</v>
      </c>
    </row>
    <row r="38" spans="1:15" ht="12.75" customHeight="1" hidden="1">
      <c r="A38" s="298"/>
      <c r="B38" s="356" t="e">
        <f>IF(#REF!&lt;&gt;"",IF(#REF!&gt;0,"P","Z"),"")</f>
        <v>#REF!</v>
      </c>
      <c r="C38" s="305" t="s">
        <v>3435</v>
      </c>
      <c r="E38" s="298" t="s">
        <v>468</v>
      </c>
      <c r="F38" s="354" t="str">
        <f>IF('DAP1'!B39&lt;&gt;"",'DAP1'!B39,"")</f>
        <v/>
      </c>
      <c r="I38" s="298" t="s">
        <v>530</v>
      </c>
      <c r="J38">
        <f>'DAP4'!K12</f>
        <v>0.0</v>
      </c>
      <c r="K38" t="s">
        <v>3435</v>
      </c>
      <c r="M38" s="298" t="s">
        <v>552</v>
      </c>
      <c r="N38" s="356">
        <f>'1Př1'!A27</f>
        <v>0.0</v>
      </c>
      <c r="O38" s="305" t="s">
        <v>3696</v>
      </c>
    </row>
    <row r="39" spans="1:15" ht="12.75" customHeight="1" hidden="1">
      <c r="A39" s="298" t="s">
        <v>399</v>
      </c>
      <c r="B39" s="356">
        <f>'DAP3'!D45</f>
        <v>0.0</v>
      </c>
      <c r="C39" s="305" t="s">
        <v>3435</v>
      </c>
      <c r="E39" s="298" t="s">
        <v>469</v>
      </c>
      <c r="F39" s="354" t="str">
        <f>IF('DAP1'!G38&lt;&gt;"",'DAP1'!G35,"")</f>
        <v/>
      </c>
      <c r="I39" s="298" t="s">
        <v>531</v>
      </c>
      <c r="K39" s="305" t="s">
        <v>3438</v>
      </c>
      <c r="M39" s="298" t="s">
        <v>553</v>
      </c>
      <c r="N39" s="356">
        <f>'1Př1'!F14</f>
        <v>0.0</v>
      </c>
      <c r="O39" s="305" t="s">
        <v>3435</v>
      </c>
    </row>
    <row r="40" spans="1:19" ht="12.75" customHeight="1" hidden="1">
      <c r="A40" s="298" t="s">
        <v>400</v>
      </c>
      <c r="B40" s="356">
        <f>'DAP3'!D44</f>
        <v>0.0</v>
      </c>
      <c r="C40" s="305" t="s">
        <v>3435</v>
      </c>
      <c r="E40" s="298" t="s">
        <v>470</v>
      </c>
      <c r="F40" s="299" t="str">
        <f>IF(AND(LEN('DAP4'!A34)&gt;6,ISNUMBER(SEARCH(".",'DAP4'!A34))),'DAP4'!A34,"")</f>
        <v/>
      </c>
      <c r="G40" s="305" t="s">
        <v>3446</v>
      </c>
      <c r="I40" s="298" t="s">
        <v>532</v>
      </c>
      <c r="J40">
        <f>'DAP4'!K11</f>
        <v>0.0</v>
      </c>
      <c r="K40" s="305" t="s">
        <v>3435</v>
      </c>
      <c r="M40" s="298" t="s">
        <v>554</v>
      </c>
      <c r="N40" s="356">
        <f>'1Př1'!E27</f>
        <v>0.0</v>
      </c>
      <c r="O40" s="305" t="s">
        <v>3435</v>
      </c>
      <c r="Q40" t="s">
        <v>574</v>
      </c>
      <c r="R40" s="298" t="s">
        <v>598</v>
      </c>
      <c r="S40" s="301" t="s">
        <v>596</v>
      </c>
    </row>
    <row r="41" spans="1:19" ht="12.75" customHeight="1" hidden="1">
      <c r="A41" s="298" t="s">
        <v>401</v>
      </c>
      <c r="B41" s="356" t="str">
        <f>IF(AND('DAP3'!D44&lt;&gt;"",'DAP3'!D44&lt;&gt;0),'DAP3'!D44,"")</f>
        <v/>
      </c>
      <c r="C41" s="305" t="s">
        <v>3435</v>
      </c>
      <c r="E41" s="298" t="s">
        <v>471</v>
      </c>
      <c r="F41" s="299" t="str">
        <f>IF(AND(LEN('DAP4'!A34)&lt;=4,'DAP4'!A34&lt;&gt;""),'DAP4'!A34,"")</f>
        <v/>
      </c>
      <c r="G41" s="305" t="s">
        <v>3446</v>
      </c>
      <c r="I41" s="298" t="s">
        <v>533</v>
      </c>
      <c r="J41">
        <f>'DAP4'!K20</f>
        <v>0.0</v>
      </c>
      <c r="K41" s="305" t="s">
        <v>3435</v>
      </c>
      <c r="M41" s="298" t="s">
        <v>555</v>
      </c>
      <c r="N41" s="356">
        <f>'1Př1'!I27</f>
        <v>0.0</v>
      </c>
      <c r="O41" s="305" t="s">
        <v>3435</v>
      </c>
      <c r="R41" s="356" t="str">
        <f>IF('1Př2'!F20&lt;&gt;"",'1Př2'!F20,"")</f>
        <v/>
      </c>
      <c r="S41" s="299" t="str">
        <f>IF('1Př2'!B20&lt;&gt;"",'1Př2'!B20,"")</f>
        <v/>
      </c>
    </row>
    <row r="42" spans="1:19" ht="12.75" customHeight="1" hidden="1">
      <c r="A42" s="298" t="s">
        <v>402</v>
      </c>
      <c r="B42" s="356">
        <f>'DAP3'!E8</f>
        <v>0.0</v>
      </c>
      <c r="C42" s="305" t="s">
        <v>3435</v>
      </c>
      <c r="E42" s="298" t="s">
        <v>472</v>
      </c>
      <c r="F42" s="299" t="str">
        <f>IF(AND(LEN('DAP4'!A34)&lt;9,LEN('DAP4'!A34)&gt;5),'DAP4'!A34,"")</f>
        <v/>
      </c>
      <c r="G42" s="305" t="s">
        <v>3446</v>
      </c>
      <c r="I42" s="298" t="s">
        <v>534</v>
      </c>
      <c r="J42">
        <f>'DAP4'!K9</f>
        <v>0.0</v>
      </c>
      <c r="K42" s="305" t="s">
        <v>3435</v>
      </c>
      <c r="M42" s="298" t="s">
        <v>556</v>
      </c>
      <c r="N42" s="356">
        <f>'1Př1'!F22</f>
        <v>0.0</v>
      </c>
      <c r="O42" s="305" t="s">
        <v>3435</v>
      </c>
      <c r="R42" s="356" t="str">
        <f>IF('1Př2'!F21&lt;&gt;"",'1Př2'!F21,"")</f>
        <v/>
      </c>
      <c r="S42" s="299" t="str">
        <f>IF('1Př2'!B21&lt;&gt;"",'1Př2'!B21,"")</f>
        <v/>
      </c>
    </row>
    <row r="43" spans="1:19" ht="12.75" customHeight="1" hidden="1">
      <c r="A43" s="298" t="s">
        <v>403</v>
      </c>
      <c r="B43" s="356">
        <f>'DAP3'!D46</f>
        <v>0.0</v>
      </c>
      <c r="C43" s="305" t="s">
        <v>3435</v>
      </c>
      <c r="E43" s="298" t="s">
        <v>473</v>
      </c>
      <c r="F43" s="299" t="str">
        <f>IF(AND(OR(F40&lt;&gt;"",F41&lt;&gt;""),ZAKL_DATA!D20&lt;&gt;""),ZAKL_DATA!D20,"")</f>
        <v/>
      </c>
      <c r="G43" s="305" t="s">
        <v>3446</v>
      </c>
      <c r="I43" s="298" t="s">
        <v>535</v>
      </c>
      <c r="J43">
        <f>'DAP4'!K13</f>
        <v>0.0</v>
      </c>
      <c r="K43" s="305" t="s">
        <v>3435</v>
      </c>
      <c r="M43" s="298" t="s">
        <v>557</v>
      </c>
      <c r="N43" s="356">
        <f>'1Př1'!F17</f>
        <v>0.0</v>
      </c>
      <c r="O43" s="305" t="s">
        <v>3435</v>
      </c>
      <c r="R43" s="356" t="str">
        <f>IF('1Př2'!F22&lt;&gt;"",'1Př2'!F22,"")</f>
        <v/>
      </c>
      <c r="S43" s="299" t="str">
        <f>IF('1Př2'!B22&lt;&gt;"",'1Př2'!B22,"")</f>
        <v/>
      </c>
    </row>
    <row r="44" spans="1:19" ht="12.75" customHeight="1" hidden="1">
      <c r="A44" s="298" t="s">
        <v>404</v>
      </c>
      <c r="B44" s="356">
        <f>'DAP3'!D41</f>
        <v>0.0</v>
      </c>
      <c r="C44" s="305" t="s">
        <v>3435</v>
      </c>
      <c r="E44" s="298" t="s">
        <v>474</v>
      </c>
      <c r="F44" s="299" t="str">
        <f>IF('DAP4'!C30&lt;&gt;0,'DAP4'!C30,"")</f>
        <v/>
      </c>
      <c r="G44" s="305" t="s">
        <v>3446</v>
      </c>
      <c r="I44" s="298" t="s">
        <v>536</v>
      </c>
      <c r="J44">
        <f>'DAP4'!K6</f>
        <v>0.0</v>
      </c>
      <c r="K44" s="305" t="s">
        <v>3435</v>
      </c>
      <c r="M44" s="298" t="s">
        <v>558</v>
      </c>
      <c r="N44" s="356">
        <f>'1Př1'!F19</f>
        <v>0.0</v>
      </c>
      <c r="O44" s="305" t="s">
        <v>3435</v>
      </c>
      <c r="R44" s="356" t="str">
        <f>IF('1Př2'!F23&lt;&gt;"",'1Př2'!F23,"")</f>
        <v/>
      </c>
      <c r="S44" s="299" t="str">
        <f>IF('1Př2'!B23&lt;&gt;"",'1Př2'!B23,"")</f>
        <v/>
      </c>
    </row>
    <row r="45" spans="1:15" ht="12.75" customHeight="1" hidden="1">
      <c r="A45" s="298" t="s">
        <v>405</v>
      </c>
      <c r="B45" s="356">
        <f>'DAP3'!D40</f>
        <v>0.0</v>
      </c>
      <c r="C45" s="305" t="s">
        <v>3435</v>
      </c>
      <c r="E45" s="298" t="s">
        <v>475</v>
      </c>
      <c r="F45" s="299" t="str">
        <f>'DAP4'!A32</f>
        <v xml:space="preserve">  </v>
      </c>
      <c r="G45" s="305" t="s">
        <v>3446</v>
      </c>
      <c r="I45" s="298" t="s">
        <v>537</v>
      </c>
      <c r="J45">
        <v>0.0</v>
      </c>
      <c r="K45" s="361" t="s">
        <v>3695</v>
      </c>
      <c r="M45" s="298" t="s">
        <v>559</v>
      </c>
      <c r="N45" s="356">
        <f>'1Př1'!F11</f>
        <v>0.0</v>
      </c>
      <c r="O45" s="305" t="s">
        <v>3435</v>
      </c>
    </row>
    <row r="46" spans="1:19" ht="12.75" customHeight="1" hidden="1">
      <c r="A46" s="298" t="s">
        <v>406</v>
      </c>
      <c r="B46" s="356">
        <f>'DAP3'!D48</f>
        <v>0.0</v>
      </c>
      <c r="C46" s="305" t="s">
        <v>3435</v>
      </c>
      <c r="E46" s="298" t="s">
        <v>476</v>
      </c>
      <c r="F46" s="299" t="str">
        <f>IF(AND(OR(F40&lt;&gt;"",F41&lt;&gt;""),ZAKL_DATA!D21&lt;&gt;""),ZAKL_DATA!D21,"")</f>
        <v/>
      </c>
      <c r="G46" s="305" t="s">
        <v>3446</v>
      </c>
      <c r="I46" s="298" t="s">
        <v>538</v>
      </c>
      <c r="J46" t="str">
        <f>IF((ABS('6Př'!E20)+ABS('6Př'!F20))&lt;&gt;0,"1","0")</f>
        <v>0</v>
      </c>
      <c r="M46" s="298" t="s">
        <v>560</v>
      </c>
      <c r="N46" s="356">
        <f>'1Př1'!F16</f>
        <v>0.0</v>
      </c>
      <c r="O46" s="305" t="s">
        <v>3435</v>
      </c>
      <c r="R46" s="305" t="s">
        <v>3435</v>
      </c>
      <c r="S46" s="305" t="s">
        <v>3435</v>
      </c>
    </row>
    <row r="47" spans="1:15" ht="12.75" customHeight="1" hidden="1">
      <c r="A47" s="298" t="s">
        <v>407</v>
      </c>
      <c r="B47" s="356" t="str">
        <f>IF(AND('DAP3'!D34&lt;&gt;"",'DAP3'!D34&lt;&gt;0),'DAP3'!D34,"")</f>
        <v/>
      </c>
      <c r="C47" s="305" t="s">
        <v>3435</v>
      </c>
      <c r="E47" s="298" t="s">
        <v>477</v>
      </c>
      <c r="F47" s="299" t="str">
        <f>IF(OR('DAP4'!C30="4a",'DAP4'!C30="4b"),"F",IF(OR('DAP4'!C30="4c",'DAP4'!C30="4d"),"P",""))</f>
        <v/>
      </c>
      <c r="G47" s="305" t="s">
        <v>3446</v>
      </c>
      <c r="I47" s="298" t="s">
        <v>539</v>
      </c>
      <c r="J47">
        <f>IF('DAP4'!K26&lt;&gt;"",'DAP4'!K26,"")</f>
        <v>0.0</v>
      </c>
      <c r="M47" s="298" t="s">
        <v>561</v>
      </c>
      <c r="N47" s="356">
        <f>'1Př1'!F15</f>
        <v>0.0</v>
      </c>
      <c r="O47" s="305" t="s">
        <v>3435</v>
      </c>
    </row>
    <row r="48" spans="1:15" ht="12.75" customHeight="1" hidden="1">
      <c r="A48" s="298" t="s">
        <v>408</v>
      </c>
      <c r="B48" s="356" t="str">
        <f>IF(AND('DAP3'!D37&lt;&gt;"",'DAP3'!D37&lt;&gt;0),'DAP3'!D37,"")</f>
        <v/>
      </c>
      <c r="C48" s="305" t="s">
        <v>3435</v>
      </c>
      <c r="I48" s="298" t="s">
        <v>540</v>
      </c>
      <c r="J48" s="354">
        <f>'DAP4'!K4</f>
        <v>0.0</v>
      </c>
      <c r="K48" s="305" t="s">
        <v>3435</v>
      </c>
      <c r="M48" s="298" t="s">
        <v>562</v>
      </c>
      <c r="N48" s="356">
        <f>'1Př1'!F12</f>
        <v>0.0</v>
      </c>
      <c r="O48" s="305" t="s">
        <v>3435</v>
      </c>
    </row>
    <row r="49" spans="1:15" ht="12.75" customHeight="1" hidden="1">
      <c r="A49" s="298" t="s">
        <v>409</v>
      </c>
      <c r="B49" s="354" t="str">
        <f>IF('DAP1'!F41&lt;&gt;"",'DAP1'!F41,"")</f>
        <v/>
      </c>
      <c r="C49" s="305" t="s">
        <v>3435</v>
      </c>
      <c r="I49" s="298" t="s">
        <v>541</v>
      </c>
      <c r="J49" s="354">
        <f>'DAP4'!K5</f>
        <v>0.0</v>
      </c>
      <c r="K49" s="305" t="s">
        <v>3435</v>
      </c>
      <c r="M49" s="298" t="s">
        <v>563</v>
      </c>
      <c r="N49" s="356">
        <f>'1Př1'!F18</f>
        <v>0.0</v>
      </c>
      <c r="O49" s="305" t="s">
        <v>3435</v>
      </c>
    </row>
    <row r="50" spans="1:19" ht="12.75" customHeight="1" hidden="1">
      <c r="A50" s="298" t="s">
        <v>410</v>
      </c>
      <c r="B50">
        <f>'DAP3'!D5</f>
        <v>0.0</v>
      </c>
      <c r="C50" s="305" t="s">
        <v>3435</v>
      </c>
      <c r="E50" s="298" t="s">
        <v>3690</v>
      </c>
      <c r="F50" s="299" t="e">
        <f>IF(#REF!&lt;&gt;"",IF(#REF!&gt;0,"P","Z"),"")</f>
        <v>#REF!</v>
      </c>
      <c r="I50" s="298" t="s">
        <v>542</v>
      </c>
      <c r="J50">
        <f>'DAP4'!K22</f>
        <v>0.0</v>
      </c>
      <c r="K50" s="305" t="s">
        <v>3435</v>
      </c>
      <c r="M50" s="298" t="s">
        <v>564</v>
      </c>
      <c r="N50" s="356">
        <f>'1Př1'!F20</f>
        <v>0.0</v>
      </c>
      <c r="O50" s="305" t="s">
        <v>3435</v>
      </c>
      <c r="Q50" t="s">
        <v>600</v>
      </c>
      <c r="R50" s="298" t="s">
        <v>601</v>
      </c>
      <c r="S50" s="301" t="s">
        <v>599</v>
      </c>
    </row>
    <row r="51" spans="1:19" ht="12.75" customHeight="1" hidden="1">
      <c r="A51" s="298" t="s">
        <v>3561</v>
      </c>
      <c r="B51">
        <f>'DAP3'!F21</f>
        <v>0.0</v>
      </c>
      <c r="C51" s="305" t="s">
        <v>3435</v>
      </c>
      <c r="E51" s="298" t="s">
        <v>3690</v>
      </c>
      <c r="F51" s="299" t="e">
        <f>IF(#REF!&lt;&gt;"",IF(#REF!&gt;0,"P","Z"),"")</f>
        <v>#REF!</v>
      </c>
      <c r="I51" s="298" t="s">
        <v>543</v>
      </c>
      <c r="J51">
        <f>'DAP4'!K21</f>
        <v>0.0</v>
      </c>
      <c r="K51" s="305" t="s">
        <v>3435</v>
      </c>
      <c r="M51" s="298" t="s">
        <v>565</v>
      </c>
      <c r="N51" s="356">
        <f>'1Př1'!F23</f>
        <v>0.0</v>
      </c>
      <c r="O51" s="305" t="s">
        <v>3435</v>
      </c>
      <c r="R51" t="str">
        <f>IF('1Př2'!F26&lt;&gt;"",'1Př2'!F26,"")</f>
        <v/>
      </c>
      <c r="S51" s="354" t="str">
        <f>IF('1Př2'!B26&lt;&gt;"",'1Př2'!B26,"")</f>
        <v/>
      </c>
    </row>
    <row r="52" spans="1:19" ht="12.75" customHeight="1" hidden="1">
      <c r="A52" s="298" t="s">
        <v>3562</v>
      </c>
      <c r="B52">
        <f>'DAP3'!G21</f>
        <v>0.0</v>
      </c>
      <c r="C52" s="305" t="s">
        <v>3435</v>
      </c>
      <c r="E52" s="298" t="s">
        <v>3690</v>
      </c>
      <c r="F52" s="299" t="e">
        <f>IF(#REF!&lt;&gt;"",IF(#REF!&gt;0,"P","Z"),"")</f>
        <v>#REF!</v>
      </c>
      <c r="I52" s="298" t="s">
        <v>3571</v>
      </c>
      <c r="J52" t="str">
        <f>IF('DAP4'!K17&lt;&gt;"",'DAP4'!K17,"")</f>
        <v/>
      </c>
      <c r="K52" s="369"/>
      <c r="M52" s="298" t="s">
        <v>566</v>
      </c>
      <c r="N52" s="356" t="e">
        <f>'1Př1'!#REF!</f>
        <v>#REF!</v>
      </c>
      <c r="O52" s="305" t="s">
        <v>3435</v>
      </c>
      <c r="R52" t="str">
        <f>IF('1Př2'!F27&lt;&gt;"",'1Př2'!F27,"")</f>
        <v/>
      </c>
      <c r="S52" s="299" t="str">
        <f>IF('1Př2'!B27&lt;&gt;"",'1Př2'!B27,"")</f>
        <v/>
      </c>
    </row>
    <row r="53" spans="1:19" ht="12.75" customHeight="1" hidden="1">
      <c r="A53" s="298" t="s">
        <v>411</v>
      </c>
      <c r="B53">
        <f>'DAP3'!D6</f>
        <v>0.0</v>
      </c>
      <c r="C53" s="305" t="s">
        <v>3435</v>
      </c>
      <c r="I53" s="298" t="s">
        <v>3903</v>
      </c>
      <c r="J53">
        <f>'DAP4'!K24</f>
        <v>0.0</v>
      </c>
      <c r="M53" s="298" t="s">
        <v>567</v>
      </c>
      <c r="N53">
        <f>'1Př2'!G3</f>
        <v>12.0</v>
      </c>
      <c r="O53" s="305" t="s">
        <v>3435</v>
      </c>
      <c r="R53" t="str">
        <f>IF('1Př2'!F28&lt;&gt;"",'1Př2'!F28,"")</f>
        <v/>
      </c>
      <c r="S53" s="299" t="str">
        <f>IF('1Př2'!B28&lt;&gt;"",'1Př2'!B28,"")</f>
        <v/>
      </c>
    </row>
    <row r="54" spans="1:19" ht="12.75" customHeight="1" hidden="1">
      <c r="A54" s="298" t="s">
        <v>412</v>
      </c>
      <c r="B54">
        <f>'DAP3'!D4</f>
        <v>0.0</v>
      </c>
      <c r="C54" s="305" t="s">
        <v>3435</v>
      </c>
      <c r="I54" s="298" t="s">
        <v>3904</v>
      </c>
      <c r="J54">
        <f>'DAP4'!K7</f>
        <v>0.0</v>
      </c>
      <c r="M54" s="298" t="s">
        <v>568</v>
      </c>
      <c r="N54" s="356">
        <f>'1Př1'!F30</f>
        <v>0.0</v>
      </c>
      <c r="O54" s="305" t="s">
        <v>3435</v>
      </c>
      <c r="R54" t="str">
        <f>IF('1Př2'!F29&lt;&gt;"",'1Př2'!F29,"")</f>
        <v/>
      </c>
      <c r="S54" s="299" t="str">
        <f>IF('1Př2'!B29&lt;&gt;"",'1Př2'!B29,"")</f>
        <v/>
      </c>
    </row>
    <row r="55" spans="1:15" ht="12.75" customHeight="1" hidden="1">
      <c r="A55" s="298" t="s">
        <v>413</v>
      </c>
      <c r="B55">
        <f>'DAP3'!D8</f>
        <v>0.0</v>
      </c>
      <c r="C55" s="305" t="s">
        <v>3435</v>
      </c>
      <c r="I55" s="298"/>
      <c r="M55" s="298" t="s">
        <v>569</v>
      </c>
      <c r="N55" s="360" t="str">
        <f>IF(AND('1Př1'!E30*100&lt;&gt;0,'1Př1'!E30&lt;&gt;""),'1Př1'!E30*100,"")</f>
        <v/>
      </c>
      <c r="O55" s="305" t="s">
        <v>3435</v>
      </c>
    </row>
    <row r="56" spans="1:19" ht="12.75" customHeight="1" hidden="1">
      <c r="A56" s="298" t="s">
        <v>414</v>
      </c>
      <c r="B56">
        <f>'DAP3'!D3</f>
        <v>0.0</v>
      </c>
      <c r="C56" s="305" t="s">
        <v>3435</v>
      </c>
      <c r="M56" s="298" t="s">
        <v>570</v>
      </c>
      <c r="N56" s="356">
        <f>'1Př1'!H30</f>
        <v>0.0</v>
      </c>
      <c r="O56" s="305" t="s">
        <v>3435</v>
      </c>
      <c r="R56" s="305" t="s">
        <v>3435</v>
      </c>
      <c r="S56" s="305" t="s">
        <v>3435</v>
      </c>
    </row>
    <row r="57" spans="1:15" ht="12.75" customHeight="1" hidden="1">
      <c r="A57" s="298" t="s">
        <v>415</v>
      </c>
      <c r="B57">
        <f>'DAP3'!D7</f>
        <v>0.0</v>
      </c>
      <c r="C57" s="305" t="s">
        <v>3435</v>
      </c>
      <c r="M57" s="298" t="s">
        <v>571</v>
      </c>
      <c r="N57" s="354">
        <f>IF(AND('1Př1'!C8&lt;&gt;"",'1Př1'!G8=""),1,IF(AND('1Př1'!C8="",'1Př1'!G8&lt;&gt;""),2,""))</f>
        <v>1.0</v>
      </c>
      <c r="O57" s="305" t="s">
        <v>3435</v>
      </c>
    </row>
    <row r="58" spans="1:14" ht="12.75" customHeight="1" hidden="1">
      <c r="A58" s="298" t="s">
        <v>416</v>
      </c>
      <c r="B58" s="305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305" t="s">
        <v>3435</v>
      </c>
      <c r="M58" s="298" t="s">
        <v>572</v>
      </c>
      <c r="N58" s="354" t="str">
        <f>IF('1Př1'!K8&lt;&gt;"","A","N")</f>
        <v>N</v>
      </c>
    </row>
    <row r="59" spans="1:14" ht="12.75" customHeight="1" hidden="1">
      <c r="A59" s="298" t="s">
        <v>417</v>
      </c>
      <c r="B59" s="305" t="str">
        <f>IF(ISNUMBER(FIND(" ",'DAP2'!C45)),LEFT('DAP2'!C45,(FIND(" ",'DAP2'!C45,1))-1),"")</f>
        <v/>
      </c>
      <c r="C59" s="305" t="s">
        <v>3435</v>
      </c>
      <c r="M59" s="298" t="s">
        <v>3733</v>
      </c>
      <c r="N59" s="299" t="e">
        <f>IF('1Př1'!#REF!&lt;&gt;"","A","N")</f>
        <v>#REF!</v>
      </c>
    </row>
    <row r="60" spans="1:22" ht="12.75" customHeight="1" hidden="1">
      <c r="A60" s="298" t="s">
        <v>418</v>
      </c>
      <c r="B60" s="305" t="str">
        <f>IF('DAP2'!H45&lt;&gt;"",'DAP2'!H45,"")</f>
        <v/>
      </c>
      <c r="C60" s="305" t="s">
        <v>3435</v>
      </c>
      <c r="E60" t="s">
        <v>578</v>
      </c>
      <c r="I60" t="s">
        <v>615</v>
      </c>
      <c r="N60" t="str">
        <f>IF(OR(N57="2",N58="A"),"A","N")</f>
        <v>N</v>
      </c>
      <c r="Q60" t="s">
        <v>603</v>
      </c>
      <c r="R60" s="298" t="s">
        <v>602</v>
      </c>
      <c r="S60" s="301" t="s">
        <v>604</v>
      </c>
      <c r="T60" s="301" t="s">
        <v>605</v>
      </c>
      <c r="U60" s="301" t="s">
        <v>606</v>
      </c>
      <c r="V60" s="301" t="s">
        <v>607</v>
      </c>
    </row>
    <row r="61" spans="1:22" ht="12.75" customHeight="1" hidden="1">
      <c r="A61" s="298" t="s">
        <v>419</v>
      </c>
      <c r="B61" s="305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305" t="s">
        <v>3435</v>
      </c>
      <c r="E61" s="298" t="s">
        <v>579</v>
      </c>
      <c r="F61" s="356">
        <f>IF(OR(N57=2,N58="A"),"",'1Př2'!F7)</f>
        <v>0.0</v>
      </c>
      <c r="G61" t="s">
        <v>3435</v>
      </c>
      <c r="I61" s="298" t="s">
        <v>622</v>
      </c>
      <c r="J61" s="356">
        <f>'2Př'!G11</f>
        <v>0.0</v>
      </c>
      <c r="K61" s="305" t="s">
        <v>3435</v>
      </c>
      <c r="R61" s="354" t="str">
        <f>IF('1Př2'!E33&lt;&gt;"",MID('1Př2'!E33,3,LEN('1Př2'!E33)-2),"")</f>
        <v/>
      </c>
      <c r="S61" s="354" t="str">
        <f>IF('1Př2'!B33&lt;&gt;"",'1Př2'!B33,"")</f>
        <v/>
      </c>
      <c r="T61" s="299" t="str">
        <f>IF('1Př2'!F33&lt;&gt;"",'1Př2'!F33*100,"")</f>
        <v/>
      </c>
      <c r="U61" t="str">
        <f>IF('1Př2'!G33&lt;&gt;"",'1Př2'!G33*100,"")</f>
        <v/>
      </c>
      <c r="V61" s="354" t="str">
        <f>IF('1Př2'!C33&lt;&gt;"",'1Př2'!C33,"")</f>
        <v/>
      </c>
    </row>
    <row r="62" spans="1:22" ht="12.75" customHeight="1" hidden="1">
      <c r="A62" s="298" t="s">
        <v>420</v>
      </c>
      <c r="B62" s="354" t="str">
        <f>IF(AND('DAP1'!J17&lt;&gt;"",'DAP1'!L17=""),"A",IF(AND('DAP1'!J17="",'DAP1'!L17&lt;&gt;""),"N",""))</f>
        <v>N</v>
      </c>
      <c r="C62" s="305" t="s">
        <v>3435</v>
      </c>
      <c r="E62" s="298" t="s">
        <v>580</v>
      </c>
      <c r="F62" s="356">
        <f>IF(OR(N57=2,N58="A"),"",'1Př2'!F10)</f>
        <v>0.0</v>
      </c>
      <c r="G62" t="s">
        <v>3435</v>
      </c>
      <c r="I62" s="298" t="s">
        <v>623</v>
      </c>
      <c r="J62" s="356">
        <f>'2Př'!G33</f>
        <v>0.0</v>
      </c>
      <c r="K62" s="305" t="s">
        <v>3435</v>
      </c>
      <c r="R62" s="299" t="str">
        <f>IF('1Př2'!E34&lt;&gt;"",MID('1Př2'!E34,3,LEN('1Př2'!E34)-2),"")</f>
        <v/>
      </c>
      <c r="S62" s="299" t="str">
        <f>IF('1Př2'!B34&lt;&gt;"",'1Př2'!B34,"")</f>
        <v/>
      </c>
      <c r="T62" s="299" t="str">
        <f>IF('1Př2'!F34&lt;&gt;"",'1Př2'!F34*100,"")</f>
        <v/>
      </c>
      <c r="U62" t="str">
        <f>IF('1Př2'!G34&lt;&gt;"",'1Př2'!G34*100,"")</f>
        <v/>
      </c>
      <c r="V62" s="299" t="str">
        <f>IF('1Př2'!C34&lt;&gt;"",'1Př2'!C34,"")</f>
        <v/>
      </c>
    </row>
    <row r="63" spans="1:22" ht="12.75" customHeight="1" hidden="1">
      <c r="A63" s="298" t="s">
        <v>421</v>
      </c>
      <c r="B63" s="354" t="str">
        <f>IF(AND('DAP1'!F43&lt;&gt;"",'DAP1'!H43=""),"A",IF(AND('DAP1'!F43="",'DAP1'!H43&lt;&gt;""),"N",""))</f>
        <v>N</v>
      </c>
      <c r="C63" s="305" t="s">
        <v>3435</v>
      </c>
      <c r="E63" s="298" t="s">
        <v>581</v>
      </c>
      <c r="F63" s="356">
        <f>IF(OR(N57=2,N58="A"),"",'1Př2'!F11)</f>
        <v>0.0</v>
      </c>
      <c r="G63" t="s">
        <v>3435</v>
      </c>
      <c r="I63" s="298" t="s">
        <v>624</v>
      </c>
      <c r="J63" s="356">
        <f>'2Př'!G10</f>
        <v>0.0</v>
      </c>
      <c r="K63" s="305" t="s">
        <v>3435</v>
      </c>
      <c r="R63" s="299" t="str">
        <f>IF('1Př2'!E35&lt;&gt;"",MID('1Př2'!E35,3,LEN('1Př2'!E35)-2),"")</f>
        <v/>
      </c>
      <c r="S63" s="299" t="str">
        <f>IF('1Př2'!B35&lt;&gt;"",'1Př2'!B35,"")</f>
        <v/>
      </c>
      <c r="T63" s="299" t="str">
        <f>IF('1Př2'!F35&lt;&gt;"",'1Př2'!F35*100,"")</f>
        <v/>
      </c>
      <c r="U63" t="str">
        <f>IF('1Př2'!G35&lt;&gt;"",'1Př2'!G35*100,"")</f>
        <v/>
      </c>
      <c r="V63" s="299" t="str">
        <f>IF('1Př2'!C35&lt;&gt;"",'1Př2'!C35,"")</f>
        <v/>
      </c>
    </row>
    <row r="64" spans="1:11" ht="12.75" customHeight="1" hidden="1">
      <c r="A64" s="298" t="s">
        <v>422</v>
      </c>
      <c r="B64">
        <f>'DAP1'!F24</f>
        <v>2022.0</v>
      </c>
      <c r="C64" s="305" t="s">
        <v>3435</v>
      </c>
      <c r="E64" s="298" t="s">
        <v>582</v>
      </c>
      <c r="F64" s="356">
        <f>IF(OR(N57=2,N58="A"),"",'1Př2'!F8)</f>
        <v>0.0</v>
      </c>
      <c r="G64" t="s">
        <v>3435</v>
      </c>
      <c r="I64" s="298" t="s">
        <v>625</v>
      </c>
      <c r="J64" s="356">
        <f>'2Př'!H18</f>
        <v>0.0</v>
      </c>
      <c r="K64" s="305" t="s">
        <v>3435</v>
      </c>
    </row>
    <row r="65" spans="1:22" ht="12.75" customHeight="1" hidden="1">
      <c r="A65" s="298" t="s">
        <v>423</v>
      </c>
      <c r="B65" s="356">
        <f>'DAP2'!F43</f>
        <v>0.0</v>
      </c>
      <c r="C65" s="305" t="s">
        <v>3435</v>
      </c>
      <c r="E65" s="298" t="s">
        <v>583</v>
      </c>
      <c r="F65" s="356">
        <f>IF(OR(N57=2,N58="A"),"",'1Př2'!F9)</f>
        <v>0.0</v>
      </c>
      <c r="G65" t="s">
        <v>3435</v>
      </c>
      <c r="I65" s="298" t="s">
        <v>626</v>
      </c>
      <c r="J65" s="356">
        <f>'2Př'!C18</f>
        <v>0.0</v>
      </c>
      <c r="K65" s="305" t="s">
        <v>3435</v>
      </c>
      <c r="R65" s="305" t="s">
        <v>3435</v>
      </c>
      <c r="S65" s="305" t="s">
        <v>3435</v>
      </c>
      <c r="T65" s="305" t="s">
        <v>3435</v>
      </c>
      <c r="U65" s="305" t="s">
        <v>3435</v>
      </c>
      <c r="V65" s="305" t="s">
        <v>3435</v>
      </c>
    </row>
    <row r="66" spans="1:11" ht="12.75" customHeight="1" hidden="1">
      <c r="A66" s="298" t="s">
        <v>424</v>
      </c>
      <c r="B66" s="299"/>
      <c r="C66" s="305" t="s">
        <v>3438</v>
      </c>
      <c r="E66" s="298" t="s">
        <v>584</v>
      </c>
      <c r="F66" s="356">
        <f>IF(OR(N57=2,N58="A"),"",'1Př2'!F12)</f>
        <v>0.0</v>
      </c>
      <c r="G66" t="s">
        <v>3435</v>
      </c>
      <c r="I66" s="298" t="s">
        <v>627</v>
      </c>
      <c r="J66" s="356">
        <f>'2Př'!G13</f>
        <v>0.0</v>
      </c>
      <c r="K66" s="305" t="s">
        <v>3435</v>
      </c>
    </row>
    <row r="67" spans="1:11" ht="12.75" customHeight="1" hidden="1">
      <c r="A67" s="298" t="s">
        <v>425</v>
      </c>
      <c r="B67" s="356">
        <f>'DAP3'!E11</f>
        <v>30840.0</v>
      </c>
      <c r="E67" s="298" t="s">
        <v>585</v>
      </c>
      <c r="F67" s="356">
        <f>IF(OR(N57=2,N58="A"),"",'1Př2'!F13)</f>
        <v>0.0</v>
      </c>
      <c r="G67" t="s">
        <v>3435</v>
      </c>
      <c r="I67" s="298" t="s">
        <v>628</v>
      </c>
      <c r="J67" s="356">
        <f>'2Př'!G15</f>
        <v>0.0</v>
      </c>
      <c r="K67" s="305" t="s">
        <v>3435</v>
      </c>
    </row>
    <row r="68" spans="1:11" ht="12.75" customHeight="1" hidden="1">
      <c r="A68" s="298" t="s">
        <v>426</v>
      </c>
      <c r="B68" s="354" t="str">
        <f>IF(CONCATENATE('DAP1'!J28,'DAP1'!B28)&lt;&gt;"00",CONCATENATE('DAP1'!J28," ",'DAP1'!B28),"")</f>
        <v/>
      </c>
      <c r="C68" s="361" t="s">
        <v>3435</v>
      </c>
      <c r="E68" s="298" t="s">
        <v>586</v>
      </c>
      <c r="F68" s="356">
        <f>IF(OR(N57=2,N58="A"),"",'1Př2'!F14)</f>
        <v>0.0</v>
      </c>
      <c r="G68" t="s">
        <v>3435</v>
      </c>
      <c r="I68" s="298" t="s">
        <v>629</v>
      </c>
      <c r="J68" s="356">
        <f>'2Př'!G34</f>
        <v>0.0</v>
      </c>
      <c r="K68" s="305" t="s">
        <v>3435</v>
      </c>
    </row>
    <row r="69" spans="1:11" ht="12.75" customHeight="1" hidden="1">
      <c r="A69" s="298" t="s">
        <v>427</v>
      </c>
      <c r="B69" s="299" t="e">
        <f>IF(#REF!&lt;&gt;"",IF(#REF!&gt;0,"P","Z"),"")</f>
        <v>#REF!</v>
      </c>
      <c r="C69" s="361" t="s">
        <v>3443</v>
      </c>
      <c r="E69" s="298" t="s">
        <v>587</v>
      </c>
      <c r="F69" s="356">
        <f>IF(OR(N57=2,N58="A"),"",'1Př2'!C16)</f>
        <v>0.0</v>
      </c>
      <c r="G69" t="s">
        <v>3435</v>
      </c>
      <c r="I69" s="298" t="s">
        <v>630</v>
      </c>
      <c r="J69" s="356">
        <f>'2Př'!G12</f>
        <v>0.0</v>
      </c>
      <c r="K69" s="305" t="s">
        <v>3435</v>
      </c>
    </row>
    <row r="70" spans="1:21" ht="12.75" customHeight="1" hidden="1">
      <c r="A70" s="298" t="s">
        <v>428</v>
      </c>
      <c r="B70">
        <v>500.0</v>
      </c>
      <c r="C70" s="361" t="s">
        <v>3436</v>
      </c>
      <c r="E70" s="298" t="s">
        <v>588</v>
      </c>
      <c r="F70" s="356">
        <f>IF(OR(N57=2,N58="A"),"",'1Př2'!G7)</f>
        <v>0.0</v>
      </c>
      <c r="G70" t="s">
        <v>3435</v>
      </c>
      <c r="I70" s="298" t="s">
        <v>631</v>
      </c>
      <c r="J70" s="356">
        <f>'2Př'!G35</f>
        <v>0.0</v>
      </c>
      <c r="K70" s="305" t="s">
        <v>3435</v>
      </c>
      <c r="M70" t="s">
        <v>640</v>
      </c>
      <c r="Q70" t="s">
        <v>608</v>
      </c>
      <c r="R70" s="298" t="s">
        <v>609</v>
      </c>
      <c r="S70" s="301" t="s">
        <v>610</v>
      </c>
      <c r="T70" s="301" t="s">
        <v>611</v>
      </c>
      <c r="U70" s="301" t="s">
        <v>612</v>
      </c>
    </row>
    <row r="71" spans="1:21" ht="12.75" customHeight="1" hidden="1">
      <c r="A71" s="298" t="s">
        <v>429</v>
      </c>
      <c r="B71" s="354" t="str">
        <f>CONCATENATE("31.12.",'DAP1'!F24)</f>
        <v>31.12.2022</v>
      </c>
      <c r="E71" s="298" t="s">
        <v>589</v>
      </c>
      <c r="F71" s="356">
        <f>IF(OR(N57=2,N58="A"),"",'1Př2'!G10)</f>
        <v>0.0</v>
      </c>
      <c r="G71" t="s">
        <v>3435</v>
      </c>
      <c r="I71" s="298" t="s">
        <v>632</v>
      </c>
      <c r="J71" s="356">
        <f>'2Př'!G16</f>
        <v>0.0</v>
      </c>
      <c r="K71" s="305" t="s">
        <v>3435</v>
      </c>
      <c r="M71" s="298" t="s">
        <v>648</v>
      </c>
      <c r="N71" s="357">
        <f>'3Př'!F30</f>
        <v>0.0</v>
      </c>
      <c r="O71" s="305" t="s">
        <v>3435</v>
      </c>
      <c r="R71" s="354" t="str">
        <f>IF('1Př2'!F39&lt;&gt;"",IF(OR(ISNUMBER('1Př2'!F39),ISNUMBER(FIND("/",('1Př2'!F39)))),'1Př2'!F39,MID('1Př2'!F39,3,(LEN('1Př2'!F39)-2))),"")</f>
        <v/>
      </c>
      <c r="S71" s="354" t="str">
        <f>IF('1Př2'!B39&lt;&gt;"",'1Př2'!B39,"")</f>
        <v/>
      </c>
      <c r="T71" t="str">
        <f>IF('1Př2'!G39&lt;&gt;"",('1Př2'!G39)*100,"")</f>
        <v/>
      </c>
      <c r="U71" s="354" t="str">
        <f>IF('1Př2'!D39&lt;&gt;"",'1Př2'!D39,"")</f>
        <v/>
      </c>
    </row>
    <row r="72" spans="1:21" ht="12.75" customHeight="1" hidden="1">
      <c r="A72" s="298" t="s">
        <v>430</v>
      </c>
      <c r="B72" s="354" t="str">
        <f>CONCATENATE("01.01.",'DAP1'!F24)</f>
        <v>01.01.2022</v>
      </c>
      <c r="E72" s="298" t="s">
        <v>590</v>
      </c>
      <c r="F72" s="356">
        <f>IF(OR(N57=2,N58="A"),"",'1Př2'!G11)</f>
        <v>0.0</v>
      </c>
      <c r="G72" t="s">
        <v>3435</v>
      </c>
      <c r="I72" s="298" t="s">
        <v>633</v>
      </c>
      <c r="J72" s="356">
        <f>'2Př'!G14</f>
        <v>0.0</v>
      </c>
      <c r="K72" s="305" t="s">
        <v>3435</v>
      </c>
      <c r="M72" s="298" t="s">
        <v>649</v>
      </c>
      <c r="N72" s="357">
        <f>'3Př'!F28</f>
        <v>0.0</v>
      </c>
      <c r="O72" s="305" t="s">
        <v>3435</v>
      </c>
      <c r="R72" s="299" t="str">
        <f>IF('1Př2'!F40&lt;&gt;"",IF(OR(ISNUMBER('1Př2'!F40),ISNUMBER(FIND("/",('1Př2'!F40)))),'1Př2'!F40,MID('1Př2'!F40,3,(LEN('1Př2'!F40)-2))),"")</f>
        <v/>
      </c>
      <c r="S72" s="299" t="str">
        <f>IF('1Př2'!B40&lt;&gt;"",'1Př2'!B40,"")</f>
        <v/>
      </c>
      <c r="T72" t="str">
        <f>IF('1Př2'!G40&lt;&gt;"",('1Př2'!G40)*100,"")</f>
        <v/>
      </c>
      <c r="U72" s="299" t="str">
        <f>IF('1Př2'!D40&lt;&gt;"",'1Př2'!D40,"")</f>
        <v/>
      </c>
    </row>
    <row r="73" spans="1:15" ht="12.75" customHeight="1" hidden="1">
      <c r="A73" s="298" t="s">
        <v>3559</v>
      </c>
      <c r="B73">
        <f>'DAP3'!H21</f>
        <v>0.0</v>
      </c>
      <c r="E73" s="298" t="s">
        <v>591</v>
      </c>
      <c r="F73" s="356">
        <f>IF(OR(N57=2,N58="A"),"",'1Př2'!G8)</f>
        <v>0.0</v>
      </c>
      <c r="G73" t="s">
        <v>3435</v>
      </c>
      <c r="I73" s="298" t="s">
        <v>634</v>
      </c>
      <c r="J73" s="354" t="str">
        <f>IF('2Př'!J7&lt;&gt;"","A","N")</f>
        <v>N</v>
      </c>
      <c r="K73" s="305" t="s">
        <v>3435</v>
      </c>
      <c r="M73" s="298" t="s">
        <v>650</v>
      </c>
      <c r="N73" s="357">
        <f>'3Př'!F27</f>
        <v>0.0</v>
      </c>
      <c r="O73" s="305" t="s">
        <v>3435</v>
      </c>
    </row>
    <row r="74" spans="1:21" ht="12.75" customHeight="1" hidden="1">
      <c r="A74" s="298" t="s">
        <v>3560</v>
      </c>
      <c r="B74">
        <f>'DAP3'!J21</f>
        <v>0.0</v>
      </c>
      <c r="E74" s="298" t="s">
        <v>592</v>
      </c>
      <c r="F74" s="356">
        <f>IF(OR(N57=2,N58="A"),"",'1Př2'!G9)</f>
        <v>0.0</v>
      </c>
      <c r="G74" t="s">
        <v>3435</v>
      </c>
      <c r="I74" s="298" t="s">
        <v>635</v>
      </c>
      <c r="J74" s="356">
        <f>'2Př'!G33</f>
        <v>0.0</v>
      </c>
      <c r="K74" s="305" t="s">
        <v>3435</v>
      </c>
      <c r="M74" s="298" t="s">
        <v>488</v>
      </c>
      <c r="N74" s="356">
        <f>'DAP2'!E15</f>
        <v>0.0</v>
      </c>
      <c r="R74" s="305" t="s">
        <v>3435</v>
      </c>
      <c r="S74" s="305" t="s">
        <v>3435</v>
      </c>
      <c r="T74" s="305" t="s">
        <v>3435</v>
      </c>
      <c r="U74" s="305" t="s">
        <v>3435</v>
      </c>
    </row>
    <row r="75" spans="1:14" ht="12.75" customHeight="1" hidden="1">
      <c r="A75" t="s">
        <v>3563</v>
      </c>
      <c r="B75">
        <f>'DAP3'!I21</f>
        <v>0.0</v>
      </c>
      <c r="E75" s="298" t="s">
        <v>593</v>
      </c>
      <c r="F75" s="356">
        <f>IF(OR(N57=2,N58="A"),"",'1Př2'!G12)</f>
        <v>0.0</v>
      </c>
      <c r="G75" t="s">
        <v>3435</v>
      </c>
      <c r="I75" s="298" t="s">
        <v>636</v>
      </c>
      <c r="J75" s="356">
        <f>'2Př'!G35</f>
        <v>0.0</v>
      </c>
      <c r="K75" s="305" t="s">
        <v>3435</v>
      </c>
      <c r="M75" s="298" t="s">
        <v>489</v>
      </c>
      <c r="N75" s="356">
        <f>'DAP2'!E10</f>
        <v>0.0</v>
      </c>
    </row>
    <row r="76" spans="1:14" ht="12.75" customHeight="1" hidden="1">
      <c r="A76" s="298" t="s">
        <v>3564</v>
      </c>
      <c r="B76">
        <f>'DAP3'!K21</f>
        <v>0.0</v>
      </c>
      <c r="E76" s="298" t="s">
        <v>594</v>
      </c>
      <c r="F76" s="356">
        <f>IF(OR(N57=2,N58="A"),"",'1Př2'!G13)</f>
        <v>0.0</v>
      </c>
      <c r="G76" t="s">
        <v>3435</v>
      </c>
      <c r="I76" s="298" t="s">
        <v>637</v>
      </c>
      <c r="J76" s="356">
        <f>'2Př'!G34</f>
        <v>0.0</v>
      </c>
      <c r="K76" s="305" t="s">
        <v>3435</v>
      </c>
      <c r="M76" s="298" t="s">
        <v>3905</v>
      </c>
      <c r="N76" s="356">
        <f>'3Př'!F10</f>
        <v>0.0</v>
      </c>
    </row>
    <row r="77" spans="1:14" ht="12.75" customHeight="1" hidden="1">
      <c r="A77" s="298" t="s">
        <v>3565</v>
      </c>
      <c r="B77" s="305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98" t="s">
        <v>595</v>
      </c>
      <c r="F77" s="356">
        <f>IF(OR(N57=2,N58="A"),"",'1Př2'!G14)</f>
        <v>0.0</v>
      </c>
      <c r="G77" t="s">
        <v>3435</v>
      </c>
      <c r="I77" s="298" t="s">
        <v>638</v>
      </c>
      <c r="J77" s="354" t="str">
        <f>IF('2Př'!D7&lt;&gt;"","A","N")</f>
        <v>N</v>
      </c>
      <c r="K77" s="305" t="s">
        <v>3435</v>
      </c>
      <c r="M77" s="298" t="s">
        <v>3906</v>
      </c>
      <c r="N77" s="357">
        <f>'3Př'!F30</f>
        <v>0.0</v>
      </c>
    </row>
    <row r="78" spans="1:14" ht="12.75" customHeight="1" hidden="1">
      <c r="A78" s="298" t="s">
        <v>3689</v>
      </c>
      <c r="B78" t="str">
        <f>IF('DAP3'!E10&lt;&gt;"",'DAP3'!E10,"")</f>
        <v/>
      </c>
      <c r="I78" s="298" t="s">
        <v>3734</v>
      </c>
      <c r="J78" s="299" t="e">
        <f>IF('2Př'!#REF!&lt;&gt;"","A","N")</f>
        <v>#REF!</v>
      </c>
      <c r="M78" s="298" t="s">
        <v>3907</v>
      </c>
      <c r="N78" s="622">
        <f>'3Př'!F12</f>
        <v>0.0</v>
      </c>
    </row>
    <row r="79" spans="1:14" ht="12.75" customHeight="1" hidden="1">
      <c r="A79" s="298" t="s">
        <v>398</v>
      </c>
      <c r="B79" s="356">
        <f>'DAP3'!D46</f>
        <v>0.0</v>
      </c>
      <c r="M79" s="298" t="s">
        <v>3908</v>
      </c>
      <c r="N79" s="357">
        <f>'3Př'!F13</f>
        <v>0.0</v>
      </c>
    </row>
    <row r="80" spans="1:21" ht="12.75" customHeight="1" hidden="1">
      <c r="A80" s="298" t="s">
        <v>3899</v>
      </c>
      <c r="B80" s="356">
        <f>'4Př'!F20</f>
        <v>0.0</v>
      </c>
      <c r="M80" s="298"/>
      <c r="Q80" t="s">
        <v>613</v>
      </c>
      <c r="R80" s="298" t="s">
        <v>616</v>
      </c>
      <c r="S80" s="301" t="s">
        <v>617</v>
      </c>
      <c r="T80" s="301" t="s">
        <v>618</v>
      </c>
      <c r="U80" s="301" t="s">
        <v>619</v>
      </c>
    </row>
    <row r="81" spans="1:21" ht="12.75" customHeight="1" hidden="1">
      <c r="A81" s="298" t="s">
        <v>3900</v>
      </c>
      <c r="B81" s="356">
        <f>'DAP3'!D25+'DAP3'!D26</f>
        <v>0.0</v>
      </c>
      <c r="M81" s="298"/>
      <c r="R81" s="354" t="str">
        <f>IF('1Př2'!F44&lt;&gt;"",MID('1Př2'!F44,3,LEN('1Př2'!F44)-2),"")</f>
        <v/>
      </c>
      <c r="S81" s="354" t="str">
        <f>IF('1Př2'!B44&lt;&gt;"",'1Př2'!B44,"")</f>
        <v/>
      </c>
      <c r="T81" t="str">
        <f>IF('1Př2'!G44&lt;&gt;"",'1Př2'!G44*100,"")</f>
        <v/>
      </c>
      <c r="U81" s="354" t="str">
        <f>IF('1Př2'!D44&lt;&gt;"",'1Př2'!D44,"")</f>
        <v/>
      </c>
    </row>
    <row r="82" spans="1:2" ht="12.75" customHeight="1" hidden="1">
      <c r="A82" s="298" t="s">
        <v>3901</v>
      </c>
      <c r="B82" s="356">
        <f>'DAP3'!D30</f>
        <v>0.0</v>
      </c>
    </row>
    <row r="83" spans="1:21" ht="12.75" customHeight="1" hidden="1">
      <c r="A83" s="298" t="s">
        <v>3902</v>
      </c>
      <c r="B83" s="356">
        <f>'DAP3'!D31</f>
        <v>0.0</v>
      </c>
      <c r="R83" s="305" t="s">
        <v>3435</v>
      </c>
      <c r="S83" s="305" t="s">
        <v>3435</v>
      </c>
      <c r="T83" s="305" t="s">
        <v>3435</v>
      </c>
      <c r="U83" s="305" t="s">
        <v>3435</v>
      </c>
    </row>
    <row r="88" spans="1:1" ht="12.75" customHeight="1" hidden="1">
      <c r="A88" s="353" t="s">
        <v>671</v>
      </c>
    </row>
    <row r="89" spans="1:2" ht="12.75" customHeight="1" hidden="1">
      <c r="A89" s="298" t="s">
        <v>672</v>
      </c>
      <c r="B89" s="299"/>
    </row>
    <row r="90" spans="1:19" ht="12.75" customHeight="1" hidden="1">
      <c r="A90" s="298" t="s">
        <v>673</v>
      </c>
      <c r="B90" s="354" t="str">
        <f>IF('DAP4'!D55&lt;&gt;0,+CONCATENATE(ZAKL_DATA!B33),"")</f>
        <v/>
      </c>
      <c r="C90" s="305" t="s">
        <v>3446</v>
      </c>
      <c r="Q90" t="s">
        <v>614</v>
      </c>
      <c r="R90" s="298" t="s">
        <v>620</v>
      </c>
      <c r="S90" s="301" t="s">
        <v>621</v>
      </c>
    </row>
    <row r="91" spans="1:19" ht="12.75" customHeight="1" hidden="1">
      <c r="A91" s="298" t="s">
        <v>674</v>
      </c>
      <c r="B91" s="299"/>
      <c r="R91" s="354" t="str">
        <f>IF('1Př2'!F47&lt;&gt;"",MID('1Př2'!F47,3,LEN('1Př2'!F47)-2),"")</f>
        <v/>
      </c>
      <c r="S91" t="str">
        <f>IF('1Př2'!G47&lt;&gt;"",'1Př2'!G47*100,"")</f>
        <v/>
      </c>
    </row>
    <row r="92" spans="1:2" ht="12.75" customHeight="1" hidden="1">
      <c r="A92" s="298" t="s">
        <v>675</v>
      </c>
      <c r="B92" s="299"/>
    </row>
    <row r="93" spans="1:19" ht="12.75" customHeight="1" hidden="1">
      <c r="A93" s="298" t="s">
        <v>676</v>
      </c>
      <c r="B93" t="str">
        <f>IF('DAP4'!D55&lt;&gt;0,'DAP4'!D55,"")</f>
        <v/>
      </c>
      <c r="C93" s="305" t="s">
        <v>3446</v>
      </c>
      <c r="R93" s="305" t="s">
        <v>3435</v>
      </c>
      <c r="S93" s="305" t="s">
        <v>3435</v>
      </c>
    </row>
    <row r="94" spans="1:2" ht="12.75" customHeight="1" hidden="1">
      <c r="A94" s="298" t="s">
        <v>677</v>
      </c>
      <c r="B94" s="299"/>
    </row>
    <row r="95" spans="1:3" ht="12.75" customHeight="1" hidden="1">
      <c r="A95" s="298" t="s">
        <v>678</v>
      </c>
      <c r="B95" s="354" t="str">
        <f>IF('DAP4'!D55&lt;&gt;0,ZAKL_DATA!B18,"")</f>
        <v/>
      </c>
      <c r="C95" s="305" t="s">
        <v>3446</v>
      </c>
    </row>
    <row r="96" spans="1:2" ht="12.75" customHeight="1" hidden="1">
      <c r="A96" s="298" t="s">
        <v>679</v>
      </c>
      <c r="B96" s="299"/>
    </row>
    <row r="97" spans="1:3" ht="12.75" customHeight="1" hidden="1">
      <c r="A97" s="298" t="s">
        <v>680</v>
      </c>
      <c r="B97" s="354" t="str">
        <f>IF('DAP4'!D55&lt;&gt;0,+CONCATENATE('DAP1'!B28," ",'DAP1'!J28),"")</f>
        <v/>
      </c>
      <c r="C97" s="305" t="s">
        <v>3446</v>
      </c>
    </row>
    <row r="98" spans="1:2" ht="12.75" customHeight="1" hidden="1">
      <c r="A98" s="298" t="s">
        <v>681</v>
      </c>
      <c r="B98" s="299"/>
    </row>
    <row r="99" spans="1:3" ht="12.75" customHeight="1" hidden="1">
      <c r="A99" s="298" t="s">
        <v>682</v>
      </c>
      <c r="B99" s="354" t="str">
        <f>IF('DAP4'!D55&lt;&gt;0,ZAKL_DATA!B19,"")</f>
        <v/>
      </c>
      <c r="C99" s="305" t="s">
        <v>3446</v>
      </c>
    </row>
    <row r="100" spans="1:23" ht="12.75" customHeight="1" hidden="1">
      <c r="A100" s="298" t="s">
        <v>683</v>
      </c>
      <c r="B100" s="299"/>
      <c r="Q100" t="s">
        <v>639</v>
      </c>
      <c r="R100" s="298" t="s">
        <v>642</v>
      </c>
      <c r="S100" s="301" t="s">
        <v>643</v>
      </c>
      <c r="T100" s="301" t="s">
        <v>644</v>
      </c>
      <c r="U100" s="301" t="s">
        <v>645</v>
      </c>
      <c r="V100" s="301" t="s">
        <v>646</v>
      </c>
      <c r="W100" s="301" t="s">
        <v>647</v>
      </c>
    </row>
    <row r="101" spans="1:23" ht="12.75" customHeight="1" hidden="1">
      <c r="A101" s="298" t="s">
        <v>684</v>
      </c>
      <c r="B101" s="354" t="str">
        <f>IF('DAP4'!D55&lt;&gt;0,ZAKL_DATA!B18,"")</f>
        <v/>
      </c>
      <c r="C101" s="305" t="s">
        <v>3446</v>
      </c>
      <c r="R101" s="354" t="str">
        <f>IF('2Př'!B24&lt;&gt;"",'2Př'!B24,"")</f>
        <v/>
      </c>
      <c r="S101" s="354" t="str">
        <f>IF('2Př'!J24&lt;&gt;"",'2Př'!J24,"")</f>
        <v/>
      </c>
      <c r="T101" s="354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2.75" customHeight="1" hidden="1">
      <c r="A102" s="298" t="s">
        <v>685</v>
      </c>
      <c r="B102" s="354" t="str">
        <f>IF('DAP4'!D55&lt;&gt;0,IF(ZAKL_DATA!B20&lt;&gt;"",VLOOKUP(ZAKL_DATA!B20,FU!J3:K253,2,FALSE),"CZ"),"")</f>
        <v/>
      </c>
      <c r="C102" s="305" t="s">
        <v>3446</v>
      </c>
      <c r="R102" s="299" t="str">
        <f>IF('2Př'!B25&lt;&gt;"",'2Př'!B25,"")</f>
        <v/>
      </c>
      <c r="S102" s="299" t="str">
        <f>IF('2Př'!J25&lt;&gt;"",'2Př'!J25,"")</f>
        <v/>
      </c>
      <c r="T102" s="299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2.75" customHeight="1" hidden="1">
      <c r="A103" s="298" t="s">
        <v>686</v>
      </c>
      <c r="B103" s="299"/>
      <c r="R103" s="299" t="str">
        <f>IF('2Př'!B26&lt;&gt;"",'2Př'!B26,"")</f>
        <v/>
      </c>
      <c r="S103" s="299" t="str">
        <f>IF('2Př'!J26&lt;&gt;"",'2Př'!J26,"")</f>
        <v/>
      </c>
      <c r="T103" s="299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2.75" customHeight="1" hidden="1">
      <c r="A104" s="298" t="s">
        <v>687</v>
      </c>
      <c r="B104" s="299"/>
      <c r="R104" s="299" t="str">
        <f>IF('2Př'!B27&lt;&gt;"",'2Př'!B27,"")</f>
        <v/>
      </c>
      <c r="S104" s="299" t="str">
        <f>IF('2Př'!J27&lt;&gt;"",'2Př'!J27,"")</f>
        <v/>
      </c>
      <c r="T104" s="299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2.75" customHeight="1" hidden="1">
      <c r="A105" s="298" t="s">
        <v>688</v>
      </c>
      <c r="B105" s="299" t="str">
        <f>IF('DAP4'!D55&lt;&gt;0,ZAKL_DATA!B16,"")</f>
        <v/>
      </c>
      <c r="C105" s="305" t="s">
        <v>3446</v>
      </c>
    </row>
    <row r="106" spans="1:20" ht="12.75" customHeight="1" hidden="1">
      <c r="A106" s="298" t="s">
        <v>689</v>
      </c>
      <c r="B106" s="354" t="str">
        <f>IF('DAP4'!D55&lt;&gt;0,IF('DAP4'!G57&lt;&gt;"","U","A"),"")</f>
        <v/>
      </c>
      <c r="C106" s="305" t="s">
        <v>3446</v>
      </c>
      <c r="T106" s="305"/>
    </row>
    <row r="107" spans="1:3" ht="12.75" customHeight="1" hidden="1">
      <c r="A107" s="298" t="s">
        <v>690</v>
      </c>
      <c r="B107" s="354" t="str">
        <f>IF('DAP4'!D55&lt;&gt;0,IF(ISNUMBER(FIND("-",ZAKL_DATA!B32)),MID(ZAKL_DATA!B32,(FIND("-",ZAKL_DATA!B32,1))+1,LEN(ZAKL_DATA!B32)),ZAKL_DATA!B32),"")</f>
        <v/>
      </c>
      <c r="C107" s="305" t="s">
        <v>3446</v>
      </c>
    </row>
    <row r="108" spans="1:3" ht="12.75" customHeight="1" hidden="1">
      <c r="A108" s="298" t="s">
        <v>691</v>
      </c>
      <c r="C108" s="305" t="s">
        <v>3446</v>
      </c>
    </row>
    <row r="109" spans="1:3" ht="12.75" customHeight="1" hidden="1">
      <c r="A109" s="298" t="s">
        <v>692</v>
      </c>
      <c r="B109" s="354" t="str">
        <f>IF('DAP4'!D55&lt;&gt;0,IF(ISNUMBER(FIND("/",ZAKL_DATA!B17)),MID(ZAKL_DATA!B17,(FIND("/",ZAKL_DATA!B17,1))+1,LEN(ZAKL_DATA!B17)),""),"")</f>
        <v/>
      </c>
      <c r="C109" s="305" t="s">
        <v>3446</v>
      </c>
    </row>
    <row r="110" spans="1:20" ht="12.75" customHeight="1" hidden="1">
      <c r="A110" s="298" t="s">
        <v>693</v>
      </c>
      <c r="B110" t="str">
        <f>IF('DAP4'!D55&lt;&gt;0,IF(ISNUMBER(FIND("/",ZAKL_DATA!B17)),LEFT(ZAKL_DATA!B17,(FIND("/",ZAKL_DATA!B17,1))-1),ZAKL_DATA!B17),"")</f>
        <v/>
      </c>
      <c r="C110" s="305" t="s">
        <v>3446</v>
      </c>
      <c r="Q110" t="s">
        <v>641</v>
      </c>
      <c r="R110" s="298" t="s">
        <v>651</v>
      </c>
      <c r="S110" s="301" t="s">
        <v>652</v>
      </c>
      <c r="T110" s="301" t="s">
        <v>653</v>
      </c>
    </row>
    <row r="111" spans="1:20" ht="12.75" customHeight="1" hidden="1">
      <c r="A111" s="298" t="s">
        <v>694</v>
      </c>
      <c r="B111" s="354" t="str">
        <f>IF('DAP4'!D55&lt;&gt;0,ZAKL_DATA!B4,"")</f>
        <v/>
      </c>
      <c r="C111" s="305" t="s">
        <v>3446</v>
      </c>
      <c r="R111" s="299"/>
      <c r="T111" s="299"/>
    </row>
    <row r="112" spans="1:3" ht="12.75" customHeight="1" hidden="1">
      <c r="A112" s="298" t="s">
        <v>695</v>
      </c>
      <c r="B112" t="str">
        <f>IF('DAP4'!D55&lt;&gt;0,ZAKL_DATA!B33,"")</f>
        <v/>
      </c>
      <c r="C112" s="305" t="s">
        <v>3446</v>
      </c>
    </row>
    <row r="113" spans="1:20" ht="12.75" customHeight="1" hidden="1">
      <c r="A113" s="298" t="s">
        <v>696</v>
      </c>
      <c r="B113" s="354" t="str">
        <f>IF('DAP4'!D55&lt;&gt;0,ZAKL_DATA!B34,"")</f>
        <v/>
      </c>
      <c r="C113" s="305" t="s">
        <v>3446</v>
      </c>
      <c r="Q113" s="305" t="s">
        <v>3444</v>
      </c>
      <c r="R113" s="359" t="s">
        <v>3440</v>
      </c>
      <c r="S113" s="355"/>
      <c r="T113" s="355"/>
    </row>
    <row r="114" spans="1:3" ht="12.75" customHeight="1" hidden="1">
      <c r="A114" s="298" t="s">
        <v>697</v>
      </c>
      <c r="B114" s="354" t="str">
        <f>IF('DAP4'!D55&lt;&gt;0,ZAKL_DATA!B18,"")</f>
        <v/>
      </c>
      <c r="C114" s="305" t="s">
        <v>3446</v>
      </c>
    </row>
    <row r="115" spans="1:3" ht="12.75" customHeight="1" hidden="1">
      <c r="A115" s="298" t="s">
        <v>698</v>
      </c>
      <c r="B115" t="str">
        <f>IF('DAP4'!D55&lt;&gt;0,IF(ISNUMBER(FIND("-",ZAKL_DATA!B32)),LEFT(ZAKL_DATA!B32,(FIND("-",ZAKL_DATA!B32,1))-1),""),"")</f>
        <v/>
      </c>
      <c r="C115" s="305" t="s">
        <v>3446</v>
      </c>
    </row>
    <row r="116" spans="1:3" ht="12.75" customHeight="1" hidden="1">
      <c r="A116" s="298" t="s">
        <v>699</v>
      </c>
      <c r="B116" s="354" t="str">
        <f>IF('DAP4'!D55&lt;&gt;0,ZAKL_DATA!B5,"")</f>
        <v/>
      </c>
      <c r="C116" s="305" t="s">
        <v>3446</v>
      </c>
    </row>
    <row r="117" spans="1:3" ht="12.75" customHeight="1" hidden="1">
      <c r="A117" s="298" t="s">
        <v>700</v>
      </c>
      <c r="B117" t="str">
        <f>IF('DAP4'!D55&lt;&gt;0,ZAKL_DATA!B19,"")</f>
        <v/>
      </c>
      <c r="C117" s="305" t="s">
        <v>3446</v>
      </c>
    </row>
    <row r="118" spans="1:3" ht="12.75" customHeight="1" hidden="1">
      <c r="A118" s="298" t="s">
        <v>701</v>
      </c>
      <c r="B118" s="354" t="str">
        <f>IF('DAP4'!D55&lt;&gt;0,'DAP4'!H58,"")</f>
        <v/>
      </c>
      <c r="C118" s="305" t="s">
        <v>3446</v>
      </c>
    </row>
    <row r="119" spans="1:3" ht="12.75" customHeight="1" hidden="1">
      <c r="A119" s="298" t="s">
        <v>702</v>
      </c>
      <c r="B119" s="354" t="str">
        <f>IF('DAP4'!D55&lt;&gt;0,ZAKL_DATA!B7,"")</f>
        <v/>
      </c>
      <c r="C119" s="305" t="s">
        <v>3446</v>
      </c>
    </row>
    <row r="120" spans="1:27" ht="12.75" customHeight="1" hidden="1">
      <c r="A120" s="298" t="s">
        <v>703</v>
      </c>
      <c r="B120" s="354" t="str">
        <f>IF('DAP4'!D55&lt;&gt;0,ZAKL_DATA!B16,"")</f>
        <v/>
      </c>
      <c r="C120" s="305" t="s">
        <v>3446</v>
      </c>
      <c r="Q120" t="s">
        <v>654</v>
      </c>
      <c r="R120" s="298" t="s">
        <v>656</v>
      </c>
      <c r="S120" s="301" t="s">
        <v>657</v>
      </c>
      <c r="T120" s="301" t="s">
        <v>658</v>
      </c>
      <c r="U120" s="301" t="s">
        <v>659</v>
      </c>
      <c r="V120" s="301" t="s">
        <v>660</v>
      </c>
      <c r="W120" s="301" t="s">
        <v>661</v>
      </c>
      <c r="X120" s="301" t="s">
        <v>662</v>
      </c>
      <c r="Y120" s="301" t="s">
        <v>663</v>
      </c>
      <c r="Z120" s="301" t="s">
        <v>664</v>
      </c>
      <c r="AA120" s="301" t="s">
        <v>665</v>
      </c>
    </row>
    <row r="121" spans="18:27" ht="12.75" customHeight="1" hidden="1">
      <c r="R121" s="357">
        <f>'3Př_a'!F17</f>
        <v>0.0</v>
      </c>
      <c r="S121" s="356">
        <f>'3Př_a'!F14</f>
        <v>0.0</v>
      </c>
      <c r="T121" s="356">
        <f>'3Př_a'!F12</f>
        <v>0.0</v>
      </c>
      <c r="U121" s="356">
        <f>'3Př_a'!F13</f>
        <v>0.0</v>
      </c>
      <c r="V121" s="357">
        <f>'3Př_a'!F16</f>
        <v>0.0</v>
      </c>
      <c r="W121" s="356">
        <f>'3Př_a'!F12</f>
        <v>0.0</v>
      </c>
      <c r="X121" s="356">
        <f>'3Př_a'!F13</f>
        <v>0.0</v>
      </c>
      <c r="Y121" s="354" t="str">
        <f>IF('3Př_a'!C8&lt;&gt;"",'3Př_a'!C8,"")</f>
        <v/>
      </c>
      <c r="Z121">
        <f>'3Př_a'!F15*100</f>
        <v>0.0</v>
      </c>
      <c r="AA121" s="357">
        <f>'3Př_a'!F18</f>
        <v>0.0</v>
      </c>
    </row>
    <row r="123" spans="20:21" ht="12.75" customHeight="1" hidden="1">
      <c r="T123" s="359" t="s">
        <v>3441</v>
      </c>
      <c r="U123" s="355"/>
    </row>
    <row r="124" spans="20:20" ht="12.75" customHeight="1" hidden="1">
      <c r="T124" s="305" t="s">
        <v>3445</v>
      </c>
    </row>
    <row r="130" spans="17:22" ht="12.75" customHeight="1" hidden="1">
      <c r="Q130" t="s">
        <v>655</v>
      </c>
      <c r="R130" s="298" t="s">
        <v>666</v>
      </c>
      <c r="S130" s="301" t="s">
        <v>667</v>
      </c>
      <c r="T130" s="301" t="s">
        <v>668</v>
      </c>
      <c r="U130" s="301" t="s">
        <v>669</v>
      </c>
      <c r="V130" s="301" t="s">
        <v>670</v>
      </c>
    </row>
    <row r="131" spans="18:24" ht="12.75" customHeight="1" hidden="1">
      <c r="R131" s="354">
        <f>IF('6Př'!B12&lt;&gt;"",'6Př'!B12,"")</f>
        <v>2021.0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05" t="s">
        <v>3435</v>
      </c>
    </row>
    <row r="132" spans="18:22" ht="12.75" customHeight="1" hidden="1">
      <c r="R132" s="299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 customHeight="1" hidden="1">
      <c r="R133" s="299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 customHeight="1" hidden="1">
      <c r="R134" s="299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 customHeight="1" hidden="1">
      <c r="R135" s="299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 customHeight="1" hidden="1">
      <c r="R136" s="299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 customHeight="1" hidden="1">
      <c r="R137" s="299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 customHeight="1" hidden="1">
      <c r="R138" s="299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 customHeight="1" hidden="1">
      <c r="R140" s="305" t="s">
        <v>3435</v>
      </c>
      <c r="S140" s="305" t="s">
        <v>3435</v>
      </c>
      <c r="T140" s="305" t="s">
        <v>3435</v>
      </c>
      <c r="U140" s="305" t="s">
        <v>3435</v>
      </c>
      <c r="V140" s="305" t="s">
        <v>3435</v>
      </c>
    </row>
    <row r="143" spans="17:55" ht="12.75" customHeight="1" hidden="1">
      <c r="Q143" t="s">
        <v>704</v>
      </c>
      <c r="R143" s="298" t="s">
        <v>706</v>
      </c>
      <c r="S143" s="301" t="s">
        <v>707</v>
      </c>
      <c r="T143" s="301" t="s">
        <v>708</v>
      </c>
      <c r="U143" s="301" t="s">
        <v>709</v>
      </c>
      <c r="V143" s="301" t="s">
        <v>710</v>
      </c>
      <c r="W143" s="298" t="s">
        <v>3572</v>
      </c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</row>
    <row r="144" spans="18:18" ht="12.75" customHeight="1" hidden="1">
      <c r="R144" s="356"/>
    </row>
    <row r="146" spans="18:22" ht="12.75" customHeight="1" hidden="1">
      <c r="R146" s="359" t="s">
        <v>3442</v>
      </c>
      <c r="S146" s="355"/>
      <c r="T146" s="355"/>
      <c r="U146" s="355"/>
      <c r="V146" s="355"/>
    </row>
    <row r="153" spans="17:22" ht="12.75" customHeight="1" hidden="1">
      <c r="Q153" t="s">
        <v>705</v>
      </c>
      <c r="R153" s="298" t="s">
        <v>711</v>
      </c>
      <c r="S153" s="301" t="s">
        <v>712</v>
      </c>
      <c r="T153" s="301" t="s">
        <v>713</v>
      </c>
      <c r="U153" s="301" t="s">
        <v>714</v>
      </c>
      <c r="V153" s="301" t="s">
        <v>715</v>
      </c>
    </row>
    <row r="154" spans="18:22" ht="12.75" customHeight="1" hidden="1">
      <c r="R154" t="str">
        <f>IF(Př_b!E10&lt;&gt;"",Př_b!E10,"")</f>
        <v/>
      </c>
      <c r="S154" s="354" t="str">
        <f>IF(AND(Př_b!B10&lt;&gt;"",Př_b!B10&lt;&gt;0),Př_b!B10,"")</f>
        <v/>
      </c>
      <c r="T154" s="354" t="str">
        <f>IF(AND(Př_b!C10&lt;&gt;"",Př_b!C10&lt;&gt;0),VLOOKUP(Př_b!C10,FU!$J$3:$K$253,2,FALSE),"")</f>
        <v/>
      </c>
      <c r="U154" t="str">
        <f>IF(Př_b!F10&lt;&gt;"",Př_b!F10,"")</f>
        <v/>
      </c>
      <c r="V154" s="305" t="str">
        <f>IF(Př_b!D10&lt;&gt;"",Př_b!D10,"")</f>
        <v/>
      </c>
    </row>
    <row r="155" spans="18:22" ht="12.75" customHeight="1" hidden="1">
      <c r="R155" t="str">
        <f>IF(Př_b!E11&lt;&gt;"",Př_b!E11,"")</f>
        <v/>
      </c>
      <c r="S155" s="299" t="str">
        <f>IF(AND(Př_b!B11&lt;&gt;"",Př_b!B11&lt;&gt;0),Př_b!B11,"")</f>
        <v/>
      </c>
      <c r="T155" s="299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 customHeight="1" hidden="1">
      <c r="R156" t="str">
        <f>IF(Př_b!E12&lt;&gt;"",Př_b!E12,"")</f>
        <v/>
      </c>
      <c r="S156" s="299" t="str">
        <f>IF(AND(Př_b!B12&lt;&gt;"",Př_b!B12&lt;&gt;0),Př_b!B12,"")</f>
        <v/>
      </c>
      <c r="T156" s="299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 customHeight="1" hidden="1">
      <c r="R157" t="str">
        <f>IF(Př_b!E13&lt;&gt;"",Př_b!E13,"")</f>
        <v/>
      </c>
      <c r="S157" s="299" t="str">
        <f>IF(AND(Př_b!B13&lt;&gt;"",Př_b!B13&lt;&gt;0),Př_b!B13,"")</f>
        <v/>
      </c>
      <c r="T157" s="299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 customHeight="1" hidden="1">
      <c r="R158" t="str">
        <f>IF(Př_b!E14&lt;&gt;"",Př_b!E14,"")</f>
        <v/>
      </c>
      <c r="S158" s="299" t="str">
        <f>IF(AND(Př_b!B14&lt;&gt;"",Př_b!B14&lt;&gt;0),Př_b!B14,"")</f>
        <v/>
      </c>
      <c r="T158" s="299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 customHeight="1" hidden="1">
      <c r="R159" t="str">
        <f>IF(Př_b!E15&lt;&gt;"",Př_b!E15,"")</f>
        <v/>
      </c>
      <c r="S159" s="299" t="str">
        <f>IF(AND(Př_b!B15&lt;&gt;"",Př_b!B15&lt;&gt;0),Př_b!B15,"")</f>
        <v/>
      </c>
      <c r="T159" s="299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 customHeight="1" hidden="1">
      <c r="R160" t="str">
        <f>IF(Př_b!E16&lt;&gt;"",Př_b!E16,"")</f>
        <v/>
      </c>
      <c r="S160" s="299" t="str">
        <f>IF(AND(Př_b!B16&lt;&gt;"",Př_b!B16&lt;&gt;0),Př_b!B16,"")</f>
        <v/>
      </c>
      <c r="T160" s="299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 customHeight="1" hidden="1">
      <c r="R161" t="str">
        <f>IF(Př_b!E17&lt;&gt;"",Př_b!E17,"")</f>
        <v/>
      </c>
      <c r="S161" s="299" t="str">
        <f>IF(AND(Př_b!B17&lt;&gt;"",Př_b!B17&lt;&gt;0),Př_b!B17,"")</f>
        <v/>
      </c>
      <c r="T161" s="299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 customHeight="1" hidden="1">
      <c r="R162" t="str">
        <f>IF(Př_b!E18&lt;&gt;"",Př_b!E18,"")</f>
        <v/>
      </c>
      <c r="S162" s="299" t="str">
        <f>IF(AND(Př_b!B18&lt;&gt;"",Př_b!B18&lt;&gt;0),Př_b!B18,"")</f>
        <v/>
      </c>
      <c r="T162" s="299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 customHeight="1" hidden="1">
      <c r="R163" t="str">
        <f>IF(Př_b!E19&lt;&gt;"",Př_b!E19,"")</f>
        <v/>
      </c>
      <c r="S163" s="299" t="str">
        <f>IF(AND(Př_b!B19&lt;&gt;"",Př_b!B19&lt;&gt;0),Př_b!B19,"")</f>
        <v/>
      </c>
      <c r="T163" s="299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 customHeight="1" hidden="1">
      <c r="R164" t="str">
        <f>IF(Př_b!E20&lt;&gt;"",Př_b!E20,"")</f>
        <v/>
      </c>
      <c r="S164" s="299" t="str">
        <f>IF(AND(Př_b!B20&lt;&gt;"",Př_b!B20&lt;&gt;0),Př_b!B20,"")</f>
        <v/>
      </c>
      <c r="T164" s="299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 customHeight="1" hidden="1">
      <c r="R165" t="str">
        <f>IF(Př_b!E21&lt;&gt;"",Př_b!E21,"")</f>
        <v/>
      </c>
      <c r="S165" s="299" t="str">
        <f>IF(AND(Př_b!B21&lt;&gt;"",Př_b!B21&lt;&gt;0),Př_b!B21,"")</f>
        <v/>
      </c>
      <c r="T165" s="299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 customHeight="1" hidden="1">
      <c r="R166" t="str">
        <f>IF(Př_b!E22&lt;&gt;"",Př_b!E22,"")</f>
        <v/>
      </c>
      <c r="S166" s="299" t="str">
        <f>IF(AND(Př_b!B22&lt;&gt;"",Př_b!B22&lt;&gt;0),Př_b!B22,"")</f>
        <v/>
      </c>
      <c r="T166" s="299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 customHeight="1" hidden="1">
      <c r="R167" t="str">
        <f>IF(Př_b!E23&lt;&gt;"",Př_b!E23,"")</f>
        <v/>
      </c>
      <c r="S167" s="299" t="str">
        <f>IF(AND(Př_b!B23&lt;&gt;"",Př_b!B23&lt;&gt;0),Př_b!B23,"")</f>
        <v/>
      </c>
      <c r="T167" s="299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 customHeight="1" hidden="1">
      <c r="R168" t="str">
        <f>IF(Př_b!E24&lt;&gt;"",Př_b!E24,"")</f>
        <v/>
      </c>
      <c r="S168" s="299" t="str">
        <f>IF(AND(Př_b!B24&lt;&gt;"",Př_b!B24&lt;&gt;0),Př_b!B24,"")</f>
        <v/>
      </c>
      <c r="T168" s="299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 customHeight="1" hidden="1">
      <c r="R169" t="str">
        <f>IF(Př_b!E25&lt;&gt;"",Př_b!E25,"")</f>
        <v/>
      </c>
      <c r="S169" s="299" t="str">
        <f>IF(AND(Př_b!B25&lt;&gt;"",Př_b!B25&lt;&gt;0),Př_b!B25,"")</f>
        <v/>
      </c>
      <c r="T169" s="299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 customHeight="1" hidden="1">
      <c r="R171" s="305" t="s">
        <v>3435</v>
      </c>
      <c r="S171" s="305" t="s">
        <v>3435</v>
      </c>
      <c r="T171" s="305" t="s">
        <v>3435</v>
      </c>
      <c r="U171" s="305" t="s">
        <v>3435</v>
      </c>
      <c r="V171" s="305" t="s">
        <v>3435</v>
      </c>
    </row>
    <row r="176" spans="28:28" ht="12.75" customHeight="1" hidden="1">
      <c r="AB176">
        <v>1.0</v>
      </c>
    </row>
    <row r="177" spans="17:55" ht="12.75" customHeight="1" hidden="1">
      <c r="Q177" t="s">
        <v>716</v>
      </c>
      <c r="R177" s="298" t="s">
        <v>718</v>
      </c>
      <c r="S177" s="301" t="s">
        <v>719</v>
      </c>
      <c r="T177" s="301" t="s">
        <v>720</v>
      </c>
      <c r="U177" s="301" t="s">
        <v>721</v>
      </c>
      <c r="V177" s="301" t="s">
        <v>722</v>
      </c>
      <c r="W177" s="301" t="s">
        <v>723</v>
      </c>
      <c r="Y177" s="305" t="s">
        <v>3692</v>
      </c>
      <c r="Z177" s="305" t="s">
        <v>3693</v>
      </c>
      <c r="AA177" s="305" t="s">
        <v>3694</v>
      </c>
      <c r="AB177" s="298" t="s">
        <v>718</v>
      </c>
      <c r="AC177" s="301" t="s">
        <v>719</v>
      </c>
      <c r="AD177" s="301" t="s">
        <v>724</v>
      </c>
      <c r="AE177" s="301" t="s">
        <v>725</v>
      </c>
      <c r="AI177" t="s">
        <v>717</v>
      </c>
      <c r="AJ177" s="298" t="s">
        <v>718</v>
      </c>
      <c r="AK177" s="301" t="s">
        <v>719</v>
      </c>
      <c r="AL177" s="301" t="s">
        <v>724</v>
      </c>
      <c r="AM177" s="301" t="s">
        <v>725</v>
      </c>
      <c r="AP177" t="s">
        <v>726</v>
      </c>
      <c r="AQ177" s="298" t="s">
        <v>718</v>
      </c>
      <c r="AR177" s="301" t="s">
        <v>719</v>
      </c>
      <c r="AS177" s="301" t="s">
        <v>724</v>
      </c>
      <c r="AT177" s="301" t="s">
        <v>725</v>
      </c>
      <c r="AV177" s="305" t="s">
        <v>3692</v>
      </c>
      <c r="AW177" s="305" t="s">
        <v>3693</v>
      </c>
      <c r="AX177" s="305" t="s">
        <v>3694</v>
      </c>
      <c r="AY177" t="s">
        <v>727</v>
      </c>
      <c r="AZ177" s="298" t="s">
        <v>718</v>
      </c>
      <c r="BA177" s="301" t="s">
        <v>719</v>
      </c>
      <c r="BB177" s="301" t="s">
        <v>724</v>
      </c>
      <c r="BC177" s="301" t="s">
        <v>725</v>
      </c>
    </row>
    <row r="178" spans="17:51" ht="12.75" customHeight="1" hidden="1">
      <c r="Q178">
        <v>1.0</v>
      </c>
      <c r="R178">
        <f t="shared" si="1" ref="R178:R209">$Q$178</f>
        <v>1.0</v>
      </c>
      <c r="S178" s="358" t="e">
        <f t="shared" si="2" ref="S178:S241">IF($B$38="P",Y178,IF($B$38="Z",IF(Z178&lt;&gt;"",Z178,""),IF($B$38="M",IF(AA178&lt;&gt;"",AA178,""),Y178)))</f>
        <v>#REF!</v>
      </c>
      <c r="T178" s="465" t="e">
        <f>IF($B$38="P",IF(#REF!&lt;&gt;"",#REF!,""),IF($B$38="Z",IF(#REF!&lt;&gt;"",#REF!,""),IF($B$38="M",IF(#REF!&lt;&gt;"",#REF!,""),"")))</f>
        <v>#REF!</v>
      </c>
      <c r="U178" s="465" t="e">
        <f>IF($B$38="P",IF(#REF!&lt;&gt;"",ABS(#REF!),""),IF($B$38="Z",IF(#REF!&lt;&gt;"",ABS(#REF!),""),IF($B$38="M",IF(#REF!&lt;&gt;"",ABS(#REF!),""),"")))</f>
        <v>#REF!</v>
      </c>
      <c r="V178" s="465" t="e">
        <f>IF($B$38="P",IF(#REF!&lt;&gt;"",#REF!,""),IF($B$38="Z",IF(#REF!&lt;&gt;"",#REF!,""),IF($B$38="M",IF(#REF!&lt;&gt;"",#REF!,""),"")))</f>
        <v>#REF!</v>
      </c>
      <c r="W178" s="465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58" t="e">
        <f>IF($B$38="P",AG178,IF(AH178&lt;&gt;"",AH178,""))</f>
        <v>#REF!</v>
      </c>
      <c r="AD178" s="465" t="e">
        <f>IF($B$38="P",IF(#REF!&lt;&gt;"",#REF!,""),IF(#REF!&lt;&gt;"",#REF!,""))</f>
        <v>#REF!</v>
      </c>
      <c r="AE178" s="465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58" t="e">
        <f t="shared" si="5" ref="AR178:AR241">IF($B$38="P",AV178,IF($B$38="Z",IF(AW178&lt;&gt;"",AW178,""),IF($B$38="M",IF(AX178&lt;&gt;"",AX178,""),AV178)))</f>
        <v>#REF!</v>
      </c>
      <c r="AS178" s="465" t="e">
        <f>IF($B$38="P",IF(#REF!&lt;&gt;"",#REF!,""),IF($B$38="Z",IF(#REF!&lt;&gt;"",#REF!,""),IF($B$38="M",IF(#REF!&lt;&gt;"",#REF!,""),"")))</f>
        <v>#REF!</v>
      </c>
      <c r="AT178" s="465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2.75" customHeight="1" hidden="1">
      <c r="R179">
        <f t="shared" si="1"/>
        <v>1.0</v>
      </c>
      <c r="S179" s="358" t="e">
        <f t="shared" si="2"/>
        <v>#REF!</v>
      </c>
      <c r="T179" s="465" t="e">
        <f>IF($B$38="P",IF(#REF!&lt;&gt;"",#REF!,""),IF($B$38="Z",IF(#REF!&lt;&gt;"",#REF!,""),IF($B$38="M",IF(#REF!&lt;&gt;"",#REF!,""),"")))</f>
        <v>#REF!</v>
      </c>
      <c r="U179" s="465" t="e">
        <f>IF($B$38="P",IF(#REF!&lt;&gt;"",ABS(#REF!),""),IF($B$38="Z",IF(#REF!&lt;&gt;"",ABS(#REF!),""),IF($B$38="M",IF(#REF!&lt;&gt;"",ABS(#REF!),""),"")))</f>
        <v>#REF!</v>
      </c>
      <c r="V179" s="465" t="e">
        <f>IF($B$38="P",IF(#REF!&lt;&gt;"",#REF!,""),IF($B$38="Z",IF(#REF!&lt;&gt;"",#REF!,""),IF($B$38="M",IF(#REF!&lt;&gt;"",#REF!,""),"")))</f>
        <v>#REF!</v>
      </c>
      <c r="W179" s="465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358" t="e">
        <f t="shared" si="6" ref="AC179:AC233">IF($B$38="P",AG179,IF(AH179&lt;&gt;"",AH179,""))</f>
        <v>#REF!</v>
      </c>
      <c r="AD179" s="465" t="e">
        <f>IF($B$38="P",IF(#REF!&lt;&gt;"",#REF!,""),IF(#REF!&lt;&gt;"",#REF!,""))</f>
        <v>#REF!</v>
      </c>
      <c r="AE179" s="465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58" t="e">
        <f t="shared" si="5"/>
        <v>#REF!</v>
      </c>
      <c r="AS179" s="465" t="e">
        <f>IF($B$38="P",IF(#REF!&lt;&gt;"",#REF!,""),IF($B$38="Z",IF(#REF!&lt;&gt;"",#REF!,""),IF($B$38="M",IF(#REF!&lt;&gt;"",#REF!,""),"")))</f>
        <v>#REF!</v>
      </c>
      <c r="AT179" s="465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8:50" ht="12.75" customHeight="1" hidden="1">
      <c r="R180" s="305">
        <f t="shared" si="1"/>
        <v>1.0</v>
      </c>
      <c r="S180" s="358" t="e">
        <f t="shared" si="2"/>
        <v>#REF!</v>
      </c>
      <c r="T180" s="465" t="e">
        <f>IF($B$38="P",IF(#REF!&lt;&gt;"",#REF!,""),IF($B$38="Z",IF(#REF!&lt;&gt;"",#REF!,""),IF($B$38="M",IF(#REF!&lt;&gt;"",#REF!,""),"")))</f>
        <v>#REF!</v>
      </c>
      <c r="U180" s="465" t="e">
        <f>IF($B$38="P",IF(#REF!&lt;&gt;"",ABS(#REF!),""),IF($B$38="Z",IF(#REF!&lt;&gt;"",ABS(#REF!),""),IF($B$38="M",IF(#REF!&lt;&gt;"",ABS(#REF!),""),"")))</f>
        <v>#REF!</v>
      </c>
      <c r="V180" s="465" t="e">
        <f>IF($B$38="P",IF(#REF!&lt;&gt;"",#REF!,""),IF($B$38="Z",IF(#REF!&lt;&gt;"",#REF!,""),IF($B$38="M",IF(#REF!&lt;&gt;"",#REF!,""),"")))</f>
        <v>#REF!</v>
      </c>
      <c r="W180" s="465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358" t="e">
        <f t="shared" si="6"/>
        <v>#REF!</v>
      </c>
      <c r="AD180" s="465" t="e">
        <f>IF($B$38="P",IF(#REF!&lt;&gt;"",#REF!,""),IF(#REF!&lt;&gt;"",#REF!,""))</f>
        <v>#REF!</v>
      </c>
      <c r="AE180" s="465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358" t="e">
        <f t="shared" si="5"/>
        <v>#REF!</v>
      </c>
      <c r="AS180" s="465" t="e">
        <f>IF($B$38="P",IF(#REF!&lt;&gt;"",#REF!,""),IF($B$38="Z",IF(#REF!&lt;&gt;"",#REF!,""),IF($B$38="M",IF(#REF!&lt;&gt;"",#REF!,""),"")))</f>
        <v>#REF!</v>
      </c>
      <c r="AT180" s="465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2.75" customHeight="1" hidden="1">
      <c r="R181">
        <f t="shared" si="1"/>
        <v>1.0</v>
      </c>
      <c r="S181" s="358" t="e">
        <f t="shared" si="2"/>
        <v>#REF!</v>
      </c>
      <c r="T181" s="465" t="e">
        <f>IF($B$38="P",IF(#REF!&lt;&gt;"",#REF!,""),IF($B$38="Z",IF(#REF!&lt;&gt;"",#REF!,""),IF($B$38="M",IF(#REF!&lt;&gt;"",#REF!,""),"")))</f>
        <v>#REF!</v>
      </c>
      <c r="U181" s="465" t="e">
        <f>IF($B$38="P",IF(#REF!&lt;&gt;"",ABS(#REF!),""),IF($B$38="Z",IF(#REF!&lt;&gt;"",ABS(#REF!),""),IF($B$38="M",IF(#REF!&lt;&gt;"",ABS(#REF!),""),"")))</f>
        <v>#REF!</v>
      </c>
      <c r="V181" s="465" t="e">
        <f>IF($B$38="P",IF(#REF!&lt;&gt;"",#REF!,""),IF($B$38="Z",IF(#REF!&lt;&gt;"",#REF!,""),IF($B$38="M",IF(#REF!&lt;&gt;"",#REF!,""),"")))</f>
        <v>#REF!</v>
      </c>
      <c r="W181" s="465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358" t="e">
        <f t="shared" si="6"/>
        <v>#REF!</v>
      </c>
      <c r="AD181" s="465" t="e">
        <f>IF($B$38="P",IF(#REF!&lt;&gt;"",#REF!,""),IF(#REF!&lt;&gt;"",#REF!,""))</f>
        <v>#REF!</v>
      </c>
      <c r="AE181" s="465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358" t="e">
        <f t="shared" si="5"/>
        <v>#REF!</v>
      </c>
      <c r="AS181" s="465" t="e">
        <f>IF($B$38="P",IF(#REF!&lt;&gt;"",#REF!,""),IF($B$38="Z",IF(#REF!&lt;&gt;"",#REF!,""),IF($B$38="M",IF(#REF!&lt;&gt;"",#REF!,""),"")))</f>
        <v>#REF!</v>
      </c>
      <c r="AT181" s="465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2.75" customHeight="1" hidden="1">
      <c r="R182">
        <f t="shared" si="1"/>
        <v>1.0</v>
      </c>
      <c r="S182" s="358" t="e">
        <f t="shared" si="2"/>
        <v>#REF!</v>
      </c>
      <c r="T182" s="465" t="e">
        <f>IF($B$38="P",IF(#REF!&lt;&gt;"",#REF!,""),IF($B$38="Z",IF(#REF!&lt;&gt;"",#REF!,""),IF($B$38="M",IF(#REF!&lt;&gt;"",#REF!,""),"")))</f>
        <v>#REF!</v>
      </c>
      <c r="U182" s="465" t="e">
        <f>IF($B$38="P",IF(#REF!&lt;&gt;"",ABS(#REF!),""),IF($B$38="Z",IF(#REF!&lt;&gt;"",ABS(#REF!),""),IF($B$38="M",IF(#REF!&lt;&gt;"",ABS(#REF!),""),"")))</f>
        <v>#REF!</v>
      </c>
      <c r="V182" s="465" t="e">
        <f>IF($B$38="P",IF(#REF!&lt;&gt;"",#REF!,""),IF($B$38="Z",IF(#REF!&lt;&gt;"",#REF!,""),IF($B$38="M",IF(#REF!&lt;&gt;"",#REF!,""),"")))</f>
        <v>#REF!</v>
      </c>
      <c r="W182" s="465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358" t="e">
        <f t="shared" si="6"/>
        <v>#REF!</v>
      </c>
      <c r="AD182" s="465" t="e">
        <f>IF($B$38="P",IF(#REF!&lt;&gt;"",#REF!,""),IF(#REF!&lt;&gt;"",#REF!,""))</f>
        <v>#REF!</v>
      </c>
      <c r="AE182" s="465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358" t="e">
        <f t="shared" si="5"/>
        <v>#REF!</v>
      </c>
      <c r="AS182" s="465" t="e">
        <f>IF($B$38="P",IF(#REF!&lt;&gt;"",#REF!,""),IF($B$38="Z",IF(#REF!&lt;&gt;"",#REF!,""),IF($B$38="M",IF(#REF!&lt;&gt;"",#REF!,""),"")))</f>
        <v>#REF!</v>
      </c>
      <c r="AT182" s="465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2.75" customHeight="1" hidden="1">
      <c r="R183">
        <f t="shared" si="1"/>
        <v>1.0</v>
      </c>
      <c r="S183" s="358" t="e">
        <f t="shared" si="2"/>
        <v>#REF!</v>
      </c>
      <c r="T183" s="465" t="e">
        <f>IF($B$38="P",IF(#REF!&lt;&gt;"",#REF!,""),IF($B$38="Z",IF(#REF!&lt;&gt;"",#REF!,""),""))</f>
        <v>#REF!</v>
      </c>
      <c r="U183" s="465" t="e">
        <f>IF($B$38="P",IF(#REF!&lt;&gt;"",ABS(#REF!),""),IF($B$38="Z",IF(#REF!&lt;&gt;"",ABS(#REF!),""),""))</f>
        <v>#REF!</v>
      </c>
      <c r="V183" s="465" t="e">
        <f>IF($B$38="P",IF(#REF!&lt;&gt;"",#REF!,""),IF($B$38="Z",IF(#REF!&lt;&gt;"",#REF!,""),""))</f>
        <v>#REF!</v>
      </c>
      <c r="W183" s="465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358" t="e">
        <f t="shared" si="6"/>
        <v>#REF!</v>
      </c>
      <c r="AD183" s="465" t="e">
        <f>IF($B$38="P",IF(#REF!&lt;&gt;"",#REF!,""),IF(#REF!&lt;&gt;"",#REF!,""))</f>
        <v>#REF!</v>
      </c>
      <c r="AE183" s="465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358" t="e">
        <f t="shared" si="5"/>
        <v>#REF!</v>
      </c>
      <c r="AS183" s="465" t="e">
        <f>IF($B$38="P",IF(#REF!&lt;&gt;"",#REF!,""),IF($B$38="Z",IF(#REF!&lt;&gt;"",#REF!,""),IF($B$38="M",IF(#REF!&lt;&gt;"",#REF!,""),"")))</f>
        <v>#REF!</v>
      </c>
      <c r="AT183" s="465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2.75" customHeight="1" hidden="1">
      <c r="R184">
        <f t="shared" si="1"/>
        <v>1.0</v>
      </c>
      <c r="S184" s="358" t="e">
        <f t="shared" si="2"/>
        <v>#REF!</v>
      </c>
      <c r="T184" s="465" t="e">
        <f>IF($B$38="P",IF(#REF!&lt;&gt;"",#REF!,""),IF($B$38="Z",IF(#REF!&lt;&gt;"",#REF!,""),""))</f>
        <v>#REF!</v>
      </c>
      <c r="U184" s="465" t="e">
        <f>IF($B$38="P",IF(#REF!&lt;&gt;"",ABS(#REF!),""),IF($B$38="Z",IF(#REF!&lt;&gt;"",ABS(#REF!),""),""))</f>
        <v>#REF!</v>
      </c>
      <c r="V184" s="465" t="e">
        <f>IF($B$38="P",IF(#REF!&lt;&gt;"",#REF!,""),IF($B$38="Z",IF(#REF!&lt;&gt;"",#REF!,""),""))</f>
        <v>#REF!</v>
      </c>
      <c r="W184" s="465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358" t="e">
        <f t="shared" si="6"/>
        <v>#REF!</v>
      </c>
      <c r="AD184" s="465" t="e">
        <f>IF($B$38="P",IF(#REF!&lt;&gt;"",#REF!,""),IF(#REF!&lt;&gt;"",#REF!,""))</f>
        <v>#REF!</v>
      </c>
      <c r="AE184" s="465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358" t="e">
        <f t="shared" si="5"/>
        <v>#REF!</v>
      </c>
      <c r="AS184" s="465" t="e">
        <f>IF($B$38="P",IF(#REF!&lt;&gt;"",#REF!,""),IF($B$38="Z",IF(#REF!&lt;&gt;"",#REF!,""),""))</f>
        <v>#REF!</v>
      </c>
      <c r="AT184" s="465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2.75" customHeight="1" hidden="1">
      <c r="R185">
        <f t="shared" si="1"/>
        <v>1.0</v>
      </c>
      <c r="S185" s="358" t="e">
        <f t="shared" si="2"/>
        <v>#REF!</v>
      </c>
      <c r="T185" s="465" t="e">
        <f>IF($B$38="P",IF(#REF!&lt;&gt;"",#REF!,""),IF($B$38="Z",IF(#REF!&lt;&gt;"",#REF!,""),""))</f>
        <v>#REF!</v>
      </c>
      <c r="U185" s="465" t="e">
        <f>IF($B$38="P",IF(#REF!&lt;&gt;"",ABS(#REF!),""),IF($B$38="Z",IF(#REF!&lt;&gt;"",ABS(#REF!),""),""))</f>
        <v>#REF!</v>
      </c>
      <c r="V185" s="465" t="e">
        <f>IF($B$38="P",IF(#REF!&lt;&gt;"",#REF!,""),IF($B$38="Z",IF(#REF!&lt;&gt;"",#REF!,""),""))</f>
        <v>#REF!</v>
      </c>
      <c r="W185" s="465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358" t="e">
        <f t="shared" si="6"/>
        <v>#REF!</v>
      </c>
      <c r="AD185" s="465" t="e">
        <f>IF($B$38="P",IF(#REF!&lt;&gt;"",#REF!,""),IF(#REF!&lt;&gt;"",#REF!,""))</f>
        <v>#REF!</v>
      </c>
      <c r="AE185" s="465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358" t="e">
        <f t="shared" si="5"/>
        <v>#REF!</v>
      </c>
      <c r="AS185" s="465" t="e">
        <f>IF($B$38="P",IF(#REF!&lt;&gt;"",#REF!,""),IF($B$38="Z",IF(#REF!&lt;&gt;"",#REF!,""),""))</f>
        <v>#REF!</v>
      </c>
      <c r="AT185" s="465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2.75" customHeight="1" hidden="1">
      <c r="R186">
        <f t="shared" si="1"/>
        <v>1.0</v>
      </c>
      <c r="S186" s="358" t="e">
        <f t="shared" si="2"/>
        <v>#REF!</v>
      </c>
      <c r="T186" s="465" t="e">
        <f>IF($B$38="P",IF(#REF!&lt;&gt;"",#REF!,""),IF($B$38="Z",IF(#REF!&lt;&gt;"",#REF!,""),""))</f>
        <v>#REF!</v>
      </c>
      <c r="U186" s="465" t="e">
        <f>IF($B$38="P",IF(#REF!&lt;&gt;"",ABS(#REF!),""),IF($B$38="Z",IF(#REF!&lt;&gt;"",ABS(#REF!),""),""))</f>
        <v>#REF!</v>
      </c>
      <c r="V186" s="465" t="e">
        <f>IF($B$38="P",IF(#REF!&lt;&gt;"",#REF!,""),IF($B$38="Z",IF(#REF!&lt;&gt;"",#REF!,""),""))</f>
        <v>#REF!</v>
      </c>
      <c r="W186" s="465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358" t="e">
        <f t="shared" si="6"/>
        <v>#REF!</v>
      </c>
      <c r="AD186" s="465" t="e">
        <f>IF($B$38="P",IF(#REF!&lt;&gt;"",#REF!,""),IF(#REF!&lt;&gt;"",#REF!,""))</f>
        <v>#REF!</v>
      </c>
      <c r="AE186" s="465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358" t="e">
        <f t="shared" si="5"/>
        <v>#REF!</v>
      </c>
      <c r="AS186" s="465" t="e">
        <f>IF($B$38="P",IF(#REF!&lt;&gt;"",#REF!,""),IF($B$38="Z",IF(#REF!&lt;&gt;"",#REF!,""),""))</f>
        <v>#REF!</v>
      </c>
      <c r="AT186" s="465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2.75" customHeight="1" hidden="1">
      <c r="R187">
        <f t="shared" si="1"/>
        <v>1.0</v>
      </c>
      <c r="S187" s="358" t="e">
        <f t="shared" si="2"/>
        <v>#REF!</v>
      </c>
      <c r="T187" s="465" t="e">
        <f>IF($B$38="P",IF(#REF!&lt;&gt;"",#REF!,""),IF($B$38="Z",IF(#REF!&lt;&gt;"",#REF!,""),""))</f>
        <v>#REF!</v>
      </c>
      <c r="U187" s="465" t="e">
        <f>IF($B$38="P",IF(#REF!&lt;&gt;"",ABS(#REF!),""),IF($B$38="Z",IF(#REF!&lt;&gt;"",ABS(#REF!),""),""))</f>
        <v>#REF!</v>
      </c>
      <c r="V187" s="465" t="e">
        <f>IF($B$38="P",IF(#REF!&lt;&gt;"",#REF!,""),IF($B$38="Z",IF(#REF!&lt;&gt;"",#REF!,""),""))</f>
        <v>#REF!</v>
      </c>
      <c r="W187" s="465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358" t="e">
        <f t="shared" si="6"/>
        <v>#REF!</v>
      </c>
      <c r="AD187" s="465" t="e">
        <f>IF($B$38="P",IF(#REF!&lt;&gt;"",#REF!,""),IF(#REF!&lt;&gt;"",#REF!,""))</f>
        <v>#REF!</v>
      </c>
      <c r="AE187" s="465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358" t="e">
        <f t="shared" si="5"/>
        <v>#REF!</v>
      </c>
      <c r="AS187" s="465" t="e">
        <f>IF($B$38="P",IF(#REF!&lt;&gt;"",#REF!,""),IF($B$38="Z",IF(#REF!&lt;&gt;"",#REF!,""),""))</f>
        <v>#REF!</v>
      </c>
      <c r="AT187" s="465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2.75" customHeight="1" hidden="1">
      <c r="R188">
        <f t="shared" si="1"/>
        <v>1.0</v>
      </c>
      <c r="S188" s="358" t="e">
        <f t="shared" si="2"/>
        <v>#REF!</v>
      </c>
      <c r="T188" s="465" t="e">
        <f>IF($B$38="P",IF(#REF!&lt;&gt;"",#REF!,""),IF($B$38="Z",IF(#REF!&lt;&gt;"",#REF!,""),""))</f>
        <v>#REF!</v>
      </c>
      <c r="U188" s="465" t="e">
        <f>IF($B$38="P",IF(#REF!&lt;&gt;"",ABS(#REF!),""),IF($B$38="Z",IF(#REF!&lt;&gt;"",ABS(#REF!),""),""))</f>
        <v>#REF!</v>
      </c>
      <c r="V188" s="465" t="e">
        <f>IF($B$38="P",IF(#REF!&lt;&gt;"",#REF!,""),IF($B$38="Z",IF(#REF!&lt;&gt;"",#REF!,""),""))</f>
        <v>#REF!</v>
      </c>
      <c r="W188" s="465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358" t="e">
        <f t="shared" si="6"/>
        <v>#REF!</v>
      </c>
      <c r="AD188" s="465" t="e">
        <f>IF($B$38="P",IF(#REF!&lt;&gt;"",#REF!,""),IF(#REF!&lt;&gt;"",#REF!,""))</f>
        <v>#REF!</v>
      </c>
      <c r="AE188" s="465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358" t="e">
        <f t="shared" si="5"/>
        <v>#REF!</v>
      </c>
      <c r="AS188" s="465" t="e">
        <f>IF($B$38="P",IF(#REF!&lt;&gt;"",#REF!,""),IF($B$38="Z",IF(#REF!&lt;&gt;"",#REF!,""),""))</f>
        <v>#REF!</v>
      </c>
      <c r="AT188" s="465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2.75" customHeight="1" hidden="1">
      <c r="R189">
        <f t="shared" si="1"/>
        <v>1.0</v>
      </c>
      <c r="S189" s="358" t="e">
        <f t="shared" si="2"/>
        <v>#REF!</v>
      </c>
      <c r="T189" s="465" t="e">
        <f>IF($B$38="P",IF(#REF!&lt;&gt;"",#REF!,""),IF($B$38="Z",IF(#REF!&lt;&gt;"",#REF!,""),""))</f>
        <v>#REF!</v>
      </c>
      <c r="U189" s="465" t="e">
        <f>IF($B$38="P",IF(#REF!&lt;&gt;"",ABS(#REF!),""),IF($B$38="Z",IF(#REF!&lt;&gt;"",ABS(#REF!),""),""))</f>
        <v>#REF!</v>
      </c>
      <c r="V189" s="465" t="e">
        <f>IF($B$38="P",IF(#REF!&lt;&gt;"",#REF!,""),IF($B$38="Z",IF(#REF!&lt;&gt;"",#REF!,""),""))</f>
        <v>#REF!</v>
      </c>
      <c r="W189" s="465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358" t="e">
        <f t="shared" si="6"/>
        <v>#REF!</v>
      </c>
      <c r="AD189" s="465" t="e">
        <f>IF($B$38="P",IF(#REF!&lt;&gt;"",#REF!,""),IF(#REF!&lt;&gt;"",#REF!,""))</f>
        <v>#REF!</v>
      </c>
      <c r="AE189" s="465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358" t="e">
        <f t="shared" si="5"/>
        <v>#REF!</v>
      </c>
      <c r="AS189" s="465" t="e">
        <f>IF($B$38="P",IF(#REF!&lt;&gt;"",#REF!,""),IF($B$38="Z",IF(#REF!&lt;&gt;"",#REF!,""),""))</f>
        <v>#REF!</v>
      </c>
      <c r="AT189" s="465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2.75" customHeight="1" hidden="1">
      <c r="R190">
        <f t="shared" si="1"/>
        <v>1.0</v>
      </c>
      <c r="S190" s="358" t="e">
        <f t="shared" si="2"/>
        <v>#REF!</v>
      </c>
      <c r="T190" s="465" t="e">
        <f>IF($B$38="P",IF(#REF!&lt;&gt;"",#REF!,""),IF($B$38="Z",IF(#REF!&lt;&gt;"",#REF!,""),""))</f>
        <v>#REF!</v>
      </c>
      <c r="U190" s="465" t="e">
        <f>IF($B$38="P",IF(#REF!&lt;&gt;"",ABS(#REF!),""),IF($B$38="Z",IF(#REF!&lt;&gt;"",ABS(#REF!),""),""))</f>
        <v>#REF!</v>
      </c>
      <c r="V190" s="465" t="e">
        <f>IF($B$38="P",IF(#REF!&lt;&gt;"",#REF!,""),IF($B$38="Z",IF(#REF!&lt;&gt;"",#REF!,""),""))</f>
        <v>#REF!</v>
      </c>
      <c r="W190" s="465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358" t="e">
        <f t="shared" si="6"/>
        <v>#REF!</v>
      </c>
      <c r="AD190" s="465" t="e">
        <f>IF($B$38="P",IF(#REF!&lt;&gt;"",#REF!,""),IF(#REF!&lt;&gt;"",#REF!,""))</f>
        <v>#REF!</v>
      </c>
      <c r="AE190" s="465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358" t="e">
        <f t="shared" si="5"/>
        <v>#REF!</v>
      </c>
      <c r="AS190" s="465" t="e">
        <f>IF($B$38="P",IF(#REF!&lt;&gt;"",#REF!,""),IF($B$38="Z",IF(#REF!&lt;&gt;"",#REF!,""),""))</f>
        <v>#REF!</v>
      </c>
      <c r="AT190" s="465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2.75" customHeight="1" hidden="1">
      <c r="R191">
        <f t="shared" si="1"/>
        <v>1.0</v>
      </c>
      <c r="S191" s="358" t="e">
        <f t="shared" si="2"/>
        <v>#REF!</v>
      </c>
      <c r="T191" s="465" t="e">
        <f>IF($B$38="P",IF(#REF!&lt;&gt;"",#REF!,""),IF($B$38="Z",IF(#REF!&lt;&gt;"",#REF!,""),""))</f>
        <v>#REF!</v>
      </c>
      <c r="U191" s="465" t="e">
        <f>IF($B$38="P",IF(#REF!&lt;&gt;"",ABS(#REF!),""),IF($B$38="Z",IF(#REF!&lt;&gt;"",ABS(#REF!),""),""))</f>
        <v>#REF!</v>
      </c>
      <c r="V191" s="465" t="e">
        <f>IF($B$38="P",IF(#REF!&lt;&gt;"",#REF!,""),IF($B$38="Z",IF(#REF!&lt;&gt;"",#REF!,""),""))</f>
        <v>#REF!</v>
      </c>
      <c r="W191" s="465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358" t="e">
        <f t="shared" si="6"/>
        <v>#REF!</v>
      </c>
      <c r="AD191" s="465" t="e">
        <f>IF($B$38="P",IF(#REF!&lt;&gt;"",#REF!,""),IF(#REF!&lt;&gt;"",#REF!,""))</f>
        <v>#REF!</v>
      </c>
      <c r="AE191" s="465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358" t="e">
        <f t="shared" si="5"/>
        <v>#REF!</v>
      </c>
      <c r="AS191" s="465" t="e">
        <f>IF($B$38="P",IF(#REF!&lt;&gt;"",#REF!,""),IF($B$38="Z",IF(#REF!&lt;&gt;"",#REF!,""),""))</f>
        <v>#REF!</v>
      </c>
      <c r="AT191" s="465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2.75" customHeight="1" hidden="1">
      <c r="R192">
        <f t="shared" si="1"/>
        <v>1.0</v>
      </c>
      <c r="S192" s="358" t="e">
        <f t="shared" si="2"/>
        <v>#REF!</v>
      </c>
      <c r="T192" s="465" t="e">
        <f>IF($B$38="P",IF(#REF!&lt;&gt;"",#REF!,""),"")</f>
        <v>#REF!</v>
      </c>
      <c r="U192" s="465" t="e">
        <f>IF($B$38="P",IF(#REF!&lt;&gt;"",ABS(#REF!),""),"")</f>
        <v>#REF!</v>
      </c>
      <c r="V192" s="465" t="e">
        <f>IF($B$38="P",IF(#REF!&lt;&gt;"",#REF!,""),"")</f>
        <v>#REF!</v>
      </c>
      <c r="W192" s="465" t="e">
        <f>IF($B$38="P",IF(#REF!&lt;&gt;"",#REF!,""),"")</f>
        <v>#REF!</v>
      </c>
      <c r="Y192">
        <v>15.0</v>
      </c>
      <c r="AB192">
        <f t="shared" si="3"/>
        <v>1.0</v>
      </c>
      <c r="AC192" s="358" t="e">
        <f t="shared" si="6"/>
        <v>#REF!</v>
      </c>
      <c r="AD192" s="465" t="e">
        <f>IF($B$38="P",IF(#REF!&lt;&gt;"",#REF!,""),IF(#REF!&lt;&gt;"",#REF!,""))</f>
        <v>#REF!</v>
      </c>
      <c r="AE192" s="465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358" t="e">
        <f t="shared" si="5"/>
        <v>#REF!</v>
      </c>
      <c r="AS192" s="465" t="e">
        <f>IF($B$38="P",IF(#REF!&lt;&gt;"",#REF!,""),"")</f>
        <v>#REF!</v>
      </c>
      <c r="AT192" s="465" t="e">
        <f>IF($B$38="P",IF(#REF!&lt;&gt;"",#REF!,""),"")</f>
        <v>#REF!</v>
      </c>
      <c r="AV192">
        <v>15.0</v>
      </c>
      <c r="AW192" s="361"/>
    </row>
    <row r="193" spans="18:49" ht="12.75" customHeight="1" hidden="1">
      <c r="R193">
        <f t="shared" si="1"/>
        <v>1.0</v>
      </c>
      <c r="S193" s="358" t="e">
        <f t="shared" si="2"/>
        <v>#REF!</v>
      </c>
      <c r="T193" s="465" t="e">
        <f>IF($B$38="P",IF(#REF!&lt;&gt;"",#REF!,""),"")</f>
        <v>#REF!</v>
      </c>
      <c r="U193" s="465" t="e">
        <f>IF($B$38="P",IF(#REF!&lt;&gt;"",ABS(#REF!),""),"")</f>
        <v>#REF!</v>
      </c>
      <c r="V193" s="465" t="e">
        <f>IF($B$38="P",IF(#REF!&lt;&gt;"",#REF!,""),"")</f>
        <v>#REF!</v>
      </c>
      <c r="W193" s="465" t="e">
        <f>IF($B$38="P",IF(#REF!&lt;&gt;"",#REF!,""),"")</f>
        <v>#REF!</v>
      </c>
      <c r="Y193">
        <v>16.0</v>
      </c>
      <c r="AB193">
        <f t="shared" si="3"/>
        <v>1.0</v>
      </c>
      <c r="AC193" s="358" t="e">
        <f t="shared" si="6"/>
        <v>#REF!</v>
      </c>
      <c r="AD193" s="465" t="e">
        <f>IF($B$38="P",IF(#REF!&lt;&gt;"",#REF!,""),IF(#REF!&lt;&gt;"",#REF!,""))</f>
        <v>#REF!</v>
      </c>
      <c r="AE193" s="465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358" t="e">
        <f t="shared" si="5"/>
        <v>#REF!</v>
      </c>
      <c r="AS193" s="465" t="e">
        <f>IF($B$38="P",IF(#REF!&lt;&gt;"",#REF!,""),"")</f>
        <v>#REF!</v>
      </c>
      <c r="AT193" s="465" t="e">
        <f>IF($B$38="P",IF(#REF!&lt;&gt;"",#REF!,""),"")</f>
        <v>#REF!</v>
      </c>
      <c r="AV193">
        <v>16.0</v>
      </c>
      <c r="AW193" s="361"/>
    </row>
    <row r="194" spans="18:49" ht="12.75" customHeight="1" hidden="1">
      <c r="R194">
        <f t="shared" si="1"/>
        <v>1.0</v>
      </c>
      <c r="S194" s="358" t="e">
        <f t="shared" si="2"/>
        <v>#REF!</v>
      </c>
      <c r="T194" s="465" t="e">
        <f>IF($B$38="P",IF(#REF!&lt;&gt;"",#REF!,""),"")</f>
        <v>#REF!</v>
      </c>
      <c r="U194" s="465" t="e">
        <f>IF($B$38="P",IF(#REF!&lt;&gt;"",ABS(#REF!),""),"")</f>
        <v>#REF!</v>
      </c>
      <c r="V194" s="465" t="e">
        <f>IF($B$38="P",IF(#REF!&lt;&gt;"",#REF!,""),"")</f>
        <v>#REF!</v>
      </c>
      <c r="W194" s="465" t="e">
        <f>IF($B$38="P",IF(#REF!&lt;&gt;"",#REF!,""),"")</f>
        <v>#REF!</v>
      </c>
      <c r="Y194">
        <v>17.0</v>
      </c>
      <c r="AB194">
        <f t="shared" si="3"/>
        <v>1.0</v>
      </c>
      <c r="AC194" s="358" t="e">
        <f t="shared" si="6"/>
        <v>#REF!</v>
      </c>
      <c r="AD194" s="465" t="e">
        <f>IF($B$38="P",IF(#REF!&lt;&gt;"",#REF!,""),IF(#REF!&lt;&gt;"",#REF!,""))</f>
        <v>#REF!</v>
      </c>
      <c r="AE194" s="465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358" t="e">
        <f t="shared" si="5"/>
        <v>#REF!</v>
      </c>
      <c r="AS194" s="465" t="e">
        <f>IF($B$38="P",IF(#REF!&lt;&gt;"",#REF!,""),"")</f>
        <v>#REF!</v>
      </c>
      <c r="AT194" s="465" t="e">
        <f>IF($B$38="P",IF(#REF!&lt;&gt;"",#REF!,""),"")</f>
        <v>#REF!</v>
      </c>
      <c r="AV194">
        <v>17.0</v>
      </c>
      <c r="AW194" s="361"/>
    </row>
    <row r="195" spans="18:49" ht="12.75" customHeight="1" hidden="1">
      <c r="R195">
        <f t="shared" si="1"/>
        <v>1.0</v>
      </c>
      <c r="S195" s="358" t="e">
        <f t="shared" si="2"/>
        <v>#REF!</v>
      </c>
      <c r="T195" s="465" t="e">
        <f>IF($B$38="P",IF(#REF!&lt;&gt;"",#REF!,""),"")</f>
        <v>#REF!</v>
      </c>
      <c r="U195" s="465" t="e">
        <f>IF($B$38="P",IF(#REF!&lt;&gt;"",ABS(#REF!),""),"")</f>
        <v>#REF!</v>
      </c>
      <c r="V195" s="465" t="e">
        <f>IF($B$38="P",IF(#REF!&lt;&gt;"",#REF!,""),"")</f>
        <v>#REF!</v>
      </c>
      <c r="W195" s="465" t="e">
        <f>IF($B$38="P",IF(#REF!&lt;&gt;"",#REF!,""),"")</f>
        <v>#REF!</v>
      </c>
      <c r="Y195">
        <v>18.0</v>
      </c>
      <c r="AB195">
        <f t="shared" si="3"/>
        <v>1.0</v>
      </c>
      <c r="AC195" s="358" t="e">
        <f t="shared" si="6"/>
        <v>#REF!</v>
      </c>
      <c r="AD195" s="465" t="e">
        <f>IF($B$38="P",IF(#REF!&lt;&gt;"",#REF!,""),IF(#REF!&lt;&gt;"",#REF!,""))</f>
        <v>#REF!</v>
      </c>
      <c r="AE195" s="465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358" t="e">
        <f t="shared" si="5"/>
        <v>#REF!</v>
      </c>
      <c r="AS195" s="465" t="e">
        <f>IF($B$38="P",IF(#REF!&lt;&gt;"",#REF!,""),"")</f>
        <v>#REF!</v>
      </c>
      <c r="AT195" s="465" t="e">
        <f>IF($B$38="P",IF(#REF!&lt;&gt;"",#REF!,""),"")</f>
        <v>#REF!</v>
      </c>
      <c r="AV195">
        <v>18.0</v>
      </c>
      <c r="AW195" s="361"/>
    </row>
    <row r="196" spans="18:49" ht="12.75" customHeight="1" hidden="1">
      <c r="R196">
        <f t="shared" si="1"/>
        <v>1.0</v>
      </c>
      <c r="S196" s="358" t="e">
        <f t="shared" si="2"/>
        <v>#REF!</v>
      </c>
      <c r="T196" s="465" t="e">
        <f>IF($B$38="P",IF(#REF!&lt;&gt;"",#REF!,""),"")</f>
        <v>#REF!</v>
      </c>
      <c r="U196" s="465" t="e">
        <f>IF($B$38="P",IF(#REF!&lt;&gt;"",ABS(#REF!),""),"")</f>
        <v>#REF!</v>
      </c>
      <c r="V196" s="465" t="e">
        <f>IF($B$38="P",IF(#REF!&lt;&gt;"",#REF!,""),"")</f>
        <v>#REF!</v>
      </c>
      <c r="W196" s="465" t="e">
        <f>IF($B$38="P",IF(#REF!&lt;&gt;"",#REF!,""),"")</f>
        <v>#REF!</v>
      </c>
      <c r="Y196">
        <v>19.0</v>
      </c>
      <c r="AB196">
        <f t="shared" si="3"/>
        <v>1.0</v>
      </c>
      <c r="AC196" s="358" t="e">
        <f t="shared" si="6"/>
        <v>#REF!</v>
      </c>
      <c r="AD196" s="465" t="e">
        <f>IF($B$38="P",IF(#REF!&lt;&gt;"",#REF!,""),IF(#REF!&lt;&gt;"",#REF!,""))</f>
        <v>#REF!</v>
      </c>
      <c r="AE196" s="465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358" t="e">
        <f t="shared" si="5"/>
        <v>#REF!</v>
      </c>
      <c r="AS196" s="465" t="e">
        <f>IF($B$38="P",IF(#REF!&lt;&gt;"",#REF!,""),"")</f>
        <v>#REF!</v>
      </c>
      <c r="AT196" s="465" t="e">
        <f>IF($B$38="P",IF(#REF!&lt;&gt;"",#REF!,""),"")</f>
        <v>#REF!</v>
      </c>
      <c r="AV196">
        <v>19.0</v>
      </c>
      <c r="AW196" s="361"/>
    </row>
    <row r="197" spans="18:49" ht="12.75" customHeight="1" hidden="1">
      <c r="R197">
        <f t="shared" si="1"/>
        <v>1.0</v>
      </c>
      <c r="S197" s="358" t="e">
        <f t="shared" si="2"/>
        <v>#REF!</v>
      </c>
      <c r="T197" s="465" t="e">
        <f>IF($B$38="P",IF(#REF!&lt;&gt;"",#REF!,""),"")</f>
        <v>#REF!</v>
      </c>
      <c r="U197" s="465" t="e">
        <f>IF($B$38="P",IF(#REF!&lt;&gt;"",ABS(#REF!),""),"")</f>
        <v>#REF!</v>
      </c>
      <c r="V197" s="465" t="e">
        <f>IF($B$38="P",IF(#REF!&lt;&gt;"",#REF!,""),"")</f>
        <v>#REF!</v>
      </c>
      <c r="W197" s="465" t="e">
        <f>IF($B$38="P",IF(#REF!&lt;&gt;"",#REF!,""),"")</f>
        <v>#REF!</v>
      </c>
      <c r="Y197">
        <v>20.0</v>
      </c>
      <c r="AB197">
        <f t="shared" si="3"/>
        <v>1.0</v>
      </c>
      <c r="AC197" s="358" t="e">
        <f t="shared" si="6"/>
        <v>#REF!</v>
      </c>
      <c r="AD197" s="465" t="e">
        <f>IF($B$38="P",IF(#REF!&lt;&gt;"",#REF!,""),IF(#REF!&lt;&gt;"",#REF!,""))</f>
        <v>#REF!</v>
      </c>
      <c r="AE197" s="465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358" t="e">
        <f t="shared" si="5"/>
        <v>#REF!</v>
      </c>
      <c r="AS197" s="465" t="e">
        <f>IF($B$38="P",IF(#REF!&lt;&gt;"",#REF!,""),"")</f>
        <v>#REF!</v>
      </c>
      <c r="AT197" s="465" t="e">
        <f>IF($B$38="P",IF(#REF!&lt;&gt;"",#REF!,""),"")</f>
        <v>#REF!</v>
      </c>
      <c r="AV197">
        <v>20.0</v>
      </c>
      <c r="AW197" s="361"/>
    </row>
    <row r="198" spans="18:49" ht="12.75" customHeight="1" hidden="1">
      <c r="R198">
        <f t="shared" si="1"/>
        <v>1.0</v>
      </c>
      <c r="S198" s="358" t="e">
        <f t="shared" si="2"/>
        <v>#REF!</v>
      </c>
      <c r="T198" s="465" t="e">
        <f>IF($B$38="P",IF(#REF!&lt;&gt;"",#REF!,""),"")</f>
        <v>#REF!</v>
      </c>
      <c r="U198" s="465" t="e">
        <f>IF($B$38="P",IF(#REF!&lt;&gt;"",ABS(#REF!),""),"")</f>
        <v>#REF!</v>
      </c>
      <c r="V198" s="465" t="e">
        <f>IF($B$38="P",IF(#REF!&lt;&gt;"",#REF!,""),"")</f>
        <v>#REF!</v>
      </c>
      <c r="W198" s="465" t="e">
        <f>IF($B$38="P",IF(#REF!&lt;&gt;"",#REF!,""),"")</f>
        <v>#REF!</v>
      </c>
      <c r="Y198">
        <v>21.0</v>
      </c>
      <c r="AB198">
        <f t="shared" si="3"/>
        <v>1.0</v>
      </c>
      <c r="AC198" s="358" t="e">
        <f t="shared" si="6"/>
        <v>#REF!</v>
      </c>
      <c r="AD198" s="465" t="e">
        <f>IF($B$38="P",IF(#REF!&lt;&gt;"",#REF!,""),IF(#REF!&lt;&gt;"",#REF!,""))</f>
        <v>#REF!</v>
      </c>
      <c r="AE198" s="465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358" t="e">
        <f t="shared" si="5"/>
        <v>#REF!</v>
      </c>
      <c r="AS198" s="465" t="e">
        <f>IF($B$38="P",IF(#REF!&lt;&gt;"",#REF!,""),"")</f>
        <v>#REF!</v>
      </c>
      <c r="AT198" s="465" t="e">
        <f>IF($B$38="P",IF(#REF!&lt;&gt;"",#REF!,""),"")</f>
        <v>#REF!</v>
      </c>
      <c r="AV198">
        <v>21.0</v>
      </c>
      <c r="AW198" s="361"/>
    </row>
    <row r="199" spans="18:49" ht="12.75" customHeight="1" hidden="1">
      <c r="R199">
        <f t="shared" si="1"/>
        <v>1.0</v>
      </c>
      <c r="S199" s="358" t="e">
        <f t="shared" si="2"/>
        <v>#REF!</v>
      </c>
      <c r="T199" s="465" t="e">
        <f>IF($B$38="P",IF(#REF!&lt;&gt;"",#REF!,""),"")</f>
        <v>#REF!</v>
      </c>
      <c r="U199" s="465" t="e">
        <f>IF($B$38="P",IF(#REF!&lt;&gt;"",ABS(#REF!),""),"")</f>
        <v>#REF!</v>
      </c>
      <c r="V199" s="465" t="e">
        <f>IF($B$38="P",IF(#REF!&lt;&gt;"",#REF!,""),"")</f>
        <v>#REF!</v>
      </c>
      <c r="W199" s="465" t="e">
        <f>IF($B$38="P",IF(#REF!&lt;&gt;"",#REF!,""),"")</f>
        <v>#REF!</v>
      </c>
      <c r="Y199">
        <v>22.0</v>
      </c>
      <c r="AB199">
        <f t="shared" si="3"/>
        <v>1.0</v>
      </c>
      <c r="AC199" s="358" t="e">
        <f t="shared" si="6"/>
        <v>#REF!</v>
      </c>
      <c r="AD199" s="465" t="e">
        <f>IF($B$38="P",IF(#REF!&lt;&gt;"",#REF!,""),IF(#REF!&lt;&gt;"",#REF!,""))</f>
        <v>#REF!</v>
      </c>
      <c r="AE199" s="465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358" t="e">
        <f t="shared" si="5"/>
        <v>#REF!</v>
      </c>
      <c r="AS199" s="465" t="e">
        <f>IF($B$38="P",IF(#REF!&lt;&gt;"",#REF!,""),"")</f>
        <v>#REF!</v>
      </c>
      <c r="AT199" s="465" t="e">
        <f>IF($B$38="P",IF(#REF!&lt;&gt;"",#REF!,""),"")</f>
        <v>#REF!</v>
      </c>
      <c r="AV199">
        <v>22.0</v>
      </c>
      <c r="AW199" s="361"/>
    </row>
    <row r="200" spans="18:49" ht="12.75" customHeight="1" hidden="1">
      <c r="R200">
        <f t="shared" si="1"/>
        <v>1.0</v>
      </c>
      <c r="S200" s="358" t="e">
        <f t="shared" si="2"/>
        <v>#REF!</v>
      </c>
      <c r="T200" s="465" t="e">
        <f>IF($B$38="P",IF(#REF!&lt;&gt;"",#REF!,""),"")</f>
        <v>#REF!</v>
      </c>
      <c r="U200" s="465" t="e">
        <f>IF($B$38="P",IF(#REF!&lt;&gt;"",ABS(#REF!),""),"")</f>
        <v>#REF!</v>
      </c>
      <c r="V200" s="465" t="e">
        <f>IF($B$38="P",IF(#REF!&lt;&gt;"",#REF!,""),"")</f>
        <v>#REF!</v>
      </c>
      <c r="W200" s="465" t="e">
        <f>IF($B$38="P",IF(#REF!&lt;&gt;"",#REF!,""),"")</f>
        <v>#REF!</v>
      </c>
      <c r="Y200">
        <v>23.0</v>
      </c>
      <c r="AB200">
        <f t="shared" si="3"/>
        <v>1.0</v>
      </c>
      <c r="AC200" s="358" t="e">
        <f t="shared" si="6"/>
        <v>#REF!</v>
      </c>
      <c r="AD200" s="465" t="e">
        <f>IF($B$38="P",IF(#REF!&lt;&gt;"",#REF!,""),IF(#REF!&lt;&gt;"",#REF!,""))</f>
        <v>#REF!</v>
      </c>
      <c r="AE200" s="465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358" t="e">
        <f t="shared" si="5"/>
        <v>#REF!</v>
      </c>
      <c r="AS200" s="465" t="e">
        <f>IF($B$38="P",IF(#REF!&lt;&gt;"",#REF!,""),"")</f>
        <v>#REF!</v>
      </c>
      <c r="AT200" s="465" t="e">
        <f>IF($B$38="P",IF(#REF!&lt;&gt;"",#REF!,""),"")</f>
        <v>#REF!</v>
      </c>
      <c r="AV200">
        <v>23.0</v>
      </c>
      <c r="AW200" s="361"/>
    </row>
    <row r="201" spans="18:49" ht="12.75" customHeight="1" hidden="1">
      <c r="R201">
        <f t="shared" si="1"/>
        <v>1.0</v>
      </c>
      <c r="S201" s="358" t="e">
        <f t="shared" si="2"/>
        <v>#REF!</v>
      </c>
      <c r="T201" s="465" t="e">
        <f>IF($B$38="P",IF(#REF!&lt;&gt;"",#REF!,""),"")</f>
        <v>#REF!</v>
      </c>
      <c r="U201" s="465" t="e">
        <f>IF($B$38="P",IF(#REF!&lt;&gt;"",ABS(#REF!),""),"")</f>
        <v>#REF!</v>
      </c>
      <c r="V201" s="465" t="e">
        <f>IF($B$38="P",IF(#REF!&lt;&gt;"",#REF!,""),"")</f>
        <v>#REF!</v>
      </c>
      <c r="W201" s="465" t="e">
        <f>IF($B$38="P",IF(#REF!&lt;&gt;"",#REF!,""),"")</f>
        <v>#REF!</v>
      </c>
      <c r="Y201">
        <v>24.0</v>
      </c>
      <c r="AB201">
        <f t="shared" si="3"/>
        <v>1.0</v>
      </c>
      <c r="AC201" s="358" t="e">
        <f t="shared" si="6"/>
        <v>#REF!</v>
      </c>
      <c r="AD201" s="465" t="e">
        <f>IF($B$38="P",IF(#REF!&lt;&gt;"",#REF!,""),IF(#REF!&lt;&gt;"",#REF!,""))</f>
        <v>#REF!</v>
      </c>
      <c r="AE201" s="465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358" t="e">
        <f t="shared" si="5"/>
        <v>#REF!</v>
      </c>
      <c r="AS201" s="465" t="e">
        <f>IF($B$38="P",IF(#REF!&lt;&gt;"",#REF!,""),"")</f>
        <v>#REF!</v>
      </c>
      <c r="AT201" s="465" t="e">
        <f>IF($B$38="P",IF(#REF!&lt;&gt;"",#REF!,""),"")</f>
        <v>#REF!</v>
      </c>
      <c r="AV201">
        <v>24.0</v>
      </c>
      <c r="AW201" s="361"/>
    </row>
    <row r="202" spans="18:49" ht="12.75" customHeight="1" hidden="1">
      <c r="R202">
        <f t="shared" si="1"/>
        <v>1.0</v>
      </c>
      <c r="S202" s="358" t="e">
        <f t="shared" si="2"/>
        <v>#REF!</v>
      </c>
      <c r="T202" s="465" t="e">
        <f>IF($B$38="P",IF(#REF!&lt;&gt;"",#REF!,""),"")</f>
        <v>#REF!</v>
      </c>
      <c r="U202" s="465" t="e">
        <f>IF($B$38="P",IF(#REF!&lt;&gt;"",ABS(#REF!),""),"")</f>
        <v>#REF!</v>
      </c>
      <c r="V202" s="465" t="e">
        <f>IF($B$38="P",IF(#REF!&lt;&gt;"",#REF!,""),"")</f>
        <v>#REF!</v>
      </c>
      <c r="W202" s="465" t="e">
        <f>IF($B$38="P",IF(#REF!&lt;&gt;"",#REF!,""),"")</f>
        <v>#REF!</v>
      </c>
      <c r="Y202">
        <v>25.0</v>
      </c>
      <c r="AB202">
        <f t="shared" si="3"/>
        <v>1.0</v>
      </c>
      <c r="AC202" s="358" t="e">
        <f t="shared" si="6"/>
        <v>#REF!</v>
      </c>
      <c r="AD202" s="465" t="e">
        <f>IF($B$38="P",IF(#REF!&lt;&gt;"",#REF!,""),IF(#REF!&lt;&gt;"",#REF!,""))</f>
        <v>#REF!</v>
      </c>
      <c r="AE202" s="465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358" t="e">
        <f t="shared" si="5"/>
        <v>#REF!</v>
      </c>
      <c r="AS202" s="465" t="e">
        <f>IF($B$38="P",IF(#REF!&lt;&gt;"",#REF!,""),"")</f>
        <v>#REF!</v>
      </c>
      <c r="AT202" s="465" t="e">
        <f>IF($B$38="P",IF(#REF!&lt;&gt;"",#REF!,""),"")</f>
        <v>#REF!</v>
      </c>
      <c r="AV202">
        <v>25.0</v>
      </c>
      <c r="AW202" s="361"/>
    </row>
    <row r="203" spans="18:49" ht="12.75" customHeight="1" hidden="1">
      <c r="R203">
        <f t="shared" si="1"/>
        <v>1.0</v>
      </c>
      <c r="S203" s="358" t="e">
        <f t="shared" si="2"/>
        <v>#REF!</v>
      </c>
      <c r="T203" s="465" t="e">
        <f>IF($B$38="P",IF(#REF!&lt;&gt;"",#REF!,""),"")</f>
        <v>#REF!</v>
      </c>
      <c r="U203" s="465" t="e">
        <f>IF($B$38="P",IF(#REF!&lt;&gt;"",ABS(#REF!),""),"")</f>
        <v>#REF!</v>
      </c>
      <c r="V203" s="465" t="e">
        <f>IF($B$38="P",IF(#REF!&lt;&gt;"",#REF!,""),"")</f>
        <v>#REF!</v>
      </c>
      <c r="W203" s="465" t="e">
        <f>IF($B$38="P",IF(#REF!&lt;&gt;"",#REF!,""),"")</f>
        <v>#REF!</v>
      </c>
      <c r="Y203">
        <v>26.0</v>
      </c>
      <c r="AB203">
        <f t="shared" si="3"/>
        <v>1.0</v>
      </c>
      <c r="AC203" s="358" t="e">
        <f t="shared" si="6"/>
        <v>#REF!</v>
      </c>
      <c r="AD203" s="465" t="e">
        <f>IF($B$38="P",IF(#REF!&lt;&gt;"",#REF!,""),IF(#REF!&lt;&gt;"",#REF!,""))</f>
        <v>#REF!</v>
      </c>
      <c r="AE203" s="465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358" t="e">
        <f t="shared" si="5"/>
        <v>#REF!</v>
      </c>
      <c r="AS203" s="465" t="e">
        <f>IF($B$38="P",IF(#REF!&lt;&gt;"",#REF!,""),"")</f>
        <v>#REF!</v>
      </c>
      <c r="AT203" s="465" t="e">
        <f>IF($B$38="P",IF(#REF!&lt;&gt;"",#REF!,""),"")</f>
        <v>#REF!</v>
      </c>
      <c r="AV203">
        <v>26.0</v>
      </c>
      <c r="AW203" s="361"/>
    </row>
    <row r="204" spans="18:49" ht="12.75" customHeight="1" hidden="1">
      <c r="R204">
        <f t="shared" si="1"/>
        <v>1.0</v>
      </c>
      <c r="S204" s="358" t="e">
        <f t="shared" si="2"/>
        <v>#REF!</v>
      </c>
      <c r="T204" s="465" t="e">
        <f>IF($B$38="P",IF(#REF!&lt;&gt;"",#REF!,""),"")</f>
        <v>#REF!</v>
      </c>
      <c r="U204" s="465" t="e">
        <f>IF($B$38="P",IF(#REF!&lt;&gt;"",ABS(#REF!),""),"")</f>
        <v>#REF!</v>
      </c>
      <c r="V204" s="465" t="e">
        <f>IF($B$38="P",IF(#REF!&lt;&gt;"",#REF!,""),"")</f>
        <v>#REF!</v>
      </c>
      <c r="W204" s="465" t="e">
        <f>IF($B$38="P",IF(#REF!&lt;&gt;"",#REF!,""),"")</f>
        <v>#REF!</v>
      </c>
      <c r="Y204">
        <v>27.0</v>
      </c>
      <c r="AB204">
        <f t="shared" si="3"/>
        <v>1.0</v>
      </c>
      <c r="AC204" s="358" t="e">
        <f t="shared" si="6"/>
        <v>#REF!</v>
      </c>
      <c r="AD204" s="465" t="e">
        <f>IF($B$38="P",IF(#REF!&lt;&gt;"",#REF!,""),"")</f>
        <v>#REF!</v>
      </c>
      <c r="AE204" s="465" t="e">
        <f>IF($B$38="P",IF(#REF!&lt;&gt;"",#REF!,""),"")</f>
        <v>#REF!</v>
      </c>
      <c r="AG204">
        <v>27.0</v>
      </c>
      <c r="AQ204">
        <f t="shared" si="4"/>
        <v>1.0</v>
      </c>
      <c r="AR204" s="358" t="e">
        <f t="shared" si="5"/>
        <v>#REF!</v>
      </c>
      <c r="AS204" s="465" t="e">
        <f>IF($B$38="P",IF(#REF!&lt;&gt;"",#REF!,""),"")</f>
        <v>#REF!</v>
      </c>
      <c r="AT204" s="465" t="e">
        <f>IF($B$38="P",IF(#REF!&lt;&gt;"",#REF!,""),"")</f>
        <v>#REF!</v>
      </c>
      <c r="AV204">
        <v>27.0</v>
      </c>
      <c r="AW204" s="361"/>
    </row>
    <row r="205" spans="18:49" ht="12.75" customHeight="1" hidden="1">
      <c r="R205">
        <f t="shared" si="1"/>
        <v>1.0</v>
      </c>
      <c r="S205" s="358" t="e">
        <f t="shared" si="2"/>
        <v>#REF!</v>
      </c>
      <c r="T205" s="465" t="e">
        <f>IF($B$38="P",IF(#REF!&lt;&gt;"",#REF!,""),"")</f>
        <v>#REF!</v>
      </c>
      <c r="U205" s="465" t="e">
        <f>IF($B$38="P",IF(#REF!&lt;&gt;"",ABS(#REF!),""),"")</f>
        <v>#REF!</v>
      </c>
      <c r="V205" s="465" t="e">
        <f>IF($B$38="P",IF(#REF!&lt;&gt;"",#REF!,""),"")</f>
        <v>#REF!</v>
      </c>
      <c r="W205" s="465" t="e">
        <f>IF($B$38="P",IF(#REF!&lt;&gt;"",#REF!,""),"")</f>
        <v>#REF!</v>
      </c>
      <c r="Y205">
        <v>28.0</v>
      </c>
      <c r="AB205">
        <f t="shared" si="3"/>
        <v>1.0</v>
      </c>
      <c r="AC205" s="358" t="e">
        <f t="shared" si="6"/>
        <v>#REF!</v>
      </c>
      <c r="AD205" s="465" t="e">
        <f>IF($B$38="P",IF(#REF!&lt;&gt;"",#REF!,""),"")</f>
        <v>#REF!</v>
      </c>
      <c r="AE205" s="465" t="e">
        <f>IF($B$38="P",IF(#REF!&lt;&gt;"",#REF!,""),"")</f>
        <v>#REF!</v>
      </c>
      <c r="AG205">
        <v>28.0</v>
      </c>
      <c r="AQ205">
        <f t="shared" si="4"/>
        <v>1.0</v>
      </c>
      <c r="AR205" s="358" t="e">
        <f t="shared" si="5"/>
        <v>#REF!</v>
      </c>
      <c r="AS205" s="465" t="e">
        <f>IF($B$38="P",IF(#REF!&lt;&gt;"",#REF!,""),"")</f>
        <v>#REF!</v>
      </c>
      <c r="AT205" s="465" t="e">
        <f>IF($B$38="P",IF(#REF!&lt;&gt;"",#REF!,""),"")</f>
        <v>#REF!</v>
      </c>
      <c r="AV205">
        <v>28.0</v>
      </c>
      <c r="AW205" s="361"/>
    </row>
    <row r="206" spans="18:49" ht="12.75" customHeight="1" hidden="1">
      <c r="R206">
        <f t="shared" si="1"/>
        <v>1.0</v>
      </c>
      <c r="S206" s="358" t="e">
        <f t="shared" si="2"/>
        <v>#REF!</v>
      </c>
      <c r="T206" s="465" t="e">
        <f>IF($B$38="P",IF(#REF!&lt;&gt;"",#REF!,""),"")</f>
        <v>#REF!</v>
      </c>
      <c r="U206" s="465" t="e">
        <f>IF($B$38="P",IF(#REF!&lt;&gt;"",ABS(#REF!),""),"")</f>
        <v>#REF!</v>
      </c>
      <c r="V206" s="465" t="e">
        <f>IF($B$38="P",IF(#REF!&lt;&gt;"",#REF!,""),"")</f>
        <v>#REF!</v>
      </c>
      <c r="W206" s="465" t="e">
        <f>IF($B$38="P",IF(#REF!&lt;&gt;"",#REF!,""),"")</f>
        <v>#REF!</v>
      </c>
      <c r="Y206">
        <v>29.0</v>
      </c>
      <c r="AB206">
        <f t="shared" si="3"/>
        <v>1.0</v>
      </c>
      <c r="AC206" s="358" t="e">
        <f t="shared" si="6"/>
        <v>#REF!</v>
      </c>
      <c r="AD206" s="465" t="e">
        <f>IF($B$38="P",IF(#REF!&lt;&gt;"",#REF!,""),"")</f>
        <v>#REF!</v>
      </c>
      <c r="AE206" s="465" t="e">
        <f>IF($B$38="P",IF(#REF!&lt;&gt;"",#REF!,""),"")</f>
        <v>#REF!</v>
      </c>
      <c r="AG206">
        <v>29.0</v>
      </c>
      <c r="AQ206">
        <f t="shared" si="4"/>
        <v>1.0</v>
      </c>
      <c r="AR206" s="358" t="e">
        <f t="shared" si="5"/>
        <v>#REF!</v>
      </c>
      <c r="AS206" s="465" t="e">
        <f>IF($B$38="P",IF(#REF!&lt;&gt;"",#REF!,""),"")</f>
        <v>#REF!</v>
      </c>
      <c r="AT206" s="465" t="e">
        <f>IF($B$38="P",IF(#REF!&lt;&gt;"",#REF!,""),"")</f>
        <v>#REF!</v>
      </c>
      <c r="AV206">
        <v>29.0</v>
      </c>
      <c r="AW206" s="361"/>
    </row>
    <row r="207" spans="18:49" ht="12.75" customHeight="1" hidden="1">
      <c r="R207">
        <f t="shared" si="1"/>
        <v>1.0</v>
      </c>
      <c r="S207" s="358" t="e">
        <f t="shared" si="2"/>
        <v>#REF!</v>
      </c>
      <c r="T207" s="465" t="e">
        <f>IF($B$38="P",IF(#REF!&lt;&gt;"",#REF!,""),"")</f>
        <v>#REF!</v>
      </c>
      <c r="U207" s="465" t="e">
        <f>IF($B$38="P",IF(#REF!&lt;&gt;"",ABS(#REF!),""),"")</f>
        <v>#REF!</v>
      </c>
      <c r="V207" s="465" t="e">
        <f>IF($B$38="P",IF(#REF!&lt;&gt;"",#REF!,""),"")</f>
        <v>#REF!</v>
      </c>
      <c r="W207" s="465" t="e">
        <f>IF($B$38="P",IF(#REF!&lt;&gt;"",#REF!,""),"")</f>
        <v>#REF!</v>
      </c>
      <c r="Y207">
        <v>30.0</v>
      </c>
      <c r="AB207">
        <f t="shared" si="3"/>
        <v>1.0</v>
      </c>
      <c r="AC207" s="358" t="e">
        <f t="shared" si="6"/>
        <v>#REF!</v>
      </c>
      <c r="AD207" s="465" t="e">
        <f>IF($B$38="P",IF(#REF!&lt;&gt;"",#REF!,""),"")</f>
        <v>#REF!</v>
      </c>
      <c r="AE207" s="465" t="e">
        <f>IF($B$38="P",IF(#REF!&lt;&gt;"",#REF!,""),"")</f>
        <v>#REF!</v>
      </c>
      <c r="AG207">
        <v>30.0</v>
      </c>
      <c r="AQ207">
        <f t="shared" si="4"/>
        <v>1.0</v>
      </c>
      <c r="AR207" s="358" t="e">
        <f t="shared" si="5"/>
        <v>#REF!</v>
      </c>
      <c r="AS207" s="465" t="e">
        <f>IF($B$38="P",IF(#REF!&lt;&gt;"",#REF!,""),"")</f>
        <v>#REF!</v>
      </c>
      <c r="AT207" s="465" t="e">
        <f>IF($B$38="P",IF(#REF!&lt;&gt;"",#REF!,""),"")</f>
        <v>#REF!</v>
      </c>
      <c r="AV207">
        <v>30.0</v>
      </c>
      <c r="AW207" s="361"/>
    </row>
    <row r="208" spans="18:49" ht="12.75" customHeight="1" hidden="1">
      <c r="R208">
        <f t="shared" si="1"/>
        <v>1.0</v>
      </c>
      <c r="S208" s="358" t="e">
        <f t="shared" si="2"/>
        <v>#REF!</v>
      </c>
      <c r="T208" s="465" t="e">
        <f>IF($B$38="P",IF(#REF!&lt;&gt;"",#REF!,""),"")</f>
        <v>#REF!</v>
      </c>
      <c r="U208" s="465" t="e">
        <f>IF($B$38="P",IF(#REF!&lt;&gt;"",ABS(#REF!),""),"")</f>
        <v>#REF!</v>
      </c>
      <c r="V208" s="465" t="e">
        <f>IF($B$38="P",IF(#REF!&lt;&gt;"",#REF!,""),"")</f>
        <v>#REF!</v>
      </c>
      <c r="W208" s="465" t="e">
        <f>IF($B$38="P",IF(#REF!&lt;&gt;"",#REF!,""),"")</f>
        <v>#REF!</v>
      </c>
      <c r="Y208">
        <v>31.0</v>
      </c>
      <c r="AB208">
        <f t="shared" si="3"/>
        <v>1.0</v>
      </c>
      <c r="AC208" s="358" t="e">
        <f t="shared" si="6"/>
        <v>#REF!</v>
      </c>
      <c r="AD208" s="465" t="e">
        <f>IF($B$38="P",IF(#REF!&lt;&gt;"",#REF!,""),"")</f>
        <v>#REF!</v>
      </c>
      <c r="AE208" s="465" t="e">
        <f>IF($B$38="P",IF(#REF!&lt;&gt;"",#REF!,""),"")</f>
        <v>#REF!</v>
      </c>
      <c r="AG208">
        <v>31.0</v>
      </c>
      <c r="AQ208">
        <f t="shared" si="4"/>
        <v>1.0</v>
      </c>
      <c r="AR208" s="358" t="e">
        <f t="shared" si="5"/>
        <v>#REF!</v>
      </c>
      <c r="AS208" s="465" t="e">
        <f>IF($B$38="P",IF(#REF!&lt;&gt;"",#REF!,""),"")</f>
        <v>#REF!</v>
      </c>
      <c r="AT208" s="465" t="e">
        <f>IF($B$38="P",IF(#REF!&lt;&gt;"",#REF!,""),"")</f>
        <v>#REF!</v>
      </c>
      <c r="AV208">
        <v>31.0</v>
      </c>
      <c r="AW208" s="361"/>
    </row>
    <row r="209" spans="18:49" ht="12.75" customHeight="1" hidden="1">
      <c r="R209">
        <f t="shared" si="1"/>
        <v>1.0</v>
      </c>
      <c r="S209" s="358" t="e">
        <f t="shared" si="2"/>
        <v>#REF!</v>
      </c>
      <c r="T209" s="465" t="e">
        <f>IF($B$38="P",IF(#REF!&lt;&gt;"",#REF!,""),"")</f>
        <v>#REF!</v>
      </c>
      <c r="U209" s="465" t="e">
        <f>IF($B$38="P",IF(#REF!&lt;&gt;"",ABS(#REF!),""),"")</f>
        <v>#REF!</v>
      </c>
      <c r="V209" s="465" t="e">
        <f>IF($B$38="P",IF(#REF!&lt;&gt;"",#REF!,""),"")</f>
        <v>#REF!</v>
      </c>
      <c r="W209" s="465" t="e">
        <f>IF($B$38="P",IF(#REF!&lt;&gt;"",#REF!,""),"")</f>
        <v>#REF!</v>
      </c>
      <c r="Y209">
        <v>32.0</v>
      </c>
      <c r="AB209">
        <f t="shared" si="3"/>
        <v>1.0</v>
      </c>
      <c r="AC209" s="358" t="e">
        <f t="shared" si="6"/>
        <v>#REF!</v>
      </c>
      <c r="AD209" s="465" t="e">
        <f>IF($B$38="P",IF(#REF!&lt;&gt;"",#REF!,""),"")</f>
        <v>#REF!</v>
      </c>
      <c r="AE209" s="465" t="e">
        <f>IF($B$38="P",IF(#REF!&lt;&gt;"",#REF!,""),"")</f>
        <v>#REF!</v>
      </c>
      <c r="AG209">
        <v>32.0</v>
      </c>
      <c r="AQ209">
        <f t="shared" si="4"/>
        <v>1.0</v>
      </c>
      <c r="AR209" s="358" t="e">
        <f t="shared" si="5"/>
        <v>#REF!</v>
      </c>
      <c r="AS209" s="465" t="e">
        <f>IF($B$38="P",IF(#REF!&lt;&gt;"",#REF!,""),"")</f>
        <v>#REF!</v>
      </c>
      <c r="AT209" s="465" t="e">
        <f>IF($B$38="P",IF(#REF!&lt;&gt;"",#REF!,""),"")</f>
        <v>#REF!</v>
      </c>
      <c r="AV209">
        <v>32.0</v>
      </c>
      <c r="AW209" s="361"/>
    </row>
    <row r="210" spans="18:49" ht="12.75" customHeight="1" hidden="1">
      <c r="R210">
        <f t="shared" si="7" ref="R210:R243">$Q$178</f>
        <v>1.0</v>
      </c>
      <c r="S210" s="358" t="e">
        <f t="shared" si="2"/>
        <v>#REF!</v>
      </c>
      <c r="T210" s="465" t="e">
        <f>IF($B$38="P",IF(#REF!&lt;&gt;"",#REF!,""),"")</f>
        <v>#REF!</v>
      </c>
      <c r="U210" s="465" t="e">
        <f>IF($B$38="P",IF(#REF!&lt;&gt;"",ABS(#REF!),""),"")</f>
        <v>#REF!</v>
      </c>
      <c r="V210" s="465" t="e">
        <f>IF($B$38="P",IF(#REF!&lt;&gt;"",#REF!,""),"")</f>
        <v>#REF!</v>
      </c>
      <c r="W210" s="465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358" t="e">
        <f t="shared" si="6"/>
        <v>#REF!</v>
      </c>
      <c r="AD210" s="465" t="e">
        <f>IF($B$38="P",IF(#REF!&lt;&gt;"",#REF!,""),"")</f>
        <v>#REF!</v>
      </c>
      <c r="AE210" s="465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358" t="e">
        <f t="shared" si="5"/>
        <v>#REF!</v>
      </c>
      <c r="AS210" s="465" t="e">
        <f>IF($B$38="P",IF(#REF!&lt;&gt;"",#REF!,""),"")</f>
        <v>#REF!</v>
      </c>
      <c r="AT210" s="465" t="e">
        <f>IF($B$38="P",IF(#REF!&lt;&gt;"",#REF!,""),"")</f>
        <v>#REF!</v>
      </c>
      <c r="AV210">
        <v>33.0</v>
      </c>
      <c r="AW210" s="361"/>
    </row>
    <row r="211" spans="18:49" ht="12.75" customHeight="1" hidden="1">
      <c r="R211">
        <f t="shared" si="7"/>
        <v>1.0</v>
      </c>
      <c r="S211" s="358" t="e">
        <f t="shared" si="2"/>
        <v>#REF!</v>
      </c>
      <c r="T211" s="465" t="e">
        <f>IF($B$38="P",IF(#REF!&lt;&gt;"",#REF!,""),"")</f>
        <v>#REF!</v>
      </c>
      <c r="U211" s="465" t="e">
        <f>IF($B$38="P",IF(#REF!&lt;&gt;"",ABS(#REF!),""),"")</f>
        <v>#REF!</v>
      </c>
      <c r="V211" s="465" t="e">
        <f>IF($B$38="P",IF(#REF!&lt;&gt;"",#REF!,""),"")</f>
        <v>#REF!</v>
      </c>
      <c r="W211" s="465" t="e">
        <f>IF($B$38="P",IF(#REF!&lt;&gt;"",#REF!,""),"")</f>
        <v>#REF!</v>
      </c>
      <c r="Y211">
        <v>34.0</v>
      </c>
      <c r="AB211">
        <f t="shared" si="8"/>
        <v>1.0</v>
      </c>
      <c r="AC211" s="358" t="e">
        <f t="shared" si="6"/>
        <v>#REF!</v>
      </c>
      <c r="AD211" s="465" t="e">
        <f>IF($B$38="P",IF(#REF!&lt;&gt;"",#REF!,""),"")</f>
        <v>#REF!</v>
      </c>
      <c r="AE211" s="465" t="e">
        <f>IF($B$38="P",IF(#REF!&lt;&gt;"",#REF!,""),"")</f>
        <v>#REF!</v>
      </c>
      <c r="AG211">
        <v>34.0</v>
      </c>
      <c r="AQ211">
        <f t="shared" si="9"/>
        <v>1.0</v>
      </c>
      <c r="AR211" s="358" t="e">
        <f t="shared" si="5"/>
        <v>#REF!</v>
      </c>
      <c r="AS211" s="465" t="e">
        <f>IF($B$38="P",IF(#REF!&lt;&gt;"",#REF!,""),"")</f>
        <v>#REF!</v>
      </c>
      <c r="AT211" s="465" t="e">
        <f>IF($B$38="P",IF(#REF!&lt;&gt;"",#REF!,""),"")</f>
        <v>#REF!</v>
      </c>
      <c r="AV211">
        <v>34.0</v>
      </c>
      <c r="AW211" s="361"/>
    </row>
    <row r="212" spans="18:49" ht="12.75" customHeight="1" hidden="1">
      <c r="R212">
        <f t="shared" si="7"/>
        <v>1.0</v>
      </c>
      <c r="S212" s="358" t="e">
        <f t="shared" si="2"/>
        <v>#REF!</v>
      </c>
      <c r="T212" s="465" t="e">
        <f>IF($B$38="P",IF(#REF!&lt;&gt;"",#REF!,""),"")</f>
        <v>#REF!</v>
      </c>
      <c r="U212" s="465" t="e">
        <f>IF($B$38="P",IF(#REF!&lt;&gt;"",ABS(#REF!),""),"")</f>
        <v>#REF!</v>
      </c>
      <c r="V212" s="465" t="e">
        <f>IF($B$38="P",IF(#REF!&lt;&gt;"",#REF!,""),"")</f>
        <v>#REF!</v>
      </c>
      <c r="W212" s="465" t="e">
        <f>IF($B$38="P",IF(#REF!&lt;&gt;"",#REF!,""),"")</f>
        <v>#REF!</v>
      </c>
      <c r="Y212">
        <v>35.0</v>
      </c>
      <c r="AB212">
        <f t="shared" si="8"/>
        <v>1.0</v>
      </c>
      <c r="AC212" s="358" t="e">
        <f t="shared" si="6"/>
        <v>#REF!</v>
      </c>
      <c r="AD212" s="465" t="e">
        <f>IF($B$38="P",IF(#REF!&lt;&gt;"",#REF!,""),"")</f>
        <v>#REF!</v>
      </c>
      <c r="AE212" s="465" t="e">
        <f>IF($B$38="P",IF(#REF!&lt;&gt;"",#REF!,""),"")</f>
        <v>#REF!</v>
      </c>
      <c r="AG212">
        <v>35.0</v>
      </c>
      <c r="AQ212">
        <f t="shared" si="9"/>
        <v>1.0</v>
      </c>
      <c r="AR212" s="358" t="e">
        <f t="shared" si="5"/>
        <v>#REF!</v>
      </c>
      <c r="AS212" s="465" t="e">
        <f>IF($B$38="P",IF(#REF!&lt;&gt;"",#REF!,""),"")</f>
        <v>#REF!</v>
      </c>
      <c r="AT212" s="465" t="e">
        <f>IF($B$38="P",IF(#REF!&lt;&gt;"",#REF!,""),"")</f>
        <v>#REF!</v>
      </c>
      <c r="AV212">
        <v>35.0</v>
      </c>
      <c r="AW212" s="361"/>
    </row>
    <row r="213" spans="18:49" ht="12.75" customHeight="1" hidden="1">
      <c r="R213">
        <f t="shared" si="7"/>
        <v>1.0</v>
      </c>
      <c r="S213" s="358" t="e">
        <f t="shared" si="2"/>
        <v>#REF!</v>
      </c>
      <c r="T213" s="465" t="e">
        <f>IF($B$38="P",IF(#REF!&lt;&gt;"",#REF!,""),"")</f>
        <v>#REF!</v>
      </c>
      <c r="U213" s="465" t="e">
        <f>IF($B$38="P",IF(#REF!&lt;&gt;"",ABS(#REF!),""),"")</f>
        <v>#REF!</v>
      </c>
      <c r="V213" s="465" t="e">
        <f>IF($B$38="P",IF(#REF!&lt;&gt;"",#REF!,""),"")</f>
        <v>#REF!</v>
      </c>
      <c r="W213" s="465" t="e">
        <f>IF($B$38="P",IF(#REF!&lt;&gt;"",#REF!,""),"")</f>
        <v>#REF!</v>
      </c>
      <c r="Y213">
        <v>36.0</v>
      </c>
      <c r="AB213">
        <f t="shared" si="8"/>
        <v>1.0</v>
      </c>
      <c r="AC213" s="358" t="e">
        <f t="shared" si="6"/>
        <v>#REF!</v>
      </c>
      <c r="AD213" s="465" t="e">
        <f>IF($B$38="P",IF(#REF!&lt;&gt;"",#REF!,""),"")</f>
        <v>#REF!</v>
      </c>
      <c r="AE213" s="465" t="e">
        <f>IF($B$38="P",IF(#REF!&lt;&gt;"",#REF!,""),"")</f>
        <v>#REF!</v>
      </c>
      <c r="AG213">
        <v>36.0</v>
      </c>
      <c r="AQ213">
        <f t="shared" si="9"/>
        <v>1.0</v>
      </c>
      <c r="AR213" s="358" t="e">
        <f t="shared" si="5"/>
        <v>#REF!</v>
      </c>
      <c r="AS213" s="465" t="e">
        <f>IF($B$38="P",IF(#REF!&lt;&gt;"",#REF!,""),"")</f>
        <v>#REF!</v>
      </c>
      <c r="AT213" s="465" t="e">
        <f>IF($B$38="P",IF(#REF!&lt;&gt;"",#REF!,""),"")</f>
        <v>#REF!</v>
      </c>
      <c r="AV213">
        <v>36.0</v>
      </c>
      <c r="AW213" s="361"/>
    </row>
    <row r="214" spans="18:49" ht="12.75" customHeight="1" hidden="1">
      <c r="R214">
        <f t="shared" si="7"/>
        <v>1.0</v>
      </c>
      <c r="S214" s="358" t="e">
        <f t="shared" si="2"/>
        <v>#REF!</v>
      </c>
      <c r="T214" s="465" t="e">
        <f>IF($B$38="P",IF(#REF!&lt;&gt;"",#REF!,""),"")</f>
        <v>#REF!</v>
      </c>
      <c r="U214" s="465" t="e">
        <f>IF($B$38="P",IF(#REF!&lt;&gt;"",ABS(#REF!),""),"")</f>
        <v>#REF!</v>
      </c>
      <c r="V214" s="465" t="e">
        <f>IF($B$38="P",IF(#REF!&lt;&gt;"",#REF!,""),"")</f>
        <v>#REF!</v>
      </c>
      <c r="W214" s="465" t="e">
        <f>IF($B$38="P",IF(#REF!&lt;&gt;"",#REF!,""),"")</f>
        <v>#REF!</v>
      </c>
      <c r="Y214">
        <v>37.0</v>
      </c>
      <c r="AB214">
        <f t="shared" si="8"/>
        <v>1.0</v>
      </c>
      <c r="AC214" s="358" t="e">
        <f t="shared" si="6"/>
        <v>#REF!</v>
      </c>
      <c r="AD214" s="465" t="e">
        <f>IF($B$38="P",IF(#REF!&lt;&gt;"",#REF!,""),"")</f>
        <v>#REF!</v>
      </c>
      <c r="AE214" s="465" t="e">
        <f>IF($B$38="P",IF(#REF!&lt;&gt;"",#REF!,""),"")</f>
        <v>#REF!</v>
      </c>
      <c r="AG214">
        <v>37.0</v>
      </c>
      <c r="AQ214">
        <f t="shared" si="9"/>
        <v>1.0</v>
      </c>
      <c r="AR214" s="358" t="e">
        <f t="shared" si="5"/>
        <v>#REF!</v>
      </c>
      <c r="AS214" s="465" t="e">
        <f>IF($B$38="P",IF(#REF!&lt;&gt;"",#REF!,""),"")</f>
        <v>#REF!</v>
      </c>
      <c r="AT214" s="465" t="e">
        <f>IF($B$38="P",IF(#REF!&lt;&gt;"",#REF!,""),"")</f>
        <v>#REF!</v>
      </c>
      <c r="AV214">
        <v>37.0</v>
      </c>
      <c r="AW214" s="361"/>
    </row>
    <row r="215" spans="18:49" ht="12.75" customHeight="1" hidden="1">
      <c r="R215">
        <f t="shared" si="7"/>
        <v>1.0</v>
      </c>
      <c r="S215" s="358" t="e">
        <f t="shared" si="2"/>
        <v>#REF!</v>
      </c>
      <c r="T215" s="465" t="e">
        <f>IF($B$38="P",IF(#REF!&lt;&gt;"",#REF!,""),"")</f>
        <v>#REF!</v>
      </c>
      <c r="U215" s="465" t="e">
        <f>IF($B$38="P",IF(#REF!&lt;&gt;"",ABS(#REF!),""),"")</f>
        <v>#REF!</v>
      </c>
      <c r="V215" s="465" t="e">
        <f>IF($B$38="P",IF(#REF!&lt;&gt;"",#REF!,""),"")</f>
        <v>#REF!</v>
      </c>
      <c r="W215" s="465" t="e">
        <f>IF($B$38="P",IF(#REF!&lt;&gt;"",#REF!,""),"")</f>
        <v>#REF!</v>
      </c>
      <c r="Y215">
        <v>38.0</v>
      </c>
      <c r="AB215">
        <f t="shared" si="8"/>
        <v>1.0</v>
      </c>
      <c r="AC215" s="358" t="e">
        <f t="shared" si="6"/>
        <v>#REF!</v>
      </c>
      <c r="AD215" s="465" t="e">
        <f>IF($B$38="P",IF(#REF!&lt;&gt;"",#REF!,""),"")</f>
        <v>#REF!</v>
      </c>
      <c r="AE215" s="465" t="e">
        <f>IF($B$38="P",IF(#REF!&lt;&gt;"",#REF!,""),"")</f>
        <v>#REF!</v>
      </c>
      <c r="AG215">
        <v>38.0</v>
      </c>
      <c r="AQ215">
        <f t="shared" si="9"/>
        <v>1.0</v>
      </c>
      <c r="AR215" s="358" t="e">
        <f t="shared" si="5"/>
        <v>#REF!</v>
      </c>
      <c r="AS215" s="465" t="e">
        <f>IF($B$38="P",IF(#REF!&lt;&gt;"",#REF!,""),"")</f>
        <v>#REF!</v>
      </c>
      <c r="AT215" s="465" t="e">
        <f>IF($B$38="P",IF(#REF!&lt;&gt;"",#REF!,""),"")</f>
        <v>#REF!</v>
      </c>
      <c r="AV215">
        <v>38.0</v>
      </c>
      <c r="AW215" s="361"/>
    </row>
    <row r="216" spans="18:49" ht="12.75" customHeight="1" hidden="1">
      <c r="R216">
        <f t="shared" si="7"/>
        <v>1.0</v>
      </c>
      <c r="S216" s="358" t="e">
        <f t="shared" si="2"/>
        <v>#REF!</v>
      </c>
      <c r="T216" s="465" t="e">
        <f>IF($B$38="P",IF(#REF!&lt;&gt;"",#REF!,""),"")</f>
        <v>#REF!</v>
      </c>
      <c r="U216" s="465" t="e">
        <f>IF($B$38="P",IF(#REF!&lt;&gt;"",ABS(#REF!),""),"")</f>
        <v>#REF!</v>
      </c>
      <c r="V216" s="465" t="e">
        <f>IF($B$38="P",IF(#REF!&lt;&gt;"",#REF!,""),"")</f>
        <v>#REF!</v>
      </c>
      <c r="W216" s="465" t="e">
        <f>IF($B$38="P",IF(#REF!&lt;&gt;"",#REF!,""),"")</f>
        <v>#REF!</v>
      </c>
      <c r="Y216">
        <v>39.0</v>
      </c>
      <c r="AB216">
        <f t="shared" si="8"/>
        <v>1.0</v>
      </c>
      <c r="AC216" s="358" t="e">
        <f t="shared" si="6"/>
        <v>#REF!</v>
      </c>
      <c r="AD216" s="465" t="e">
        <f>IF($B$38="P",IF(#REF!&lt;&gt;"",#REF!,""),"")</f>
        <v>#REF!</v>
      </c>
      <c r="AE216" s="465" t="e">
        <f>IF($B$38="P",IF(#REF!&lt;&gt;"",#REF!,""),"")</f>
        <v>#REF!</v>
      </c>
      <c r="AG216">
        <v>39.0</v>
      </c>
      <c r="AQ216">
        <f t="shared" si="9"/>
        <v>1.0</v>
      </c>
      <c r="AR216" s="358" t="e">
        <f t="shared" si="5"/>
        <v>#REF!</v>
      </c>
      <c r="AS216" s="465" t="e">
        <f>IF($B$38="P",IF(#REF!&lt;&gt;"",#REF!,""),"")</f>
        <v>#REF!</v>
      </c>
      <c r="AT216" s="465" t="e">
        <f>IF($B$38="P",IF(#REF!&lt;&gt;"",#REF!,""),"")</f>
        <v>#REF!</v>
      </c>
      <c r="AV216">
        <v>39.0</v>
      </c>
      <c r="AW216" s="361"/>
    </row>
    <row r="217" spans="18:49" ht="12.75" customHeight="1" hidden="1">
      <c r="R217">
        <f t="shared" si="7"/>
        <v>1.0</v>
      </c>
      <c r="S217" s="358" t="e">
        <f t="shared" si="2"/>
        <v>#REF!</v>
      </c>
      <c r="T217" s="465" t="e">
        <f>IF($B$38="P",IF(#REF!&lt;&gt;"",#REF!,""),"")</f>
        <v>#REF!</v>
      </c>
      <c r="U217" s="465" t="e">
        <f>IF($B$38="P",IF(#REF!&lt;&gt;"",ABS(#REF!),""),"")</f>
        <v>#REF!</v>
      </c>
      <c r="V217" s="465" t="e">
        <f>IF($B$38="P",IF(#REF!&lt;&gt;"",#REF!,""),"")</f>
        <v>#REF!</v>
      </c>
      <c r="W217" s="465" t="e">
        <f>IF($B$38="P",IF(#REF!&lt;&gt;"",#REF!,""),"")</f>
        <v>#REF!</v>
      </c>
      <c r="Y217">
        <v>40.0</v>
      </c>
      <c r="AB217">
        <f t="shared" si="8"/>
        <v>1.0</v>
      </c>
      <c r="AC217" s="358" t="e">
        <f t="shared" si="6"/>
        <v>#REF!</v>
      </c>
      <c r="AD217" s="465" t="e">
        <f>IF($B$38="P",IF(#REF!&lt;&gt;"",#REF!,""),"")</f>
        <v>#REF!</v>
      </c>
      <c r="AE217" s="465" t="e">
        <f>IF($B$38="P",IF(#REF!&lt;&gt;"",#REF!,""),"")</f>
        <v>#REF!</v>
      </c>
      <c r="AG217">
        <v>40.0</v>
      </c>
      <c r="AQ217">
        <f t="shared" si="9"/>
        <v>1.0</v>
      </c>
      <c r="AR217" s="358" t="e">
        <f t="shared" si="5"/>
        <v>#REF!</v>
      </c>
      <c r="AS217" s="465" t="e">
        <f>IF($B$38="P",IF(#REF!&lt;&gt;"",#REF!,""),"")</f>
        <v>#REF!</v>
      </c>
      <c r="AT217" s="465" t="e">
        <f>IF($B$38="P",IF(#REF!&lt;&gt;"",#REF!,""),"")</f>
        <v>#REF!</v>
      </c>
      <c r="AV217">
        <v>40.0</v>
      </c>
      <c r="AW217" s="361"/>
    </row>
    <row r="218" spans="18:49" ht="12.75" customHeight="1" hidden="1">
      <c r="R218">
        <f t="shared" si="7"/>
        <v>1.0</v>
      </c>
      <c r="S218" s="358" t="e">
        <f t="shared" si="2"/>
        <v>#REF!</v>
      </c>
      <c r="T218" s="465" t="e">
        <f>IF($B$38="P",IF(#REF!&lt;&gt;"",#REF!,""),"")</f>
        <v>#REF!</v>
      </c>
      <c r="U218" s="465" t="e">
        <f>IF($B$38="P",IF(#REF!&lt;&gt;"",ABS(#REF!),""),"")</f>
        <v>#REF!</v>
      </c>
      <c r="V218" s="465" t="e">
        <f>IF($B$38="P",IF(#REF!&lt;&gt;"",#REF!,""),"")</f>
        <v>#REF!</v>
      </c>
      <c r="W218" s="465" t="e">
        <f>IF($B$38="P",IF(#REF!&lt;&gt;"",#REF!,""),"")</f>
        <v>#REF!</v>
      </c>
      <c r="Y218">
        <v>41.0</v>
      </c>
      <c r="AB218">
        <f t="shared" si="8"/>
        <v>1.0</v>
      </c>
      <c r="AC218" s="358" t="e">
        <f t="shared" si="6"/>
        <v>#REF!</v>
      </c>
      <c r="AD218" s="465" t="e">
        <f>IF($B$38="P",IF(#REF!&lt;&gt;"",#REF!,""),"")</f>
        <v>#REF!</v>
      </c>
      <c r="AE218" s="465" t="e">
        <f>IF($B$38="P",IF(#REF!&lt;&gt;"",#REF!,""),"")</f>
        <v>#REF!</v>
      </c>
      <c r="AF218" s="305"/>
      <c r="AG218">
        <v>41.0</v>
      </c>
      <c r="AQ218">
        <f t="shared" si="9"/>
        <v>1.0</v>
      </c>
      <c r="AR218" s="358" t="e">
        <f t="shared" si="5"/>
        <v>#REF!</v>
      </c>
      <c r="AS218" s="465" t="e">
        <f>IF($B$38="P",IF(#REF!&lt;&gt;"",#REF!,""),"")</f>
        <v>#REF!</v>
      </c>
      <c r="AT218" s="465" t="e">
        <f>IF($B$38="P",IF(#REF!&lt;&gt;"",#REF!,""),"")</f>
        <v>#REF!</v>
      </c>
      <c r="AV218">
        <v>41.0</v>
      </c>
      <c r="AW218" s="361"/>
    </row>
    <row r="219" spans="18:49" ht="12.75" customHeight="1" hidden="1">
      <c r="R219">
        <f t="shared" si="7"/>
        <v>1.0</v>
      </c>
      <c r="S219" s="358" t="e">
        <f t="shared" si="2"/>
        <v>#REF!</v>
      </c>
      <c r="T219" s="465" t="e">
        <f>IF($B$38="P",IF(#REF!&lt;&gt;"",#REF!,""),"")</f>
        <v>#REF!</v>
      </c>
      <c r="U219" s="465" t="e">
        <f>IF($B$38="P",IF(#REF!&lt;&gt;"",ABS(#REF!),""),"")</f>
        <v>#REF!</v>
      </c>
      <c r="V219" s="465" t="e">
        <f>IF($B$38="P",IF(#REF!&lt;&gt;"",#REF!,""),"")</f>
        <v>#REF!</v>
      </c>
      <c r="W219" s="465" t="e">
        <f>IF($B$38="P",IF(#REF!&lt;&gt;"",#REF!,""),"")</f>
        <v>#REF!</v>
      </c>
      <c r="Y219">
        <v>42.0</v>
      </c>
      <c r="AB219">
        <f t="shared" si="8"/>
        <v>1.0</v>
      </c>
      <c r="AC219" s="358" t="e">
        <f t="shared" si="6"/>
        <v>#REF!</v>
      </c>
      <c r="AD219" s="465" t="e">
        <f>IF($B$38="P",IF(#REF!&lt;&gt;"",#REF!,""),"")</f>
        <v>#REF!</v>
      </c>
      <c r="AE219" s="465" t="e">
        <f>IF($B$38="P",IF(#REF!&lt;&gt;"",#REF!,""),"")</f>
        <v>#REF!</v>
      </c>
      <c r="AF219" s="361"/>
      <c r="AG219">
        <v>42.0</v>
      </c>
      <c r="AQ219">
        <f t="shared" si="9"/>
        <v>1.0</v>
      </c>
      <c r="AR219" s="358" t="e">
        <f t="shared" si="5"/>
        <v>#REF!</v>
      </c>
      <c r="AS219" s="465" t="e">
        <f>IF($B$38="P",IF(#REF!&lt;&gt;"",#REF!,""),"")</f>
        <v>#REF!</v>
      </c>
      <c r="AT219" s="465" t="e">
        <f>IF($B$38="P",IF(#REF!&lt;&gt;"",#REF!,""),"")</f>
        <v>#REF!</v>
      </c>
      <c r="AV219">
        <v>42.0</v>
      </c>
      <c r="AW219" s="361"/>
    </row>
    <row r="220" spans="18:49" ht="12.75" customHeight="1" hidden="1">
      <c r="R220">
        <f t="shared" si="7"/>
        <v>1.0</v>
      </c>
      <c r="S220" s="358" t="e">
        <f t="shared" si="2"/>
        <v>#REF!</v>
      </c>
      <c r="T220" s="465" t="e">
        <f>IF($B$38="P",IF(#REF!&lt;&gt;"",#REF!,""),"")</f>
        <v>#REF!</v>
      </c>
      <c r="U220" s="465" t="e">
        <f>IF($B$38="P",IF(#REF!&lt;&gt;"",ABS(#REF!),""),"")</f>
        <v>#REF!</v>
      </c>
      <c r="V220" s="465" t="e">
        <f>IF($B$38="P",IF(#REF!&lt;&gt;"",#REF!,""),"")</f>
        <v>#REF!</v>
      </c>
      <c r="W220" s="465" t="e">
        <f>IF($B$38="P",IF(#REF!&lt;&gt;"",#REF!,""),"")</f>
        <v>#REF!</v>
      </c>
      <c r="Y220">
        <v>43.0</v>
      </c>
      <c r="AB220">
        <f t="shared" si="8"/>
        <v>1.0</v>
      </c>
      <c r="AC220" s="358" t="e">
        <f t="shared" si="6"/>
        <v>#REF!</v>
      </c>
      <c r="AD220" s="465" t="e">
        <f>IF($B$38="P",IF(#REF!&lt;&gt;"",#REF!,""),"")</f>
        <v>#REF!</v>
      </c>
      <c r="AE220" s="465" t="e">
        <f>IF($B$38="P",IF(#REF!&lt;&gt;"",#REF!,""),"")</f>
        <v>#REF!</v>
      </c>
      <c r="AF220" s="361"/>
      <c r="AG220">
        <v>43.0</v>
      </c>
      <c r="AQ220">
        <f t="shared" si="9"/>
        <v>1.0</v>
      </c>
      <c r="AR220" s="358" t="e">
        <f t="shared" si="5"/>
        <v>#REF!</v>
      </c>
      <c r="AS220" s="465" t="e">
        <f>IF($B$38="P",IF(#REF!&lt;&gt;"",#REF!,""),"")</f>
        <v>#REF!</v>
      </c>
      <c r="AT220" s="465" t="e">
        <f>IF($B$38="P",IF(#REF!&lt;&gt;"",#REF!,""),"")</f>
        <v>#REF!</v>
      </c>
      <c r="AV220">
        <v>43.0</v>
      </c>
      <c r="AW220" s="361"/>
    </row>
    <row r="221" spans="18:49" ht="12.75" customHeight="1" hidden="1">
      <c r="R221">
        <f t="shared" si="7"/>
        <v>1.0</v>
      </c>
      <c r="S221" s="358" t="e">
        <f t="shared" si="2"/>
        <v>#REF!</v>
      </c>
      <c r="T221" s="465" t="e">
        <f>IF($B$38="P",IF(#REF!&lt;&gt;"",#REF!,""),"")</f>
        <v>#REF!</v>
      </c>
      <c r="U221" s="465" t="e">
        <f>IF($B$38="P",IF(#REF!&lt;&gt;"",ABS(#REF!),""),"")</f>
        <v>#REF!</v>
      </c>
      <c r="V221" s="465" t="e">
        <f>IF($B$38="P",IF(#REF!&lt;&gt;"",#REF!,""),"")</f>
        <v>#REF!</v>
      </c>
      <c r="W221" s="465" t="e">
        <f>IF($B$38="P",IF(#REF!&lt;&gt;"",#REF!,""),"")</f>
        <v>#REF!</v>
      </c>
      <c r="Y221">
        <v>44.0</v>
      </c>
      <c r="AB221">
        <f t="shared" si="8"/>
        <v>1.0</v>
      </c>
      <c r="AC221" s="358" t="e">
        <f t="shared" si="6"/>
        <v>#REF!</v>
      </c>
      <c r="AD221" s="465" t="e">
        <f>IF($B$38="P",IF(#REF!&lt;&gt;"",#REF!,""),"")</f>
        <v>#REF!</v>
      </c>
      <c r="AE221" s="465" t="e">
        <f>IF($B$38="P",IF(#REF!&lt;&gt;"",#REF!,""),"")</f>
        <v>#REF!</v>
      </c>
      <c r="AF221" s="361"/>
      <c r="AG221">
        <v>44.0</v>
      </c>
      <c r="AQ221">
        <f t="shared" si="9"/>
        <v>1.0</v>
      </c>
      <c r="AR221" s="358" t="e">
        <f t="shared" si="5"/>
        <v>#REF!</v>
      </c>
      <c r="AS221" s="465" t="e">
        <f>IF($B$38="P",IF(#REF!&lt;&gt;"",#REF!,""),"")</f>
        <v>#REF!</v>
      </c>
      <c r="AT221" s="465" t="e">
        <f>IF($B$38="P",IF(#REF!&lt;&gt;"",#REF!,""),"")</f>
        <v>#REF!</v>
      </c>
      <c r="AV221">
        <v>44.0</v>
      </c>
      <c r="AW221" s="361"/>
    </row>
    <row r="222" spans="18:49" ht="12.75" customHeight="1" hidden="1">
      <c r="R222">
        <f t="shared" si="7"/>
        <v>1.0</v>
      </c>
      <c r="S222" s="358" t="e">
        <f t="shared" si="2"/>
        <v>#REF!</v>
      </c>
      <c r="T222" s="465" t="e">
        <f>IF($B$38="P",IF(#REF!&lt;&gt;"",#REF!,""),"")</f>
        <v>#REF!</v>
      </c>
      <c r="U222" s="465" t="e">
        <f>IF($B$38="P",IF(#REF!&lt;&gt;"",ABS(#REF!),""),"")</f>
        <v>#REF!</v>
      </c>
      <c r="V222" s="465" t="e">
        <f>IF($B$38="P",IF(#REF!&lt;&gt;"",#REF!,""),"")</f>
        <v>#REF!</v>
      </c>
      <c r="W222" s="465" t="e">
        <f>IF($B$38="P",IF(#REF!&lt;&gt;"",#REF!,""),"")</f>
        <v>#REF!</v>
      </c>
      <c r="Y222">
        <v>45.0</v>
      </c>
      <c r="AB222">
        <f t="shared" si="8"/>
        <v>1.0</v>
      </c>
      <c r="AC222" s="358" t="e">
        <f t="shared" si="6"/>
        <v>#REF!</v>
      </c>
      <c r="AD222" s="465" t="e">
        <f>IF($B$38="P",IF(#REF!&lt;&gt;"",#REF!,""),"")</f>
        <v>#REF!</v>
      </c>
      <c r="AE222" s="465" t="e">
        <f>IF($B$38="P",IF(#REF!&lt;&gt;"",#REF!,""),"")</f>
        <v>#REF!</v>
      </c>
      <c r="AF222" s="361"/>
      <c r="AG222">
        <v>45.0</v>
      </c>
      <c r="AQ222">
        <f t="shared" si="9"/>
        <v>1.0</v>
      </c>
      <c r="AR222" s="358" t="e">
        <f t="shared" si="5"/>
        <v>#REF!</v>
      </c>
      <c r="AS222" s="465" t="e">
        <f>IF($B$38="P",IF(#REF!&lt;&gt;"",#REF!,""),"")</f>
        <v>#REF!</v>
      </c>
      <c r="AT222" s="465" t="e">
        <f>IF($B$38="P",IF(#REF!&lt;&gt;"",#REF!,""),"")</f>
        <v>#REF!</v>
      </c>
      <c r="AV222">
        <v>45.0</v>
      </c>
      <c r="AW222" s="361"/>
    </row>
    <row r="223" spans="18:49" ht="12.75" customHeight="1" hidden="1">
      <c r="R223">
        <f t="shared" si="7"/>
        <v>1.0</v>
      </c>
      <c r="S223" s="358" t="e">
        <f t="shared" si="2"/>
        <v>#REF!</v>
      </c>
      <c r="T223" s="465" t="e">
        <f>IF($B$38="P",IF(#REF!&lt;&gt;"",#REF!,""),"")</f>
        <v>#REF!</v>
      </c>
      <c r="U223" s="465" t="e">
        <f>IF($B$38="P",IF(#REF!&lt;&gt;"",ABS(#REF!),""),"")</f>
        <v>#REF!</v>
      </c>
      <c r="V223" s="465" t="e">
        <f>IF($B$38="P",IF(#REF!&lt;&gt;"",#REF!,""),"")</f>
        <v>#REF!</v>
      </c>
      <c r="W223" s="465" t="e">
        <f>IF($B$38="P",IF(#REF!&lt;&gt;"",#REF!,""),"")</f>
        <v>#REF!</v>
      </c>
      <c r="Y223">
        <v>46.0</v>
      </c>
      <c r="AB223">
        <f t="shared" si="8"/>
        <v>1.0</v>
      </c>
      <c r="AC223" s="358" t="e">
        <f t="shared" si="6"/>
        <v>#REF!</v>
      </c>
      <c r="AD223" s="465" t="e">
        <f>IF($B$38="P",IF(#REF!&lt;&gt;"",#REF!,""),"")</f>
        <v>#REF!</v>
      </c>
      <c r="AE223" s="465" t="e">
        <f>IF($B$38="P",IF(#REF!&lt;&gt;"",#REF!,""),"")</f>
        <v>#REF!</v>
      </c>
      <c r="AF223" s="361"/>
      <c r="AG223">
        <v>46.0</v>
      </c>
      <c r="AQ223">
        <f t="shared" si="9"/>
        <v>1.0</v>
      </c>
      <c r="AR223" s="358" t="e">
        <f t="shared" si="5"/>
        <v>#REF!</v>
      </c>
      <c r="AS223" s="465" t="e">
        <f>IF($B$38="P",IF(#REF!&lt;&gt;"",#REF!,""),"")</f>
        <v>#REF!</v>
      </c>
      <c r="AT223" s="465" t="e">
        <f>IF($B$38="P",IF(#REF!&lt;&gt;"",#REF!,""),"")</f>
        <v>#REF!</v>
      </c>
      <c r="AV223">
        <v>46.0</v>
      </c>
      <c r="AW223" s="361"/>
    </row>
    <row r="224" spans="18:49" ht="12.75" customHeight="1" hidden="1">
      <c r="R224">
        <f t="shared" si="7"/>
        <v>1.0</v>
      </c>
      <c r="S224" s="358" t="e">
        <f t="shared" si="2"/>
        <v>#REF!</v>
      </c>
      <c r="T224" s="465" t="e">
        <f>IF($B$38="P",IF(#REF!&lt;&gt;"",#REF!,""),"")</f>
        <v>#REF!</v>
      </c>
      <c r="U224" s="465" t="e">
        <f>IF($B$38="P",IF(#REF!&lt;&gt;"",ABS(#REF!),""),"")</f>
        <v>#REF!</v>
      </c>
      <c r="V224" s="465" t="e">
        <f>IF($B$38="P",IF(#REF!&lt;&gt;"",#REF!,""),"")</f>
        <v>#REF!</v>
      </c>
      <c r="W224" s="465" t="e">
        <f>IF($B$38="P",IF(#REF!&lt;&gt;"",#REF!,""),"")</f>
        <v>#REF!</v>
      </c>
      <c r="Y224">
        <v>47.0</v>
      </c>
      <c r="AB224">
        <f t="shared" si="8"/>
        <v>1.0</v>
      </c>
      <c r="AC224" s="358" t="e">
        <f t="shared" si="6"/>
        <v>#REF!</v>
      </c>
      <c r="AD224" s="465" t="e">
        <f>IF($B$38="P",IF(#REF!&lt;&gt;"",#REF!,""),"")</f>
        <v>#REF!</v>
      </c>
      <c r="AE224" s="465" t="e">
        <f>IF($B$38="P",IF(#REF!&lt;&gt;"",#REF!,""),"")</f>
        <v>#REF!</v>
      </c>
      <c r="AF224" s="361"/>
      <c r="AG224">
        <v>47.0</v>
      </c>
      <c r="AQ224">
        <f t="shared" si="9"/>
        <v>1.0</v>
      </c>
      <c r="AR224" s="358" t="e">
        <f t="shared" si="5"/>
        <v>#REF!</v>
      </c>
      <c r="AS224" s="465" t="e">
        <f>IF($B$38="P",IF(#REF!&lt;&gt;"",#REF!,""),"")</f>
        <v>#REF!</v>
      </c>
      <c r="AT224" s="465" t="e">
        <f>IF($B$38="P",IF(#REF!&lt;&gt;"",#REF!,""),"")</f>
        <v>#REF!</v>
      </c>
      <c r="AV224">
        <v>47.0</v>
      </c>
      <c r="AW224" s="361"/>
    </row>
    <row r="225" spans="18:49" ht="12.75" customHeight="1" hidden="1">
      <c r="R225">
        <f t="shared" si="7"/>
        <v>1.0</v>
      </c>
      <c r="S225" s="358" t="e">
        <f t="shared" si="2"/>
        <v>#REF!</v>
      </c>
      <c r="T225" s="465" t="e">
        <f>IF($B$38="P",IF(#REF!&lt;&gt;"",#REF!,""),"")</f>
        <v>#REF!</v>
      </c>
      <c r="U225" s="465" t="e">
        <f>IF($B$38="P",IF(#REF!&lt;&gt;"",ABS(#REF!),""),"")</f>
        <v>#REF!</v>
      </c>
      <c r="V225" s="465" t="e">
        <f>IF($B$38="P",IF(#REF!&lt;&gt;"",#REF!,""),"")</f>
        <v>#REF!</v>
      </c>
      <c r="W225" s="465" t="e">
        <f>IF($B$38="P",IF(#REF!&lt;&gt;"",#REF!,""),"")</f>
        <v>#REF!</v>
      </c>
      <c r="Y225">
        <v>48.0</v>
      </c>
      <c r="AB225">
        <f t="shared" si="8"/>
        <v>1.0</v>
      </c>
      <c r="AC225" s="358" t="e">
        <f t="shared" si="6"/>
        <v>#REF!</v>
      </c>
      <c r="AD225" s="465" t="e">
        <f>IF($B$38="P",IF(#REF!&lt;&gt;"",#REF!,""),"")</f>
        <v>#REF!</v>
      </c>
      <c r="AE225" s="465" t="e">
        <f>IF($B$38="P",IF(#REF!&lt;&gt;"",#REF!,""),"")</f>
        <v>#REF!</v>
      </c>
      <c r="AF225" s="361"/>
      <c r="AG225">
        <v>48.0</v>
      </c>
      <c r="AQ225">
        <f t="shared" si="9"/>
        <v>1.0</v>
      </c>
      <c r="AR225" s="358" t="e">
        <f t="shared" si="5"/>
        <v>#REF!</v>
      </c>
      <c r="AS225" s="465" t="e">
        <f>IF($B$38="P",IF(#REF!&lt;&gt;"",#REF!,""),"")</f>
        <v>#REF!</v>
      </c>
      <c r="AT225" s="465" t="e">
        <f>IF($B$38="P",IF(#REF!&lt;&gt;"",#REF!,""),"")</f>
        <v>#REF!</v>
      </c>
      <c r="AV225">
        <v>48.0</v>
      </c>
      <c r="AW225" s="361"/>
    </row>
    <row r="226" spans="18:49" ht="12.75" customHeight="1" hidden="1">
      <c r="R226">
        <f t="shared" si="7"/>
        <v>1.0</v>
      </c>
      <c r="S226" s="358" t="e">
        <f t="shared" si="2"/>
        <v>#REF!</v>
      </c>
      <c r="T226" s="465" t="e">
        <f>IF($B$38="P",IF(#REF!&lt;&gt;"",#REF!,""),"")</f>
        <v>#REF!</v>
      </c>
      <c r="U226" s="465" t="e">
        <f>IF($B$38="P",IF(#REF!&lt;&gt;"",ABS(#REF!),""),"")</f>
        <v>#REF!</v>
      </c>
      <c r="V226" s="465" t="e">
        <f>IF($B$38="P",IF(#REF!&lt;&gt;"",#REF!,""),"")</f>
        <v>#REF!</v>
      </c>
      <c r="W226" s="465" t="e">
        <f>IF($B$38="P",IF(#REF!&lt;&gt;"",#REF!,""),"")</f>
        <v>#REF!</v>
      </c>
      <c r="Y226">
        <v>49.0</v>
      </c>
      <c r="AB226">
        <f t="shared" si="8"/>
        <v>1.0</v>
      </c>
      <c r="AC226" s="358" t="e">
        <f t="shared" si="6"/>
        <v>#REF!</v>
      </c>
      <c r="AD226" s="465" t="e">
        <f>IF($B$38="P",IF(#REF!&lt;&gt;"",#REF!,""),"")</f>
        <v>#REF!</v>
      </c>
      <c r="AE226" s="465" t="e">
        <f>IF($B$38="P",IF(#REF!&lt;&gt;"",#REF!,""),"")</f>
        <v>#REF!</v>
      </c>
      <c r="AF226" s="361"/>
      <c r="AG226">
        <v>49.0</v>
      </c>
      <c r="AQ226">
        <f t="shared" si="9"/>
        <v>1.0</v>
      </c>
      <c r="AR226" s="358" t="e">
        <f t="shared" si="5"/>
        <v>#REF!</v>
      </c>
      <c r="AS226" s="465" t="e">
        <f>IF($B$38="P",IF(#REF!&lt;&gt;"",#REF!,""),"")</f>
        <v>#REF!</v>
      </c>
      <c r="AT226" s="465" t="e">
        <f>IF($B$38="P",IF(#REF!&lt;&gt;"",#REF!,""),"")</f>
        <v>#REF!</v>
      </c>
      <c r="AV226">
        <v>49.0</v>
      </c>
      <c r="AW226" s="361"/>
    </row>
    <row r="227" spans="18:49" ht="12.75" customHeight="1" hidden="1">
      <c r="R227">
        <f t="shared" si="7"/>
        <v>1.0</v>
      </c>
      <c r="S227" s="358" t="e">
        <f t="shared" si="2"/>
        <v>#REF!</v>
      </c>
      <c r="T227" s="465" t="e">
        <f>IF($B$38="P",IF(#REF!&lt;&gt;"",#REF!,""),"")</f>
        <v>#REF!</v>
      </c>
      <c r="U227" s="465" t="e">
        <f>IF($B$38="P",IF(#REF!&lt;&gt;"",ABS(#REF!),""),"")</f>
        <v>#REF!</v>
      </c>
      <c r="V227" s="465" t="e">
        <f>IF($B$38="P",IF(#REF!&lt;&gt;"",#REF!,""),"")</f>
        <v>#REF!</v>
      </c>
      <c r="W227" s="465" t="e">
        <f>IF($B$38="P",IF(#REF!&lt;&gt;"",#REF!,""),"")</f>
        <v>#REF!</v>
      </c>
      <c r="Y227">
        <v>50.0</v>
      </c>
      <c r="AB227">
        <f t="shared" si="8"/>
        <v>1.0</v>
      </c>
      <c r="AC227" s="358" t="e">
        <f t="shared" si="6"/>
        <v>#REF!</v>
      </c>
      <c r="AD227" s="465" t="e">
        <f>IF($B$38="P",IF(#REF!&lt;&gt;"",#REF!,""),"")</f>
        <v>#REF!</v>
      </c>
      <c r="AE227" s="465" t="e">
        <f>IF($B$38="P",IF(#REF!&lt;&gt;"",#REF!,""),"")</f>
        <v>#REF!</v>
      </c>
      <c r="AF227" s="361"/>
      <c r="AG227">
        <v>50.0</v>
      </c>
      <c r="AQ227">
        <f t="shared" si="9"/>
        <v>1.0</v>
      </c>
      <c r="AR227" s="358" t="e">
        <f t="shared" si="5"/>
        <v>#REF!</v>
      </c>
      <c r="AS227" s="465" t="e">
        <f>IF($B$38="P",IF(#REF!&lt;&gt;"",#REF!,""),"")</f>
        <v>#REF!</v>
      </c>
      <c r="AT227" s="465" t="e">
        <f>IF($B$38="P",IF(#REF!&lt;&gt;"",#REF!,""),"")</f>
        <v>#REF!</v>
      </c>
      <c r="AV227">
        <v>50.0</v>
      </c>
      <c r="AW227" s="361"/>
    </row>
    <row r="228" spans="18:49" ht="12.75" customHeight="1" hidden="1">
      <c r="R228">
        <f t="shared" si="7"/>
        <v>1.0</v>
      </c>
      <c r="S228" s="358" t="e">
        <f t="shared" si="2"/>
        <v>#REF!</v>
      </c>
      <c r="T228" s="465" t="e">
        <f>IF($B$38="P",IF(#REF!&lt;&gt;"",#REF!,""),"")</f>
        <v>#REF!</v>
      </c>
      <c r="U228" s="465" t="e">
        <f>IF($B$38="P",IF(#REF!&lt;&gt;"",ABS(#REF!),""),"")</f>
        <v>#REF!</v>
      </c>
      <c r="V228" s="465" t="e">
        <f>IF($B$38="P",IF(#REF!&lt;&gt;"",#REF!,""),"")</f>
        <v>#REF!</v>
      </c>
      <c r="W228" s="465" t="e">
        <f>IF($B$38="P",IF(#REF!&lt;&gt;"",#REF!,""),"")</f>
        <v>#REF!</v>
      </c>
      <c r="Y228">
        <v>51.0</v>
      </c>
      <c r="AB228">
        <f t="shared" si="8"/>
        <v>1.0</v>
      </c>
      <c r="AC228" s="358" t="e">
        <f t="shared" si="6"/>
        <v>#REF!</v>
      </c>
      <c r="AD228" s="465" t="e">
        <f>IF($B$38="P",IF(#REF!&lt;&gt;"",#REF!,""),"")</f>
        <v>#REF!</v>
      </c>
      <c r="AE228" s="465" t="e">
        <f>IF($B$38="P",IF(#REF!&lt;&gt;"",#REF!,""),"")</f>
        <v>#REF!</v>
      </c>
      <c r="AF228" s="361"/>
      <c r="AG228">
        <v>51.0</v>
      </c>
      <c r="AQ228">
        <f t="shared" si="9"/>
        <v>1.0</v>
      </c>
      <c r="AR228" s="358" t="e">
        <f t="shared" si="5"/>
        <v>#REF!</v>
      </c>
      <c r="AS228" s="465" t="e">
        <f>IF($B$38="P",IF(#REF!&lt;&gt;"",#REF!,""),"")</f>
        <v>#REF!</v>
      </c>
      <c r="AT228" s="465" t="e">
        <f>IF($B$38="P",IF(#REF!&lt;&gt;"",#REF!,""),"")</f>
        <v>#REF!</v>
      </c>
      <c r="AV228">
        <v>51.0</v>
      </c>
      <c r="AW228" s="361"/>
    </row>
    <row r="229" spans="18:49" ht="12.75" customHeight="1" hidden="1">
      <c r="R229">
        <f t="shared" si="7"/>
        <v>1.0</v>
      </c>
      <c r="S229" s="358" t="e">
        <f t="shared" si="2"/>
        <v>#REF!</v>
      </c>
      <c r="T229" s="465" t="e">
        <f>IF($B$38="P",IF(#REF!&lt;&gt;"",#REF!,""),"")</f>
        <v>#REF!</v>
      </c>
      <c r="U229" s="465" t="e">
        <f>IF($B$38="P",IF(#REF!&lt;&gt;"",ABS(#REF!),""),"")</f>
        <v>#REF!</v>
      </c>
      <c r="V229" s="465" t="e">
        <f>IF($B$38="P",IF(#REF!&lt;&gt;"",#REF!,""),"")</f>
        <v>#REF!</v>
      </c>
      <c r="W229" s="465" t="e">
        <f>IF($B$38="P",IF(#REF!&lt;&gt;"",#REF!,""),"")</f>
        <v>#REF!</v>
      </c>
      <c r="Y229">
        <v>52.0</v>
      </c>
      <c r="AB229">
        <f t="shared" si="8"/>
        <v>1.0</v>
      </c>
      <c r="AC229" s="358" t="e">
        <f t="shared" si="6"/>
        <v>#REF!</v>
      </c>
      <c r="AD229" s="465" t="e">
        <f>IF($B$38="P",IF(#REF!&lt;&gt;"",#REF!,""),"")</f>
        <v>#REF!</v>
      </c>
      <c r="AE229" s="465" t="e">
        <f>IF($B$38="P",IF(#REF!&lt;&gt;"",#REF!,""),"")</f>
        <v>#REF!</v>
      </c>
      <c r="AF229" s="361"/>
      <c r="AG229">
        <v>52.0</v>
      </c>
      <c r="AQ229">
        <f t="shared" si="9"/>
        <v>1.0</v>
      </c>
      <c r="AR229" s="358" t="e">
        <f t="shared" si="5"/>
        <v>#REF!</v>
      </c>
      <c r="AS229" s="465" t="e">
        <f>IF($B$38="P",IF(#REF!&lt;&gt;"",#REF!,""),"")</f>
        <v>#REF!</v>
      </c>
      <c r="AT229" s="465" t="e">
        <f>IF($B$38="P",IF(#REF!&lt;&gt;"",#REF!,""),"")</f>
        <v>#REF!</v>
      </c>
      <c r="AV229">
        <v>52.0</v>
      </c>
      <c r="AW229" s="361"/>
    </row>
    <row r="230" spans="18:49" ht="12.75" customHeight="1" hidden="1">
      <c r="R230">
        <f t="shared" si="7"/>
        <v>1.0</v>
      </c>
      <c r="S230" s="358" t="e">
        <f t="shared" si="2"/>
        <v>#REF!</v>
      </c>
      <c r="T230" s="465" t="e">
        <f>IF($B$38="P",IF(#REF!&lt;&gt;"",#REF!,""),"")</f>
        <v>#REF!</v>
      </c>
      <c r="U230" s="465" t="e">
        <f>IF($B$38="P",IF(#REF!&lt;&gt;"",ABS(#REF!),""),"")</f>
        <v>#REF!</v>
      </c>
      <c r="V230" s="465" t="e">
        <f>IF($B$38="P",IF(#REF!&lt;&gt;"",#REF!,""),"")</f>
        <v>#REF!</v>
      </c>
      <c r="W230" s="465" t="e">
        <f>IF($B$38="P",IF(#REF!&lt;&gt;"",#REF!,""),"")</f>
        <v>#REF!</v>
      </c>
      <c r="Y230">
        <v>53.0</v>
      </c>
      <c r="AB230">
        <f t="shared" si="8"/>
        <v>1.0</v>
      </c>
      <c r="AC230" s="358" t="e">
        <f t="shared" si="6"/>
        <v>#REF!</v>
      </c>
      <c r="AD230" s="465" t="e">
        <f>IF($B$38="P",IF(#REF!&lt;&gt;"",#REF!,""),"")</f>
        <v>#REF!</v>
      </c>
      <c r="AE230" s="465" t="e">
        <f>IF($B$38="P",IF(#REF!&lt;&gt;"",#REF!,""),"")</f>
        <v>#REF!</v>
      </c>
      <c r="AF230" s="361"/>
      <c r="AG230">
        <v>53.0</v>
      </c>
      <c r="AQ230">
        <f t="shared" si="9"/>
        <v>1.0</v>
      </c>
      <c r="AR230" s="358" t="e">
        <f t="shared" si="5"/>
        <v>#REF!</v>
      </c>
      <c r="AS230" s="465" t="e">
        <f>IF($B$38="P",IF(#REF!&lt;&gt;"",#REF!,""),"")</f>
        <v>#REF!</v>
      </c>
      <c r="AT230" s="465" t="e">
        <f>IF($B$38="P",IF(#REF!&lt;&gt;"",#REF!,""),"")</f>
        <v>#REF!</v>
      </c>
      <c r="AV230">
        <v>53.0</v>
      </c>
      <c r="AW230" s="361"/>
    </row>
    <row r="231" spans="18:49" ht="12.75" customHeight="1" hidden="1">
      <c r="R231">
        <f t="shared" si="7"/>
        <v>1.0</v>
      </c>
      <c r="S231" s="358" t="e">
        <f t="shared" si="2"/>
        <v>#REF!</v>
      </c>
      <c r="T231" s="465" t="e">
        <f>IF($B$38="P",IF(#REF!&lt;&gt;"",#REF!,""),"")</f>
        <v>#REF!</v>
      </c>
      <c r="U231" s="465" t="e">
        <f>IF($B$38="P",IF(#REF!&lt;&gt;"",ABS(#REF!),""),"")</f>
        <v>#REF!</v>
      </c>
      <c r="V231" s="465" t="e">
        <f>IF($B$38="P",IF(#REF!&lt;&gt;"",#REF!,""),"")</f>
        <v>#REF!</v>
      </c>
      <c r="W231" s="465" t="e">
        <f>IF($B$38="P",IF(#REF!&lt;&gt;"",#REF!,""),"")</f>
        <v>#REF!</v>
      </c>
      <c r="Y231">
        <v>54.0</v>
      </c>
      <c r="AB231">
        <f t="shared" si="8"/>
        <v>1.0</v>
      </c>
      <c r="AC231" s="358" t="e">
        <f t="shared" si="6"/>
        <v>#REF!</v>
      </c>
      <c r="AD231" s="465" t="e">
        <f>IF($B$38="P",IF(#REF!&lt;&gt;"",#REF!,""),"")</f>
        <v>#REF!</v>
      </c>
      <c r="AE231" s="465" t="e">
        <f>IF($B$38="P",IF(#REF!&lt;&gt;"",#REF!,""),"")</f>
        <v>#REF!</v>
      </c>
      <c r="AF231" s="361"/>
      <c r="AG231">
        <v>54.0</v>
      </c>
      <c r="AQ231">
        <f t="shared" si="9"/>
        <v>1.0</v>
      </c>
      <c r="AR231" s="358" t="e">
        <f t="shared" si="5"/>
        <v>#REF!</v>
      </c>
      <c r="AS231" s="465" t="e">
        <f>IF($B$38="P",IF(#REF!&lt;&gt;"",#REF!,""),"")</f>
        <v>#REF!</v>
      </c>
      <c r="AT231" s="465" t="e">
        <f>IF($B$38="P",IF(#REF!&lt;&gt;"",#REF!,""),"")</f>
        <v>#REF!</v>
      </c>
      <c r="AV231">
        <v>54.0</v>
      </c>
      <c r="AW231" s="361"/>
    </row>
    <row r="232" spans="18:49" ht="12.75" customHeight="1" hidden="1">
      <c r="R232">
        <f t="shared" si="7"/>
        <v>1.0</v>
      </c>
      <c r="S232" s="358" t="e">
        <f t="shared" si="2"/>
        <v>#REF!</v>
      </c>
      <c r="T232" s="465" t="e">
        <f>IF($B$38="P",IF(#REF!&lt;&gt;"",#REF!,""),"")</f>
        <v>#REF!</v>
      </c>
      <c r="U232" s="465" t="e">
        <f>IF($B$38="P",IF(#REF!&lt;&gt;"",ABS(#REF!),""),"")</f>
        <v>#REF!</v>
      </c>
      <c r="V232" s="465" t="e">
        <f>IF($B$38="P",IF(#REF!&lt;&gt;"",#REF!,""),"")</f>
        <v>#REF!</v>
      </c>
      <c r="W232" s="465" t="e">
        <f>IF($B$38="P",IF(#REF!&lt;&gt;"",#REF!,""),"")</f>
        <v>#REF!</v>
      </c>
      <c r="Y232">
        <v>55.0</v>
      </c>
      <c r="AB232">
        <f t="shared" si="8"/>
        <v>1.0</v>
      </c>
      <c r="AC232" s="358" t="e">
        <f t="shared" si="6"/>
        <v>#REF!</v>
      </c>
      <c r="AD232" s="465" t="e">
        <f>IF($B$38="P",IF(#REF!&lt;&gt;"",#REF!,""),"")</f>
        <v>#REF!</v>
      </c>
      <c r="AE232" s="465" t="e">
        <f>IF($B$38="P",IF(#REF!&lt;&gt;"",#REF!,""),"")</f>
        <v>#REF!</v>
      </c>
      <c r="AF232" s="361"/>
      <c r="AG232">
        <v>55.0</v>
      </c>
      <c r="AQ232">
        <f t="shared" si="9"/>
        <v>1.0</v>
      </c>
      <c r="AR232" s="358" t="e">
        <f t="shared" si="5"/>
        <v>#REF!</v>
      </c>
      <c r="AS232" s="465" t="e">
        <f>IF($B$38="P",IF(#REF!&lt;&gt;"",#REF!,""),"")</f>
        <v>#REF!</v>
      </c>
      <c r="AT232" s="465" t="e">
        <f>IF($B$38="P",IF(#REF!&lt;&gt;"",#REF!,""),"")</f>
        <v>#REF!</v>
      </c>
      <c r="AV232">
        <v>55.0</v>
      </c>
      <c r="AW232" s="361"/>
    </row>
    <row r="233" spans="18:49" ht="12.75" customHeight="1" hidden="1">
      <c r="R233">
        <f t="shared" si="7"/>
        <v>1.0</v>
      </c>
      <c r="S233" s="358" t="e">
        <f t="shared" si="2"/>
        <v>#REF!</v>
      </c>
      <c r="T233" s="465" t="e">
        <f>IF($B$38="P",IF(#REF!&lt;&gt;"",#REF!,""),"")</f>
        <v>#REF!</v>
      </c>
      <c r="U233" s="465" t="e">
        <f>IF($B$38="P",IF(#REF!&lt;&gt;"",ABS(#REF!),""),"")</f>
        <v>#REF!</v>
      </c>
      <c r="V233" s="465" t="e">
        <f>IF($B$38="P",IF(#REF!&lt;&gt;"",#REF!,""),"")</f>
        <v>#REF!</v>
      </c>
      <c r="W233" s="465" t="e">
        <f>IF($B$38="P",IF(#REF!&lt;&gt;"",#REF!,""),"")</f>
        <v>#REF!</v>
      </c>
      <c r="Y233">
        <v>56.0</v>
      </c>
      <c r="AB233">
        <f t="shared" si="8"/>
        <v>1.0</v>
      </c>
      <c r="AC233" s="358" t="e">
        <f t="shared" si="6"/>
        <v>#REF!</v>
      </c>
      <c r="AD233" s="465" t="e">
        <f>IF($B$38="P",IF(#REF!&lt;&gt;"",#REF!,""),"")</f>
        <v>#REF!</v>
      </c>
      <c r="AE233" s="465" t="e">
        <f>IF($B$38="P",IF(#REF!&lt;&gt;"",#REF!,""),"")</f>
        <v>#REF!</v>
      </c>
      <c r="AF233" s="361"/>
      <c r="AG233">
        <v>56.0</v>
      </c>
      <c r="AQ233">
        <f t="shared" si="9"/>
        <v>1.0</v>
      </c>
      <c r="AR233" s="358" t="e">
        <f t="shared" si="5"/>
        <v>#REF!</v>
      </c>
      <c r="AS233" s="465" t="e">
        <f>IF($B$38="P",IF(#REF!&lt;&gt;"",#REF!,""),"")</f>
        <v>#REF!</v>
      </c>
      <c r="AT233" s="465" t="e">
        <f>IF($B$38="P",IF(#REF!&lt;&gt;"",#REF!,""),"")</f>
        <v>#REF!</v>
      </c>
      <c r="AV233">
        <v>56.0</v>
      </c>
      <c r="AW233" s="361"/>
    </row>
    <row r="234" spans="18:49" ht="12.75" customHeight="1" hidden="1">
      <c r="R234">
        <f t="shared" si="7"/>
        <v>1.0</v>
      </c>
      <c r="S234" s="358" t="e">
        <f t="shared" si="2"/>
        <v>#REF!</v>
      </c>
      <c r="T234" s="465" t="e">
        <f>IF($B$38="P",IF(#REF!&lt;&gt;"",#REF!,""),"")</f>
        <v>#REF!</v>
      </c>
      <c r="U234" s="465" t="e">
        <f>IF($B$38="P",IF(#REF!&lt;&gt;"",ABS(#REF!),""),"")</f>
        <v>#REF!</v>
      </c>
      <c r="V234" s="465" t="e">
        <f>IF($B$38="P",IF(#REF!&lt;&gt;"",#REF!,""),"")</f>
        <v>#REF!</v>
      </c>
      <c r="W234" s="465" t="e">
        <f>IF($B$38="P",IF(#REF!&lt;&gt;"",#REF!,""),"")</f>
        <v>#REF!</v>
      </c>
      <c r="Y234">
        <v>57.0</v>
      </c>
      <c r="AD234" s="356"/>
      <c r="AE234" s="356"/>
      <c r="AF234" s="361"/>
      <c r="AG234" s="361"/>
      <c r="AH234" s="361"/>
      <c r="AQ234">
        <f t="shared" si="9"/>
        <v>1.0</v>
      </c>
      <c r="AR234" s="358" t="e">
        <f t="shared" si="5"/>
        <v>#REF!</v>
      </c>
      <c r="AS234" s="465" t="e">
        <f>IF($B$38="P",IF(#REF!&lt;&gt;"",#REF!,""),"")</f>
        <v>#REF!</v>
      </c>
      <c r="AT234" s="465" t="e">
        <f>IF($B$38="P",IF(#REF!&lt;&gt;"",#REF!,""),"")</f>
        <v>#REF!</v>
      </c>
      <c r="AV234">
        <v>57.0</v>
      </c>
      <c r="AW234" s="361"/>
    </row>
    <row r="235" spans="18:49" ht="12.75" customHeight="1" hidden="1">
      <c r="R235">
        <f t="shared" si="7"/>
        <v>1.0</v>
      </c>
      <c r="S235" s="358" t="e">
        <f t="shared" si="2"/>
        <v>#REF!</v>
      </c>
      <c r="T235" s="465" t="e">
        <f>IF($B$38="P",IF(#REF!&lt;&gt;"",#REF!,""),"")</f>
        <v>#REF!</v>
      </c>
      <c r="U235" s="465" t="e">
        <f>IF($B$38="P",IF(#REF!&lt;&gt;"",ABS(#REF!),""),"")</f>
        <v>#REF!</v>
      </c>
      <c r="V235" s="465" t="e">
        <f>IF($B$38="P",IF(#REF!&lt;&gt;"",#REF!,""),"")</f>
        <v>#REF!</v>
      </c>
      <c r="W235" s="465" t="e">
        <f>IF($B$38="P",IF(#REF!&lt;&gt;"",#REF!,""),"")</f>
        <v>#REF!</v>
      </c>
      <c r="Y235">
        <v>58.0</v>
      </c>
      <c r="AD235" s="356"/>
      <c r="AE235" s="356"/>
      <c r="AF235" s="361"/>
      <c r="AG235" s="361"/>
      <c r="AH235" s="361"/>
      <c r="AQ235">
        <f t="shared" si="9"/>
        <v>1.0</v>
      </c>
      <c r="AR235" s="358" t="e">
        <f t="shared" si="5"/>
        <v>#REF!</v>
      </c>
      <c r="AS235" s="465" t="e">
        <f>IF($B$38="P",IF(#REF!&lt;&gt;"",#REF!,""),"")</f>
        <v>#REF!</v>
      </c>
      <c r="AT235" s="465" t="e">
        <f>IF($B$38="P",IF(#REF!&lt;&gt;"",#REF!,""),"")</f>
        <v>#REF!</v>
      </c>
      <c r="AV235">
        <v>58.0</v>
      </c>
      <c r="AW235" s="361"/>
    </row>
    <row r="236" spans="18:49" ht="12.75" customHeight="1" hidden="1">
      <c r="R236">
        <f t="shared" si="7"/>
        <v>1.0</v>
      </c>
      <c r="S236" s="358" t="e">
        <f t="shared" si="2"/>
        <v>#REF!</v>
      </c>
      <c r="T236" s="465" t="e">
        <f>IF($B$38="P",IF(#REF!&lt;&gt;"",#REF!,""),"")</f>
        <v>#REF!</v>
      </c>
      <c r="U236" s="465" t="e">
        <f>IF($B$38="P",IF(#REF!&lt;&gt;"",ABS(#REF!),""),"")</f>
        <v>#REF!</v>
      </c>
      <c r="V236" s="465" t="e">
        <f>IF($B$38="P",IF(#REF!&lt;&gt;"",#REF!,""),"")</f>
        <v>#REF!</v>
      </c>
      <c r="W236" s="465" t="e">
        <f>IF($B$38="P",IF(#REF!&lt;&gt;"",#REF!,""),"")</f>
        <v>#REF!</v>
      </c>
      <c r="Y236">
        <v>59.0</v>
      </c>
      <c r="AD236" s="356"/>
      <c r="AE236" s="356"/>
      <c r="AF236" s="361"/>
      <c r="AG236" s="361"/>
      <c r="AH236" s="361"/>
      <c r="AQ236" s="356">
        <f t="shared" si="10" ref="AQ236:AQ243">$AP$178</f>
        <v>1.0</v>
      </c>
      <c r="AR236" s="358" t="e">
        <f t="shared" si="5"/>
        <v>#REF!</v>
      </c>
      <c r="AS236" s="465" t="e">
        <f>IF($B$38="P",IF(#REF!&lt;&gt;"",#REF!,""),"")</f>
        <v>#REF!</v>
      </c>
      <c r="AT236" s="465" t="e">
        <f>IF($B$38="P",IF(#REF!&lt;&gt;"",#REF!,""),"")</f>
        <v>#REF!</v>
      </c>
      <c r="AV236">
        <v>59.0</v>
      </c>
      <c r="AW236" s="361"/>
    </row>
    <row r="237" spans="18:49" ht="12.75" customHeight="1" hidden="1">
      <c r="R237">
        <f t="shared" si="7"/>
        <v>1.0</v>
      </c>
      <c r="S237" s="358" t="e">
        <f t="shared" si="2"/>
        <v>#REF!</v>
      </c>
      <c r="T237" s="465" t="e">
        <f>IF($B$38="P",IF(#REF!&lt;&gt;"",#REF!,""),"")</f>
        <v>#REF!</v>
      </c>
      <c r="U237" s="465" t="e">
        <f>IF($B$38="P",IF(#REF!&lt;&gt;"",ABS(#REF!),""),"")</f>
        <v>#REF!</v>
      </c>
      <c r="V237" s="465" t="e">
        <f>IF($B$38="P",IF(#REF!&lt;&gt;"",#REF!,""),"")</f>
        <v>#REF!</v>
      </c>
      <c r="W237" s="465" t="e">
        <f>IF($B$38="P",IF(#REF!&lt;&gt;"",#REF!,""),"")</f>
        <v>#REF!</v>
      </c>
      <c r="Y237">
        <v>60.0</v>
      </c>
      <c r="AD237" s="356"/>
      <c r="AE237" s="356"/>
      <c r="AF237" s="361"/>
      <c r="AG237" s="361"/>
      <c r="AH237" s="361"/>
      <c r="AQ237" s="356">
        <f t="shared" si="10"/>
        <v>1.0</v>
      </c>
      <c r="AR237" s="358" t="e">
        <f t="shared" si="5"/>
        <v>#REF!</v>
      </c>
      <c r="AS237" s="465" t="e">
        <f>IF($B$38="P",IF(#REF!&lt;&gt;"",#REF!,""),"")</f>
        <v>#REF!</v>
      </c>
      <c r="AT237" s="465" t="e">
        <f>IF($B$38="P",IF(#REF!&lt;&gt;"",#REF!,""),"")</f>
        <v>#REF!</v>
      </c>
      <c r="AV237">
        <v>60.0</v>
      </c>
      <c r="AW237" s="361"/>
    </row>
    <row r="238" spans="18:49" ht="12.75" customHeight="1" hidden="1">
      <c r="R238">
        <f t="shared" si="7"/>
        <v>1.0</v>
      </c>
      <c r="S238" s="358" t="e">
        <f t="shared" si="2"/>
        <v>#REF!</v>
      </c>
      <c r="T238" s="465" t="e">
        <f>IF($B$38="P",IF(#REF!&lt;&gt;"",#REF!,""),"")</f>
        <v>#REF!</v>
      </c>
      <c r="U238" s="465" t="e">
        <f>IF($B$38="P",IF(#REF!&lt;&gt;"",ABS(#REF!),""),"")</f>
        <v>#REF!</v>
      </c>
      <c r="V238" s="465" t="e">
        <f>IF($B$38="P",IF(#REF!&lt;&gt;"",#REF!,""),"")</f>
        <v>#REF!</v>
      </c>
      <c r="W238" s="465" t="e">
        <f>IF($B$38="P",IF(#REF!&lt;&gt;"",#REF!,""),"")</f>
        <v>#REF!</v>
      </c>
      <c r="Y238">
        <v>61.0</v>
      </c>
      <c r="AD238" s="356"/>
      <c r="AE238" s="356"/>
      <c r="AF238" s="361"/>
      <c r="AG238" s="361"/>
      <c r="AH238" s="361"/>
      <c r="AQ238" s="356">
        <f t="shared" si="10"/>
        <v>1.0</v>
      </c>
      <c r="AR238" s="358" t="e">
        <f t="shared" si="5"/>
        <v>#REF!</v>
      </c>
      <c r="AS238" s="465" t="e">
        <f>IF($B$38="P",IF(#REF!&lt;&gt;"",#REF!,""),"")</f>
        <v>#REF!</v>
      </c>
      <c r="AT238" s="465" t="e">
        <f>IF($B$38="P",IF(#REF!&lt;&gt;"",#REF!,""),"")</f>
        <v>#REF!</v>
      </c>
      <c r="AV238">
        <v>61.0</v>
      </c>
      <c r="AW238" s="361"/>
    </row>
    <row r="239" spans="18:49" ht="12.75" customHeight="1" hidden="1">
      <c r="R239">
        <f t="shared" si="7"/>
        <v>1.0</v>
      </c>
      <c r="S239" s="358" t="e">
        <f t="shared" si="2"/>
        <v>#REF!</v>
      </c>
      <c r="T239" s="465" t="e">
        <f>IF($B$38="P",IF(#REF!&lt;&gt;"",#REF!,""),"")</f>
        <v>#REF!</v>
      </c>
      <c r="U239" s="465" t="e">
        <f>IF($B$38="P",IF(#REF!&lt;&gt;"",ABS(#REF!),""),"")</f>
        <v>#REF!</v>
      </c>
      <c r="V239" s="465" t="e">
        <f>IF($B$38="P",IF(#REF!&lt;&gt;"",#REF!,""),"")</f>
        <v>#REF!</v>
      </c>
      <c r="W239" s="465" t="e">
        <f>IF($B$38="P",IF(#REF!&lt;&gt;"",#REF!,""),"")</f>
        <v>#REF!</v>
      </c>
      <c r="Y239">
        <v>62.0</v>
      </c>
      <c r="AQ239" s="356">
        <f t="shared" si="10"/>
        <v>1.0</v>
      </c>
      <c r="AR239" s="358" t="e">
        <f t="shared" si="5"/>
        <v>#REF!</v>
      </c>
      <c r="AS239" s="465" t="e">
        <f>IF($B$38="P",IF(#REF!&lt;&gt;"",#REF!,""),"")</f>
        <v>#REF!</v>
      </c>
      <c r="AT239" s="465" t="e">
        <f>IF($B$38="P",IF(#REF!&lt;&gt;"",#REF!,""),"")</f>
        <v>#REF!</v>
      </c>
      <c r="AV239">
        <v>62.0</v>
      </c>
      <c r="AW239" s="361"/>
    </row>
    <row r="240" spans="18:49" ht="12.75" customHeight="1" hidden="1">
      <c r="R240">
        <f t="shared" si="7"/>
        <v>1.0</v>
      </c>
      <c r="S240" s="358" t="e">
        <f t="shared" si="2"/>
        <v>#REF!</v>
      </c>
      <c r="T240" s="465" t="e">
        <f>IF($B$38="P",IF(#REF!&lt;&gt;"",#REF!,""),"")</f>
        <v>#REF!</v>
      </c>
      <c r="U240" s="465" t="e">
        <f>IF($B$38="P",IF(#REF!&lt;&gt;"",ABS(#REF!),""),"")</f>
        <v>#REF!</v>
      </c>
      <c r="V240" s="465" t="e">
        <f>IF($B$38="P",IF(#REF!&lt;&gt;"",#REF!,""),"")</f>
        <v>#REF!</v>
      </c>
      <c r="W240" s="465" t="e">
        <f>IF($B$38="P",IF(#REF!&lt;&gt;"",#REF!,""),"")</f>
        <v>#REF!</v>
      </c>
      <c r="Y240">
        <v>63.0</v>
      </c>
      <c r="AQ240" s="356">
        <f t="shared" si="10"/>
        <v>1.0</v>
      </c>
      <c r="AR240" s="358" t="e">
        <f t="shared" si="5"/>
        <v>#REF!</v>
      </c>
      <c r="AS240" s="465" t="e">
        <f>IF($B$38="P",IF(#REF!&lt;&gt;"",#REF!,""),"")</f>
        <v>#REF!</v>
      </c>
      <c r="AT240" s="465" t="e">
        <f>IF($B$38="P",IF(#REF!&lt;&gt;"",#REF!,""),"")</f>
        <v>#REF!</v>
      </c>
      <c r="AV240">
        <v>63.0</v>
      </c>
      <c r="AW240" s="361"/>
    </row>
    <row r="241" spans="18:49" ht="12.75" customHeight="1" hidden="1">
      <c r="R241">
        <f t="shared" si="7"/>
        <v>1.0</v>
      </c>
      <c r="S241" s="358" t="e">
        <f t="shared" si="2"/>
        <v>#REF!</v>
      </c>
      <c r="T241" s="465" t="e">
        <f>IF($B$38="P",IF(#REF!&lt;&gt;"",#REF!,""),"")</f>
        <v>#REF!</v>
      </c>
      <c r="U241" s="465" t="e">
        <f>IF($B$38="P",IF(#REF!&lt;&gt;"",ABS(#REF!),""),"")</f>
        <v>#REF!</v>
      </c>
      <c r="V241" s="465" t="e">
        <f>IF($B$38="P",IF(#REF!&lt;&gt;"",#REF!,""),"")</f>
        <v>#REF!</v>
      </c>
      <c r="W241" s="465" t="e">
        <f>IF($B$38="P",IF(#REF!&lt;&gt;"",#REF!,""),"")</f>
        <v>#REF!</v>
      </c>
      <c r="Y241">
        <v>64.0</v>
      </c>
      <c r="AQ241" s="356">
        <f t="shared" si="10"/>
        <v>1.0</v>
      </c>
      <c r="AR241" s="358" t="e">
        <f t="shared" si="5"/>
        <v>#REF!</v>
      </c>
      <c r="AS241" s="465" t="e">
        <f>IF($B$38="P",IF(#REF!&lt;&gt;"",#REF!,""),"")</f>
        <v>#REF!</v>
      </c>
      <c r="AT241" s="465" t="e">
        <f>IF($B$38="P",IF(#REF!&lt;&gt;"",#REF!,""),"")</f>
        <v>#REF!</v>
      </c>
      <c r="AV241">
        <v>64.0</v>
      </c>
      <c r="AW241" s="361"/>
    </row>
    <row r="242" spans="18:49" ht="12.75" customHeight="1" hidden="1">
      <c r="R242">
        <f t="shared" si="7"/>
        <v>1.0</v>
      </c>
      <c r="S242" s="358" t="e">
        <f t="shared" si="11" ref="S242:S254">IF($B$38="P",Y242,IF($B$38="Z",IF(Z242&lt;&gt;"",Z242,""),IF($B$38="M",IF(AA242&lt;&gt;"",AA242,""),Y242)))</f>
        <v>#REF!</v>
      </c>
      <c r="T242" s="465" t="e">
        <f>IF($B$38="P",IF(#REF!&lt;&gt;"",#REF!,""),"")</f>
        <v>#REF!</v>
      </c>
      <c r="U242" s="465" t="e">
        <f>IF($B$38="P",IF(#REF!&lt;&gt;"",ABS(#REF!),""),"")</f>
        <v>#REF!</v>
      </c>
      <c r="V242" s="465" t="e">
        <f>IF($B$38="P",IF(#REF!&lt;&gt;"",#REF!,""),"")</f>
        <v>#REF!</v>
      </c>
      <c r="W242" s="465" t="e">
        <f>IF($B$38="P",IF(#REF!&lt;&gt;"",#REF!,""),"")</f>
        <v>#REF!</v>
      </c>
      <c r="Y242">
        <v>65.0</v>
      </c>
      <c r="AQ242" s="356">
        <f t="shared" si="10"/>
        <v>1.0</v>
      </c>
      <c r="AR242" s="358" t="e">
        <f t="shared" si="12" ref="AR242:AR243">IF($B$38="P",AV242,IF($B$38="Z",IF(AW242&lt;&gt;"",AW242,""),IF($B$38="M",IF(AX242&lt;&gt;"",AX242,""),AV242)))</f>
        <v>#REF!</v>
      </c>
      <c r="AS242" s="465" t="e">
        <f>IF($B$38="P",IF(#REF!&lt;&gt;"",#REF!,""),"")</f>
        <v>#REF!</v>
      </c>
      <c r="AT242" s="465" t="e">
        <f>IF($B$38="P",IF(#REF!&lt;&gt;"",#REF!,""),"")</f>
        <v>#REF!</v>
      </c>
      <c r="AV242">
        <v>65.0</v>
      </c>
      <c r="AW242" s="361"/>
    </row>
    <row r="243" spans="18:49" ht="12.75" customHeight="1" hidden="1">
      <c r="R243">
        <f t="shared" si="7"/>
        <v>1.0</v>
      </c>
      <c r="S243" s="358" t="e">
        <f t="shared" si="11"/>
        <v>#REF!</v>
      </c>
      <c r="T243" s="465" t="e">
        <f>IF($B$38="P",IF(#REF!&lt;&gt;"",#REF!,""),"")</f>
        <v>#REF!</v>
      </c>
      <c r="U243" s="465" t="e">
        <f>IF($B$38="P",IF(#REF!&lt;&gt;"",ABS(#REF!),""),"")</f>
        <v>#REF!</v>
      </c>
      <c r="V243" s="465" t="e">
        <f>IF($B$38="P",IF(#REF!&lt;&gt;"",#REF!,""),"")</f>
        <v>#REF!</v>
      </c>
      <c r="W243" s="465" t="e">
        <f>IF($B$38="P",IF(#REF!&lt;&gt;"",#REF!,""),"")</f>
        <v>#REF!</v>
      </c>
      <c r="Y243">
        <v>66.0</v>
      </c>
      <c r="AQ243" s="356">
        <f t="shared" si="10"/>
        <v>1.0</v>
      </c>
      <c r="AR243" s="358" t="e">
        <f t="shared" si="12"/>
        <v>#REF!</v>
      </c>
      <c r="AS243" s="465" t="e">
        <f>IF($B$38="P",IF(#REF!&lt;&gt;"",#REF!,""),"")</f>
        <v>#REF!</v>
      </c>
      <c r="AT243" s="465" t="e">
        <f>IF($B$38="P",IF(#REF!&lt;&gt;"",#REF!,""),"")</f>
        <v>#REF!</v>
      </c>
      <c r="AV243">
        <v>66.0</v>
      </c>
      <c r="AW243" s="361"/>
    </row>
    <row r="244" spans="18:25" ht="12.75" customHeight="1" hidden="1">
      <c r="R244">
        <f t="shared" si="13" ref="R244:R254">$Q$178</f>
        <v>1.0</v>
      </c>
      <c r="S244" s="358" t="e">
        <f t="shared" si="11"/>
        <v>#REF!</v>
      </c>
      <c r="T244" s="465" t="e">
        <f>IF($B$38="P",IF(#REF!&lt;&gt;"",#REF!,""),"")</f>
        <v>#REF!</v>
      </c>
      <c r="U244" s="465" t="e">
        <f>IF($B$38="P",IF(#REF!&lt;&gt;"",ABS(#REF!),""),"")</f>
        <v>#REF!</v>
      </c>
      <c r="V244" s="465" t="e">
        <f>IF($B$38="P",IF(#REF!&lt;&gt;"",#REF!,""),"")</f>
        <v>#REF!</v>
      </c>
      <c r="W244" s="465" t="e">
        <f>IF($B$38="P",IF(#REF!&lt;&gt;"",#REF!,""),"")</f>
        <v>#REF!</v>
      </c>
      <c r="Y244">
        <v>67.0</v>
      </c>
    </row>
    <row r="245" spans="18:25" ht="12.75" customHeight="1" hidden="1">
      <c r="R245">
        <f t="shared" si="13"/>
        <v>1.0</v>
      </c>
      <c r="S245" s="358" t="e">
        <f t="shared" si="11"/>
        <v>#REF!</v>
      </c>
      <c r="T245" s="465" t="e">
        <f>IF($B$38="P",IF(#REF!&lt;&gt;"",#REF!,""),"")</f>
        <v>#REF!</v>
      </c>
      <c r="U245" s="465" t="e">
        <f>IF($B$38="P",IF(#REF!&lt;&gt;"",ABS(#REF!),""),"")</f>
        <v>#REF!</v>
      </c>
      <c r="V245" s="465" t="e">
        <f>IF($B$38="P",IF(#REF!&lt;&gt;"",#REF!,""),"")</f>
        <v>#REF!</v>
      </c>
      <c r="W245" s="465" t="e">
        <f>IF($B$38="P",IF(#REF!&lt;&gt;"",#REF!,""),"")</f>
        <v>#REF!</v>
      </c>
      <c r="Y245">
        <v>68.0</v>
      </c>
    </row>
    <row r="246" spans="18:25" ht="12.75" customHeight="1" hidden="1">
      <c r="R246">
        <f t="shared" si="13"/>
        <v>1.0</v>
      </c>
      <c r="S246" s="358" t="e">
        <f t="shared" si="11"/>
        <v>#REF!</v>
      </c>
      <c r="T246" s="465" t="e">
        <f>IF($B$38="P",IF(#REF!&lt;&gt;"",#REF!,""),"")</f>
        <v>#REF!</v>
      </c>
      <c r="U246" s="465" t="e">
        <f>IF($B$38="P",IF(#REF!&lt;&gt;"",ABS(#REF!),""),"")</f>
        <v>#REF!</v>
      </c>
      <c r="V246" s="465" t="e">
        <f>IF($B$38="P",IF(#REF!&lt;&gt;"",#REF!,""),"")</f>
        <v>#REF!</v>
      </c>
      <c r="W246" s="465" t="e">
        <f>IF($B$38="P",IF(#REF!&lt;&gt;"",#REF!,""),"")</f>
        <v>#REF!</v>
      </c>
      <c r="Y246">
        <v>69.0</v>
      </c>
    </row>
    <row r="247" spans="18:25" ht="12.75" customHeight="1" hidden="1">
      <c r="R247">
        <f t="shared" si="13"/>
        <v>1.0</v>
      </c>
      <c r="S247" s="358" t="e">
        <f t="shared" si="11"/>
        <v>#REF!</v>
      </c>
      <c r="T247" s="465" t="e">
        <f>IF($B$38="P",IF(#REF!&lt;&gt;"",#REF!,""),"")</f>
        <v>#REF!</v>
      </c>
      <c r="U247" s="465" t="e">
        <f>IF($B$38="P",IF(#REF!&lt;&gt;"",ABS(#REF!),""),"")</f>
        <v>#REF!</v>
      </c>
      <c r="V247" s="465" t="e">
        <f>IF($B$38="P",IF(#REF!&lt;&gt;"",#REF!,""),"")</f>
        <v>#REF!</v>
      </c>
      <c r="W247" s="465" t="e">
        <f>IF($B$38="P",IF(#REF!&lt;&gt;"",#REF!,""),"")</f>
        <v>#REF!</v>
      </c>
      <c r="Y247">
        <v>70.0</v>
      </c>
    </row>
    <row r="248" spans="18:25" ht="12.75" customHeight="1" hidden="1">
      <c r="R248">
        <f t="shared" si="13"/>
        <v>1.0</v>
      </c>
      <c r="S248" s="358" t="e">
        <f t="shared" si="11"/>
        <v>#REF!</v>
      </c>
      <c r="T248" s="465" t="e">
        <f>IF($B$38="P",IF(#REF!&lt;&gt;"",#REF!,""),"")</f>
        <v>#REF!</v>
      </c>
      <c r="U248" s="465" t="e">
        <f>IF($B$38="P",IF(#REF!&lt;&gt;"",ABS(#REF!),""),"")</f>
        <v>#REF!</v>
      </c>
      <c r="V248" s="465" t="e">
        <f>IF($B$38="P",IF(#REF!&lt;&gt;"",#REF!,""),"")</f>
        <v>#REF!</v>
      </c>
      <c r="W248" s="465" t="e">
        <f>IF($B$38="P",IF(#REF!&lt;&gt;"",#REF!,""),"")</f>
        <v>#REF!</v>
      </c>
      <c r="Y248">
        <v>71.0</v>
      </c>
    </row>
    <row r="249" spans="18:25" ht="12.75" customHeight="1" hidden="1">
      <c r="R249">
        <f t="shared" si="13"/>
        <v>1.0</v>
      </c>
      <c r="S249" s="358" t="e">
        <f t="shared" si="11"/>
        <v>#REF!</v>
      </c>
      <c r="T249" s="465" t="e">
        <f>IF($B$38="P",IF(#REF!&lt;&gt;"",#REF!,""),"")</f>
        <v>#REF!</v>
      </c>
      <c r="U249" s="465" t="e">
        <f>IF($B$38="P",IF(#REF!&lt;&gt;"",ABS(#REF!),""),"")</f>
        <v>#REF!</v>
      </c>
      <c r="V249" s="465" t="e">
        <f>IF($B$38="P",IF(#REF!&lt;&gt;"",#REF!,""),"")</f>
        <v>#REF!</v>
      </c>
      <c r="W249" s="465" t="e">
        <f>IF($B$38="P",IF(#REF!&lt;&gt;"",#REF!,""),"")</f>
        <v>#REF!</v>
      </c>
      <c r="Y249">
        <v>72.0</v>
      </c>
    </row>
    <row r="250" spans="18:25" ht="12.75" customHeight="1" hidden="1">
      <c r="R250">
        <f t="shared" si="13"/>
        <v>1.0</v>
      </c>
      <c r="S250" s="358" t="e">
        <f t="shared" si="11"/>
        <v>#REF!</v>
      </c>
      <c r="T250" s="465" t="e">
        <f>IF($B$38="P",IF(#REF!&lt;&gt;"",#REF!,""),"")</f>
        <v>#REF!</v>
      </c>
      <c r="U250" s="465" t="e">
        <f>IF($B$38="P",IF(#REF!&lt;&gt;"",ABS(#REF!),""),"")</f>
        <v>#REF!</v>
      </c>
      <c r="V250" s="465" t="e">
        <f>IF($B$38="P",IF(#REF!&lt;&gt;"",#REF!,""),"")</f>
        <v>#REF!</v>
      </c>
      <c r="W250" s="465" t="e">
        <f>IF($B$38="P",IF(#REF!&lt;&gt;"",#REF!,""),"")</f>
        <v>#REF!</v>
      </c>
      <c r="Y250">
        <v>73.0</v>
      </c>
    </row>
    <row r="251" spans="18:25" ht="12.75" customHeight="1" hidden="1">
      <c r="R251">
        <f t="shared" si="13"/>
        <v>1.0</v>
      </c>
      <c r="S251" s="358" t="e">
        <f t="shared" si="11"/>
        <v>#REF!</v>
      </c>
      <c r="T251" s="465" t="e">
        <f>IF($B$38="P",IF(#REF!&lt;&gt;"",#REF!,""),"")</f>
        <v>#REF!</v>
      </c>
      <c r="U251" s="465" t="e">
        <f>IF($B$38="P",IF(#REF!&lt;&gt;"",ABS(#REF!),""),"")</f>
        <v>#REF!</v>
      </c>
      <c r="V251" s="465" t="e">
        <f>IF($B$38="P",IF(#REF!&lt;&gt;"",#REF!,""),"")</f>
        <v>#REF!</v>
      </c>
      <c r="W251" s="465" t="e">
        <f>IF($B$38="P",IF(#REF!&lt;&gt;"",#REF!,""),"")</f>
        <v>#REF!</v>
      </c>
      <c r="Y251">
        <v>74.0</v>
      </c>
    </row>
    <row r="252" spans="18:25" ht="12.75" customHeight="1" hidden="1">
      <c r="R252">
        <f t="shared" si="13"/>
        <v>1.0</v>
      </c>
      <c r="S252" s="358" t="e">
        <f t="shared" si="11"/>
        <v>#REF!</v>
      </c>
      <c r="T252" s="465" t="e">
        <f>IF($B$38="P",IF(#REF!&lt;&gt;"",#REF!,""),"")</f>
        <v>#REF!</v>
      </c>
      <c r="U252" s="465" t="e">
        <f>IF($B$38="P",IF(#REF!&lt;&gt;"",ABS(#REF!),""),"")</f>
        <v>#REF!</v>
      </c>
      <c r="V252" s="465" t="e">
        <f>IF($B$38="P",IF(#REF!&lt;&gt;"",#REF!,""),"")</f>
        <v>#REF!</v>
      </c>
      <c r="W252" s="465" t="e">
        <f>IF($B$38="P",IF(#REF!&lt;&gt;"",#REF!,""),"")</f>
        <v>#REF!</v>
      </c>
      <c r="Y252">
        <v>75.0</v>
      </c>
    </row>
    <row r="253" spans="18:25" ht="12.75" customHeight="1" hidden="1">
      <c r="R253">
        <f t="shared" si="13"/>
        <v>1.0</v>
      </c>
      <c r="S253" s="358" t="e">
        <f t="shared" si="11"/>
        <v>#REF!</v>
      </c>
      <c r="T253" s="465" t="e">
        <f>IF($B$38="P",IF(#REF!&lt;&gt;"",#REF!,""),"")</f>
        <v>#REF!</v>
      </c>
      <c r="U253" s="465" t="e">
        <f>IF($B$38="P",IF(#REF!&lt;&gt;"",ABS(#REF!),""),"")</f>
        <v>#REF!</v>
      </c>
      <c r="V253" s="465" t="e">
        <f>IF($B$38="P",IF(#REF!&lt;&gt;"",#REF!,""),"")</f>
        <v>#REF!</v>
      </c>
      <c r="W253" s="465" t="e">
        <f>IF($B$38="P",IF(#REF!&lt;&gt;"",#REF!,""),"")</f>
        <v>#REF!</v>
      </c>
      <c r="Y253">
        <v>76.0</v>
      </c>
    </row>
    <row r="254" spans="18:25" ht="12.75" customHeight="1" hidden="1">
      <c r="R254">
        <f t="shared" si="13"/>
        <v>1.0</v>
      </c>
      <c r="S254" s="358" t="e">
        <f t="shared" si="11"/>
        <v>#REF!</v>
      </c>
      <c r="T254" s="465" t="e">
        <f>IF($B$38="P",IF(#REF!&lt;&gt;"",#REF!,""),"")</f>
        <v>#REF!</v>
      </c>
      <c r="U254" s="465" t="e">
        <f>IF($B$38="P",IF(#REF!&lt;&gt;"",ABS(#REF!),""),"")</f>
        <v>#REF!</v>
      </c>
      <c r="V254" s="465" t="e">
        <f>IF($B$38="P",IF(#REF!&lt;&gt;"",#REF!,""),"")</f>
        <v>#REF!</v>
      </c>
      <c r="W254" s="465" t="e">
        <f>IF($B$38="P",IF(#REF!&lt;&gt;"",#REF!,""),"")</f>
        <v>#REF!</v>
      </c>
      <c r="Y254">
        <v>77.0</v>
      </c>
    </row>
    <row r="271" spans="17:24" ht="12.75" customHeight="1" hidden="1">
      <c r="Q271" t="s">
        <v>728</v>
      </c>
      <c r="R271" s="298" t="s">
        <v>718</v>
      </c>
      <c r="S271" s="301" t="s">
        <v>719</v>
      </c>
      <c r="T271" s="301" t="s">
        <v>720</v>
      </c>
      <c r="U271" s="301" t="s">
        <v>721</v>
      </c>
      <c r="V271" s="301" t="s">
        <v>722</v>
      </c>
      <c r="W271" s="301" t="s">
        <v>723</v>
      </c>
      <c r="X271" s="301" t="s">
        <v>730</v>
      </c>
    </row>
    <row r="272" spans="24:24" ht="12.75" customHeight="1" hidden="1">
      <c r="X272" s="299"/>
    </row>
    <row r="281" spans="17:22" ht="12.75" customHeight="1" hidden="1">
      <c r="Q281" t="s">
        <v>729</v>
      </c>
      <c r="R281" s="298" t="s">
        <v>718</v>
      </c>
      <c r="S281" s="301" t="s">
        <v>719</v>
      </c>
      <c r="T281" s="301" t="s">
        <v>724</v>
      </c>
      <c r="U281" s="301" t="s">
        <v>725</v>
      </c>
      <c r="V281" s="301" t="s">
        <v>730</v>
      </c>
    </row>
    <row r="282" spans="22:22" ht="12.75" customHeight="1" hidden="1">
      <c r="V282" s="299"/>
    </row>
    <row r="291" spans="17:21" ht="12.75" customHeight="1" hidden="1">
      <c r="Q291" t="s">
        <v>735</v>
      </c>
      <c r="R291" s="298" t="s">
        <v>731</v>
      </c>
      <c r="S291" s="301" t="s">
        <v>732</v>
      </c>
      <c r="T291" s="301" t="s">
        <v>733</v>
      </c>
      <c r="U291" s="301" t="s">
        <v>734</v>
      </c>
    </row>
    <row r="292" spans="18:21" ht="12.7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54" t="str">
        <f>IF('2Př'!C30&lt;&gt;"",LEFT('2Př'!C30,1),"")</f>
        <v/>
      </c>
    </row>
    <row r="294" spans="18:21" ht="12.75" customHeight="1" hidden="1">
      <c r="R294" s="305" t="s">
        <v>3435</v>
      </c>
      <c r="S294" s="305" t="s">
        <v>3435</v>
      </c>
      <c r="T294" s="305" t="s">
        <v>3435</v>
      </c>
      <c r="U294" s="305" t="s">
        <v>3435</v>
      </c>
    </row>
    <row r="301" spans="17:21" ht="12.75" customHeight="1" hidden="1">
      <c r="Q301" t="s">
        <v>736</v>
      </c>
      <c r="R301" s="300" t="s">
        <v>737</v>
      </c>
      <c r="S301" s="302" t="s">
        <v>738</v>
      </c>
      <c r="T301" s="302" t="s">
        <v>739</v>
      </c>
      <c r="U301" s="302" t="s">
        <v>740</v>
      </c>
    </row>
    <row r="302" spans="19:21" ht="12.75" customHeight="1" hidden="1">
      <c r="S302" s="299"/>
      <c r="T302" s="299"/>
      <c r="U302" s="299"/>
    </row>
    <row r="311" spans="17:22" ht="12.75" customHeight="1" hidden="1">
      <c r="Q311" t="s">
        <v>741</v>
      </c>
      <c r="R311" t="s">
        <v>737</v>
      </c>
      <c r="S311" t="s">
        <v>738</v>
      </c>
      <c r="T311" t="s">
        <v>739</v>
      </c>
      <c r="U311" t="s">
        <v>740</v>
      </c>
      <c r="V311" t="s">
        <v>742</v>
      </c>
    </row>
    <row r="312" spans="19:22" ht="12.75" customHeight="1" hidden="1">
      <c r="S312" s="299"/>
      <c r="T312" s="299"/>
      <c r="U312" s="299"/>
      <c r="V312" s="299"/>
    </row>
  </sheetData>
  <sheetProtection algorithmName="SHA-512" hashValue="XRnk9k1FOeSpWHf/xyTzW8JwHPOThhBqlADuDWBkULIX5XYQQAfCqmuQZg6ezrrgoZ50zwa+T12iOtMsUhXQjw==" saltValue="bzVwdRJCT0E6qkSCSk2vjQ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63A8-419D-4E02-A224-5BFA781E37E6}">
  <sheetPr>
    <pageSetUpPr fitToPage="1"/>
  </sheetPr>
  <dimension ref="A1:L99"/>
  <sheetViews>
    <sheetView tabSelected="1" workbookViewId="0" topLeftCell="A1">
      <selection pane="topLeft" activeCell="J1" sqref="J1"/>
    </sheetView>
  </sheetViews>
  <sheetFormatPr defaultRowHeight="12.75"/>
  <cols>
    <col min="11" max="11" width="9.142857142857142" style="2"/>
    <col min="12" max="12" width="90.71428571428571" style="2" customWidth="1"/>
    <col min="13" max="30" width="9.142857142857142" style="2"/>
  </cols>
  <sheetData>
    <row r="1" spans="1:12" ht="12.7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L1" s="655"/>
    </row>
    <row r="2" spans="1:12" ht="12.7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L2" s="655"/>
    </row>
    <row r="3" spans="1:12" ht="12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L3" s="655"/>
    </row>
    <row r="4" spans="1:12" ht="12.75">
      <c r="A4" s="144"/>
      <c r="B4" s="144"/>
      <c r="C4" s="144"/>
      <c r="D4" s="144"/>
      <c r="E4" s="144"/>
      <c r="F4" s="144"/>
      <c r="G4" s="144"/>
      <c r="H4" s="144"/>
      <c r="I4" s="144"/>
      <c r="J4" s="144"/>
      <c r="L4" s="173"/>
    </row>
    <row r="5" spans="1:12" ht="12.7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L5" s="656"/>
    </row>
    <row r="6" spans="1:12" ht="12.75">
      <c r="A6" s="144"/>
      <c r="B6" s="144"/>
      <c r="C6" s="144"/>
      <c r="D6" s="144"/>
      <c r="E6" s="144"/>
      <c r="F6" s="144"/>
      <c r="G6" s="144"/>
      <c r="H6" s="144"/>
      <c r="I6" s="144"/>
      <c r="J6" s="144"/>
      <c r="L6" s="656"/>
    </row>
    <row r="7" spans="1:12" ht="90" customHeight="1">
      <c r="A7" s="657" t="s">
        <v>3741</v>
      </c>
      <c r="B7" s="657"/>
      <c r="C7" s="657"/>
      <c r="D7" s="657"/>
      <c r="E7" s="657"/>
      <c r="F7" s="657"/>
      <c r="G7" s="657"/>
      <c r="H7" s="657"/>
      <c r="I7" s="657"/>
      <c r="J7" s="657"/>
      <c r="L7" s="656"/>
    </row>
    <row r="8" spans="1:12" ht="15" customHeight="1">
      <c r="A8" s="658" t="s">
        <v>3920</v>
      </c>
      <c r="B8" s="658"/>
      <c r="C8" s="658"/>
      <c r="D8" s="658"/>
      <c r="E8" s="658"/>
      <c r="F8" s="658"/>
      <c r="G8" s="658"/>
      <c r="H8" s="658"/>
      <c r="I8" s="658"/>
      <c r="J8" s="658"/>
      <c r="L8" s="656"/>
    </row>
    <row r="9" spans="1:12" ht="15" customHeight="1">
      <c r="A9" s="659" t="s">
        <v>3914</v>
      </c>
      <c r="B9" s="659"/>
      <c r="C9" s="659"/>
      <c r="D9" s="659"/>
      <c r="E9" s="659"/>
      <c r="F9" s="659"/>
      <c r="G9" s="659"/>
      <c r="H9" s="659"/>
      <c r="I9" s="659"/>
      <c r="J9" s="659"/>
      <c r="L9" s="656"/>
    </row>
    <row r="10" spans="1:12" ht="45" customHeight="1">
      <c r="A10" s="660"/>
      <c r="B10" s="660"/>
      <c r="C10" s="660"/>
      <c r="D10" s="660"/>
      <c r="E10" s="660"/>
      <c r="F10" s="660"/>
      <c r="G10" s="660"/>
      <c r="H10" s="660"/>
      <c r="I10" s="660"/>
      <c r="J10" s="660"/>
      <c r="L10" s="656"/>
    </row>
    <row r="11" spans="1:12" ht="15">
      <c r="A11" s="661" t="s">
        <v>3735</v>
      </c>
      <c r="B11" s="662"/>
      <c r="C11" s="662"/>
      <c r="D11" s="662"/>
      <c r="E11" s="662"/>
      <c r="F11" s="662"/>
      <c r="G11" s="662"/>
      <c r="H11" s="662"/>
      <c r="I11" s="662"/>
      <c r="J11" s="662"/>
      <c r="L11" s="656"/>
    </row>
    <row r="12" spans="1:12" ht="30" customHeight="1">
      <c r="A12" s="663" t="s">
        <v>3736</v>
      </c>
      <c r="B12" s="663"/>
      <c r="C12" s="663"/>
      <c r="D12" s="663"/>
      <c r="E12" s="663"/>
      <c r="F12" s="663"/>
      <c r="G12" s="663"/>
      <c r="H12" s="663"/>
      <c r="I12" s="663"/>
      <c r="J12" s="663"/>
      <c r="L12" s="656"/>
    </row>
    <row r="13" spans="1:12" ht="30" customHeight="1">
      <c r="A13" s="663" t="s">
        <v>3737</v>
      </c>
      <c r="B13" s="663"/>
      <c r="C13" s="663"/>
      <c r="D13" s="663"/>
      <c r="E13" s="663"/>
      <c r="F13" s="663"/>
      <c r="G13" s="663"/>
      <c r="H13" s="663"/>
      <c r="I13" s="663"/>
      <c r="J13" s="663"/>
      <c r="L13" s="656"/>
    </row>
    <row r="14" spans="1:12" ht="45" customHeight="1">
      <c r="A14" s="663" t="s">
        <v>3738</v>
      </c>
      <c r="B14" s="663"/>
      <c r="C14" s="663"/>
      <c r="D14" s="663"/>
      <c r="E14" s="663"/>
      <c r="F14" s="663"/>
      <c r="G14" s="663"/>
      <c r="H14" s="663"/>
      <c r="I14" s="663"/>
      <c r="J14" s="663"/>
      <c r="L14" s="656"/>
    </row>
    <row r="15" spans="1:12" ht="30" customHeight="1">
      <c r="A15" s="663" t="s">
        <v>3739</v>
      </c>
      <c r="B15" s="663"/>
      <c r="C15" s="663"/>
      <c r="D15" s="663"/>
      <c r="E15" s="663"/>
      <c r="F15" s="663"/>
      <c r="G15" s="663"/>
      <c r="H15" s="663"/>
      <c r="I15" s="663"/>
      <c r="J15" s="663"/>
      <c r="L15" s="656"/>
    </row>
    <row r="16" spans="1:12" ht="30" customHeight="1">
      <c r="A16" s="663" t="s">
        <v>3740</v>
      </c>
      <c r="B16" s="663"/>
      <c r="C16" s="663"/>
      <c r="D16" s="663"/>
      <c r="E16" s="663"/>
      <c r="F16" s="663"/>
      <c r="G16" s="663"/>
      <c r="H16" s="663"/>
      <c r="I16" s="663"/>
      <c r="J16" s="663"/>
      <c r="L16" s="656"/>
    </row>
    <row r="17" spans="1:12" ht="45" customHeight="1">
      <c r="A17" s="661"/>
      <c r="B17" s="664"/>
      <c r="C17" s="664"/>
      <c r="D17" s="664"/>
      <c r="E17" s="664"/>
      <c r="F17" s="664"/>
      <c r="G17" s="664"/>
      <c r="H17" s="664"/>
      <c r="I17" s="664"/>
      <c r="J17" s="664"/>
      <c r="L17" s="656"/>
    </row>
    <row r="18" spans="1:12" ht="45" customHeight="1">
      <c r="A18" s="665" t="s">
        <v>3915</v>
      </c>
      <c r="B18" s="665"/>
      <c r="C18" s="665"/>
      <c r="D18" s="665"/>
      <c r="E18" s="665"/>
      <c r="F18" s="665"/>
      <c r="G18" s="665"/>
      <c r="H18" s="665"/>
      <c r="I18" s="665"/>
      <c r="J18" s="665"/>
      <c r="L18" s="623"/>
    </row>
    <row r="19" spans="1:12" ht="34.5" customHeight="1">
      <c r="A19" s="666" t="str">
        <f>HYPERLINK("http://business.center.cz/business/sablony/s3-priznani-k-dani-z-prijmu-fyzickych-osob.aspx")</f>
        <v>http://business.center.cz/business/sablony/s3-priznani-k-dani-z-prijmu-fyzickych-osob.aspx</v>
      </c>
      <c r="B19" s="667"/>
      <c r="C19" s="667"/>
      <c r="D19" s="667"/>
      <c r="E19" s="667"/>
      <c r="F19" s="667"/>
      <c r="G19" s="667"/>
      <c r="H19" s="667"/>
      <c r="I19" s="667"/>
      <c r="J19" s="667"/>
      <c r="L19" s="656"/>
    </row>
    <row r="20" spans="1:12" ht="45" customHeight="1">
      <c r="A20" s="668"/>
      <c r="B20" s="668"/>
      <c r="C20" s="668"/>
      <c r="D20" s="668"/>
      <c r="E20" s="668"/>
      <c r="F20" s="668"/>
      <c r="G20" s="668"/>
      <c r="H20" s="668"/>
      <c r="I20" s="668"/>
      <c r="J20" s="668"/>
      <c r="L20" s="656"/>
    </row>
    <row r="21" spans="1:12" ht="15" customHeight="1">
      <c r="A21" s="669" t="s">
        <v>3916</v>
      </c>
      <c r="B21" s="670"/>
      <c r="C21" s="670"/>
      <c r="D21" s="670"/>
      <c r="E21" s="670"/>
      <c r="F21" s="670"/>
      <c r="G21" s="670"/>
      <c r="H21" s="670"/>
      <c r="I21" s="670"/>
      <c r="J21" s="670"/>
      <c r="L21" s="656"/>
    </row>
    <row r="22" spans="1:12" ht="30" customHeight="1">
      <c r="A22" s="671" t="s">
        <v>3917</v>
      </c>
      <c r="B22" s="671"/>
      <c r="C22" s="671"/>
      <c r="D22" s="671"/>
      <c r="E22" s="671"/>
      <c r="F22" s="671"/>
      <c r="G22" s="671"/>
      <c r="H22" s="671"/>
      <c r="I22" s="671"/>
      <c r="J22" s="671"/>
      <c r="L22" s="656"/>
    </row>
    <row r="23" spans="1:12" ht="15" customHeight="1">
      <c r="A23" s="671" t="s">
        <v>3918</v>
      </c>
      <c r="B23" s="671"/>
      <c r="C23" s="671"/>
      <c r="D23" s="671"/>
      <c r="E23" s="671"/>
      <c r="F23" s="671"/>
      <c r="G23" s="671"/>
      <c r="H23" s="671"/>
      <c r="I23" s="671"/>
      <c r="J23" s="671"/>
      <c r="L23" s="656"/>
    </row>
    <row r="24" spans="1:12" ht="12.75" customHeight="1">
      <c r="A24" s="672"/>
      <c r="B24" s="672"/>
      <c r="C24" s="672"/>
      <c r="D24" s="672"/>
      <c r="E24" s="672"/>
      <c r="F24" s="672"/>
      <c r="G24" s="672"/>
      <c r="H24" s="672"/>
      <c r="I24" s="672"/>
      <c r="J24" s="672"/>
      <c r="L24" s="656"/>
    </row>
    <row r="25" spans="1:12" ht="12.75" customHeight="1">
      <c r="A25" s="672"/>
      <c r="B25" s="672"/>
      <c r="C25" s="672"/>
      <c r="D25" s="672"/>
      <c r="E25" s="672"/>
      <c r="F25" s="672"/>
      <c r="G25" s="672"/>
      <c r="H25" s="672"/>
      <c r="I25" s="672"/>
      <c r="J25" s="672"/>
      <c r="L25" s="656"/>
    </row>
    <row r="26" spans="1:12" ht="12.75" customHeight="1">
      <c r="A26" s="672" t="s">
        <v>244</v>
      </c>
      <c r="B26" s="672"/>
      <c r="C26" s="672"/>
      <c r="D26" s="672"/>
      <c r="E26" s="672"/>
      <c r="F26" s="672"/>
      <c r="G26" s="672"/>
      <c r="H26" s="672"/>
      <c r="I26" s="672"/>
      <c r="J26" s="672"/>
      <c r="L26" s="656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pans="1:1" s="2" customFormat="1" ht="12.75" hidden="1">
      <c r="A97" s="270">
        <v>1.0</v>
      </c>
    </row>
    <row r="98" spans="1:1" s="2" customFormat="1" ht="12.75" hidden="1">
      <c r="A98" s="270" t="s">
        <v>360</v>
      </c>
    </row>
    <row r="99" spans="1:1" s="2" customFormat="1" ht="12.75">
      <c r="A99" s="2386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</sheetData>
  <sheetProtection algorithmName="SHA-512" hashValue="dYQ1czTGmtdLpVGSKrg95LREOLj2+RrG6zdpuQoRmaRNMJ5R8fudq7BpvKifcpubU2oLKNhsE/H6cF8xcz4JWA==" saltValue="b4hURmiMPdyf7VlaqHz4yw==" spinCount="100000" sheet="1" objects="1" scenarios="1"/>
  <mergeCells count="23"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6592-5879-4067-BC1D-7BD6F8EE5086}">
  <sheetPr codeName="List13">
    <tabColor rgb="FFFFFFCC"/>
    <pageSetUpPr fitToPage="1"/>
  </sheetPr>
  <dimension ref="A1:B25"/>
  <sheetViews>
    <sheetView workbookViewId="0" topLeftCell="A1">
      <selection pane="topLeft" activeCell="A44" sqref="A44:E44"/>
    </sheetView>
  </sheetViews>
  <sheetFormatPr defaultColWidth="9.144285714285713" defaultRowHeight="12.75"/>
  <cols>
    <col min="1" max="1" width="4" style="303" customWidth="1"/>
    <col min="2" max="2" width="100.71428571428571" style="303" customWidth="1"/>
    <col min="3" max="42" width="9.142857142857142" style="363"/>
    <col min="43" max="16384" width="9.142857142857142" style="303"/>
  </cols>
  <sheetData>
    <row r="1" spans="1:2" ht="18">
      <c r="A1" s="673" t="s">
        <v>3543</v>
      </c>
      <c r="B1" s="674"/>
    </row>
    <row r="2" spans="1:2" ht="12.75">
      <c r="A2" s="370"/>
      <c r="B2" s="370"/>
    </row>
    <row r="3" spans="1:2" ht="30">
      <c r="A3" s="371" t="s">
        <v>134</v>
      </c>
      <c r="B3" s="372" t="s">
        <v>3544</v>
      </c>
    </row>
    <row r="4" spans="1:2" ht="29.25">
      <c r="A4" s="371" t="s">
        <v>135</v>
      </c>
      <c r="B4" s="373" t="s">
        <v>3447</v>
      </c>
    </row>
    <row r="5" spans="1:2" ht="29.25">
      <c r="A5" s="371" t="s">
        <v>136</v>
      </c>
      <c r="B5" s="373" t="s">
        <v>3541</v>
      </c>
    </row>
    <row r="6" spans="1:2" ht="15">
      <c r="A6" s="371"/>
      <c r="B6" s="374" t="s">
        <v>3542</v>
      </c>
    </row>
    <row r="7" spans="1:2" s="363" customFormat="1" ht="15">
      <c r="A7" s="371"/>
      <c r="B7" s="374" t="s">
        <v>3545</v>
      </c>
    </row>
    <row r="8" spans="1:2" s="363" customFormat="1" ht="15">
      <c r="A8" s="371"/>
      <c r="B8" s="373" t="s">
        <v>3546</v>
      </c>
    </row>
    <row r="9" spans="1:2" s="363" customFormat="1" ht="29.25">
      <c r="A9" s="371"/>
      <c r="B9" s="373" t="s">
        <v>3547</v>
      </c>
    </row>
    <row r="10" spans="1:2" s="363" customFormat="1" ht="86.25">
      <c r="A10" s="371"/>
      <c r="B10" s="373" t="s">
        <v>3548</v>
      </c>
    </row>
    <row r="11" spans="1:2" s="363" customFormat="1" ht="29.25">
      <c r="A11" s="371" t="s">
        <v>314</v>
      </c>
      <c r="B11" s="376" t="s">
        <v>3549</v>
      </c>
    </row>
    <row r="12" spans="1:2" s="363" customFormat="1" ht="59.25">
      <c r="A12" s="371" t="s">
        <v>101</v>
      </c>
      <c r="B12" s="373" t="s">
        <v>3550</v>
      </c>
    </row>
    <row r="13" spans="1:2" s="363" customFormat="1" ht="15">
      <c r="A13" s="371" t="s">
        <v>313</v>
      </c>
      <c r="B13" s="373" t="s">
        <v>3982</v>
      </c>
    </row>
    <row r="14" spans="1:2" s="363" customFormat="1" ht="15.75">
      <c r="A14" s="371"/>
      <c r="B14" s="652" t="s">
        <v>3909</v>
      </c>
    </row>
    <row r="15" spans="1:2" s="363" customFormat="1" ht="73.5" customHeight="1">
      <c r="A15" s="371"/>
      <c r="B15" s="373" t="s">
        <v>3983</v>
      </c>
    </row>
    <row r="16" spans="1:2" s="363" customFormat="1" ht="85.5">
      <c r="A16" s="371"/>
      <c r="B16" s="373" t="s">
        <v>3984</v>
      </c>
    </row>
    <row r="17" spans="1:2" s="363" customFormat="1" ht="45" customHeight="1">
      <c r="A17" s="371" t="s">
        <v>312</v>
      </c>
      <c r="B17" s="373" t="s">
        <v>3985</v>
      </c>
    </row>
    <row r="18" spans="1:2" s="363" customFormat="1" ht="15" customHeight="1">
      <c r="A18" s="371"/>
      <c r="B18" s="375" t="s">
        <v>3448</v>
      </c>
    </row>
    <row r="19" spans="1:2" s="363" customFormat="1" ht="14.25">
      <c r="A19" s="371" t="s">
        <v>311</v>
      </c>
      <c r="B19" s="373" t="s">
        <v>3551</v>
      </c>
    </row>
    <row r="20" spans="1:2" s="363" customFormat="1" ht="14.25">
      <c r="A20" s="371"/>
      <c r="B20" s="373" t="s">
        <v>3986</v>
      </c>
    </row>
    <row r="21" spans="1:2" s="363" customFormat="1" ht="14.25">
      <c r="A21" s="371"/>
      <c r="B21" s="373" t="s">
        <v>3921</v>
      </c>
    </row>
    <row r="22" spans="1:2" s="363" customFormat="1" ht="12.75">
      <c r="A22" s="370"/>
      <c r="B22" s="370"/>
    </row>
    <row r="23" spans="1:2" s="363" customFormat="1" ht="15.75">
      <c r="A23" s="370"/>
      <c r="B23" s="377" t="s">
        <v>3651</v>
      </c>
    </row>
    <row r="24" spans="1:2" s="363" customFormat="1" ht="14.25">
      <c r="A24" s="370"/>
      <c r="B24" s="378" t="s">
        <v>3449</v>
      </c>
    </row>
    <row r="25" spans="1:2" s="363" customFormat="1" ht="14.25">
      <c r="A25" s="370"/>
      <c r="B25" s="378" t="s">
        <v>3450</v>
      </c>
    </row>
    <row r="26" s="363" customFormat="1" ht="12.75"/>
    <row r="27" s="363" customFormat="1" ht="12.75"/>
    <row r="28" s="363" customFormat="1" ht="12.75"/>
    <row r="29" s="363" customFormat="1" ht="12.75"/>
    <row r="30" s="363" customFormat="1" ht="12.75"/>
    <row r="31" s="363" customFormat="1" ht="12.75"/>
    <row r="32" s="363" customFormat="1" ht="12.75"/>
    <row r="33" s="363" customFormat="1" ht="12.75"/>
    <row r="34" s="363" customFormat="1" ht="12.75"/>
    <row r="35" s="363" customFormat="1" ht="12.75"/>
    <row r="36" s="363" customFormat="1" ht="12.75"/>
    <row r="37" s="363" customFormat="1" ht="12.75"/>
    <row r="38" s="363" customFormat="1" ht="12.75"/>
    <row r="39" s="363" customFormat="1" ht="12.75"/>
    <row r="40" s="363" customFormat="1" ht="12.75"/>
    <row r="41" s="363" customFormat="1" ht="12.75"/>
    <row r="42" s="363" customFormat="1" ht="12.75"/>
    <row r="43" s="363" customFormat="1" ht="12.75"/>
    <row r="44" s="363" customFormat="1" ht="12.75"/>
    <row r="45" s="363" customFormat="1" ht="12.75"/>
    <row r="46" s="363" customFormat="1" ht="12.75"/>
    <row r="47" s="363" customFormat="1" ht="12.75"/>
    <row r="48" s="363" customFormat="1" ht="12.75"/>
    <row r="49" s="363" customFormat="1" ht="12.75"/>
    <row r="50" s="363" customFormat="1" ht="12.75"/>
    <row r="51" s="363" customFormat="1" ht="12.75"/>
    <row r="52" s="363" customFormat="1" ht="12.75"/>
    <row r="53" s="363" customFormat="1" ht="12.75"/>
    <row r="54" s="363" customFormat="1" ht="12.75"/>
    <row r="55" s="363" customFormat="1" ht="12.75"/>
    <row r="56" s="363" customFormat="1" ht="12.75"/>
    <row r="57" s="363" customFormat="1" ht="12.75"/>
    <row r="58" s="363" customFormat="1" ht="12.75"/>
    <row r="59" s="363" customFormat="1" ht="12.75"/>
    <row r="60" s="363" customFormat="1" ht="12.75"/>
    <row r="61" s="363" customFormat="1" ht="12.75"/>
    <row r="62" s="363" customFormat="1" ht="12.75"/>
    <row r="63" s="363" customFormat="1" ht="12.75"/>
    <row r="64" s="363" customFormat="1" ht="12.75"/>
    <row r="65" s="363" customFormat="1" ht="12.75"/>
    <row r="66" s="363" customFormat="1" ht="12.75"/>
    <row r="67" s="363" customFormat="1" ht="12.75"/>
    <row r="68" s="363" customFormat="1" ht="12.75"/>
    <row r="69" s="363" customFormat="1" ht="12.75"/>
    <row r="70" s="363" customFormat="1" ht="12.75"/>
    <row r="71" s="363" customFormat="1" ht="12.75"/>
    <row r="72" s="363" customFormat="1" ht="12.75"/>
    <row r="73" s="363" customFormat="1" ht="12.75"/>
    <row r="74" s="363" customFormat="1" ht="12.75"/>
    <row r="75" s="363" customFormat="1" ht="12.75"/>
    <row r="76" s="363" customFormat="1" ht="12.75"/>
    <row r="77" s="363" customFormat="1" ht="12.75"/>
    <row r="78" s="363" customFormat="1" ht="12.75"/>
    <row r="79" s="363" customFormat="1" ht="12.75"/>
    <row r="80" s="363" customFormat="1" ht="12.75"/>
    <row r="81" s="363" customFormat="1" ht="12.75"/>
    <row r="82" s="363" customFormat="1" ht="12.75"/>
    <row r="83" s="363" customFormat="1" ht="12.75"/>
    <row r="84" s="363" customFormat="1" ht="12.75"/>
    <row r="85" s="363" customFormat="1" ht="12.75"/>
    <row r="86" s="363" customFormat="1" ht="12.75"/>
    <row r="87" s="363" customFormat="1" ht="12.75"/>
    <row r="88" s="363" customFormat="1" ht="12.75"/>
    <row r="89" s="363" customFormat="1" ht="12.75"/>
    <row r="90" s="363" customFormat="1" ht="12.75"/>
    <row r="91" s="363" customFormat="1" ht="12.75"/>
    <row r="92" s="363" customFormat="1" ht="12.75"/>
    <row r="93" s="363" customFormat="1" ht="12.75"/>
    <row r="94" s="363" customFormat="1" ht="12.75"/>
    <row r="95" s="363" customFormat="1" ht="12.75"/>
    <row r="96" s="363" customFormat="1" ht="12.75"/>
    <row r="97" s="363" customFormat="1" ht="12.75"/>
    <row r="98" s="363" customFormat="1" ht="12.75"/>
    <row r="99" s="363" customFormat="1" ht="12.75"/>
    <row r="100" s="363" customFormat="1" ht="12.75"/>
    <row r="101" s="363" customFormat="1" ht="12.75"/>
    <row r="102" s="363" customFormat="1" ht="12.75"/>
    <row r="103" s="363" customFormat="1" ht="12.75"/>
    <row r="104" s="363" customFormat="1" ht="12.75"/>
    <row r="105" s="363" customFormat="1" ht="12.75"/>
    <row r="106" s="363" customFormat="1" ht="12.75"/>
    <row r="107" s="363" customFormat="1" ht="12.75"/>
    <row r="108" s="363" customFormat="1" ht="12.75"/>
    <row r="109" s="363" customFormat="1" ht="12.75"/>
    <row r="110" s="363" customFormat="1" ht="12.75"/>
    <row r="111" s="363" customFormat="1" ht="12.75"/>
    <row r="112" s="363" customFormat="1" ht="12.75"/>
    <row r="113" s="363" customFormat="1" ht="12.75"/>
    <row r="114" s="363" customFormat="1" ht="12.75"/>
    <row r="115" s="363" customFormat="1" ht="12.75"/>
    <row r="116" s="363" customFormat="1" ht="12.75"/>
    <row r="117" s="363" customFormat="1" ht="12.75"/>
    <row r="118" s="363" customFormat="1" ht="12.75"/>
    <row r="119" s="363" customFormat="1" ht="12.75"/>
    <row r="120" s="363" customFormat="1" ht="12.75"/>
    <row r="121" s="363" customFormat="1" ht="12.75"/>
    <row r="122" s="363" customFormat="1" ht="12.75"/>
    <row r="123" s="363" customFormat="1" ht="12.75"/>
    <row r="124" s="363" customFormat="1" ht="12.75"/>
    <row r="125" s="363" customFormat="1" ht="12.75"/>
    <row r="126" s="363" customFormat="1" ht="12.75"/>
    <row r="127" s="363" customFormat="1" ht="12.75"/>
    <row r="128" s="363" customFormat="1" ht="12.75"/>
    <row r="129" s="363" customFormat="1" ht="12.75"/>
    <row r="130" s="363" customFormat="1" ht="12.75"/>
    <row r="131" s="363" customFormat="1" ht="12.75"/>
    <row r="132" s="363" customFormat="1" ht="12.75"/>
    <row r="133" s="363" customFormat="1" ht="12.75"/>
    <row r="134" s="363" customFormat="1" ht="12.75"/>
    <row r="135" s="363" customFormat="1" ht="12.75"/>
    <row r="136" s="363" customFormat="1" ht="12.75"/>
    <row r="137" s="363" customFormat="1" ht="12.75"/>
    <row r="138" s="363" customFormat="1" ht="12.75"/>
    <row r="139" s="363" customFormat="1" ht="12.75"/>
    <row r="140" s="363" customFormat="1" ht="12.75"/>
    <row r="141" s="363" customFormat="1" ht="12.75"/>
    <row r="142" s="363" customFormat="1" ht="12.75"/>
    <row r="143" s="363" customFormat="1" ht="12.75"/>
    <row r="144" s="363" customFormat="1" ht="12.75"/>
    <row r="145" s="363" customFormat="1" ht="12.75"/>
    <row r="146" s="363" customFormat="1" ht="12.75"/>
    <row r="147" s="363" customFormat="1" ht="12.75"/>
    <row r="148" s="363" customFormat="1" ht="12.75"/>
    <row r="149" s="363" customFormat="1" ht="12.75"/>
    <row r="150" s="363" customFormat="1" ht="12.75"/>
    <row r="151" s="363" customFormat="1" ht="12.75"/>
    <row r="152" s="363" customFormat="1" ht="12.75"/>
    <row r="153" s="363" customFormat="1" ht="12.75"/>
    <row r="154" s="363" customFormat="1" ht="12.75"/>
    <row r="155" s="363" customFormat="1" ht="12.75"/>
    <row r="156" s="363" customFormat="1" ht="12.75"/>
    <row r="157" s="363" customFormat="1" ht="12.75"/>
    <row r="158" s="363" customFormat="1" ht="12.75"/>
    <row r="159" s="363" customFormat="1" ht="12.75"/>
    <row r="160" s="363" customFormat="1" ht="12.75"/>
    <row r="161" s="363" customFormat="1" ht="12.75"/>
    <row r="162" s="363" customFormat="1" ht="12.75"/>
    <row r="163" s="363" customFormat="1" ht="12.75"/>
    <row r="164" s="363" customFormat="1" ht="12.75"/>
    <row r="165" s="363" customFormat="1" ht="12.75"/>
    <row r="166" s="363" customFormat="1" ht="12.75"/>
    <row r="167" s="363" customFormat="1" ht="12.75"/>
    <row r="168" s="363" customFormat="1" ht="12.75"/>
    <row r="169" s="363" customFormat="1" ht="12.75"/>
    <row r="170" s="363" customFormat="1" ht="12.75"/>
    <row r="171" s="363" customFormat="1" ht="12.75"/>
    <row r="172" s="363" customFormat="1" ht="12.75"/>
    <row r="173" s="363" customFormat="1" ht="12.75"/>
    <row r="174" s="363" customFormat="1" ht="12.75"/>
    <row r="175" s="363" customFormat="1" ht="12.75"/>
    <row r="176" s="363" customFormat="1" ht="12.75"/>
    <row r="177" s="363" customFormat="1" ht="12.75"/>
    <row r="178" s="363" customFormat="1" ht="12.75"/>
    <row r="179" s="363" customFormat="1" ht="12.75"/>
    <row r="180" s="363" customFormat="1" ht="12.75"/>
    <row r="181" s="363" customFormat="1" ht="12.75"/>
    <row r="182" s="363" customFormat="1" ht="12.75"/>
    <row r="183" s="363" customFormat="1" ht="12.75"/>
    <row r="184" s="363" customFormat="1" ht="12.75"/>
    <row r="185" s="363" customFormat="1" ht="12.75"/>
    <row r="186" s="363" customFormat="1" ht="12.75"/>
    <row r="187" s="363" customFormat="1" ht="12.75"/>
    <row r="188" s="363" customFormat="1" ht="12.75"/>
    <row r="189" s="363" customFormat="1" ht="12.75"/>
    <row r="190" s="363" customFormat="1" ht="12.75"/>
    <row r="191" s="363" customFormat="1" ht="12.75"/>
    <row r="192" s="363" customFormat="1" ht="12.75"/>
    <row r="193" s="363" customFormat="1" ht="12.75"/>
    <row r="194" s="363" customFormat="1" ht="12.75"/>
    <row r="195" s="363" customFormat="1" ht="12.75"/>
    <row r="196" s="363" customFormat="1" ht="12.75"/>
    <row r="197" s="363" customFormat="1" ht="12.75"/>
    <row r="198" s="363" customFormat="1" ht="12.75"/>
    <row r="199" s="363" customFormat="1" ht="12.75"/>
    <row r="200" s="363" customFormat="1" ht="12.75"/>
    <row r="201" s="363" customFormat="1" ht="12.75"/>
    <row r="202" s="363" customFormat="1" ht="12.75"/>
    <row r="203" s="363" customFormat="1" ht="12.75"/>
    <row r="204" s="363" customFormat="1" ht="12.75"/>
    <row r="205" s="363" customFormat="1" ht="12.75"/>
    <row r="206" s="363" customFormat="1" ht="12.75"/>
    <row r="207" s="363" customFormat="1" ht="12.75"/>
    <row r="208" s="363" customFormat="1" ht="12.75"/>
    <row r="209" s="363" customFormat="1" ht="12.75"/>
    <row r="210" s="363" customFormat="1" ht="12.75"/>
    <row r="211" s="363" customFormat="1" ht="12.75"/>
    <row r="212" s="363" customFormat="1" ht="12.75"/>
    <row r="213" s="363" customFormat="1" ht="12.75"/>
    <row r="214" s="363" customFormat="1" ht="12.75"/>
    <row r="215" s="363" customFormat="1" ht="12.75"/>
    <row r="216" s="363" customFormat="1" ht="12.75"/>
    <row r="217" s="363" customFormat="1" ht="12.75"/>
    <row r="218" s="363" customFormat="1" ht="12.75"/>
    <row r="219" s="363" customFormat="1" ht="12.75"/>
    <row r="220" s="363" customFormat="1" ht="12.75"/>
    <row r="221" s="363" customFormat="1" ht="12.75"/>
    <row r="222" s="363" customFormat="1" ht="12.75"/>
    <row r="223" s="363" customFormat="1" ht="12.75"/>
    <row r="224" s="363" customFormat="1" ht="12.75"/>
    <row r="225" s="363" customFormat="1" ht="12.75"/>
    <row r="226" s="363" customFormat="1" ht="12.75"/>
    <row r="227" s="363" customFormat="1" ht="12.75"/>
    <row r="228" s="363" customFormat="1" ht="12.75"/>
    <row r="229" s="363" customFormat="1" ht="12.75"/>
    <row r="230" s="363" customFormat="1" ht="12.75"/>
    <row r="231" s="363" customFormat="1" ht="12.75"/>
    <row r="232" s="363" customFormat="1" ht="12.75"/>
    <row r="233" s="363" customFormat="1" ht="12.75"/>
    <row r="234" s="363" customFormat="1" ht="12.75"/>
    <row r="235" s="363" customFormat="1" ht="12.75"/>
    <row r="236" s="363" customFormat="1" ht="12.75"/>
    <row r="237" s="363" customFormat="1" ht="12.75"/>
    <row r="238" s="363" customFormat="1" ht="12.75"/>
    <row r="239" s="363" customFormat="1" ht="12.75"/>
    <row r="240" s="363" customFormat="1" ht="12.75"/>
    <row r="241" s="363" customFormat="1" ht="12.75"/>
    <row r="242" s="363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746C-7D0B-4EDE-9D82-D01A7CEB991F}">
  <sheetPr codeName="List14">
    <tabColor rgb="FFFFFFCC"/>
    <pageSetUpPr fitToPage="1"/>
  </sheetPr>
  <dimension ref="A1:B28"/>
  <sheetViews>
    <sheetView workbookViewId="0" topLeftCell="A1">
      <selection pane="topLeft" activeCell="B4" sqref="B4"/>
    </sheetView>
  </sheetViews>
  <sheetFormatPr defaultColWidth="9.144285714285713" defaultRowHeight="12.75"/>
  <cols>
    <col min="1" max="1" width="4" style="303" customWidth="1"/>
    <col min="2" max="2" width="100.71428571428571" style="303" customWidth="1"/>
    <col min="3" max="42" width="9.142857142857142" style="363"/>
    <col min="43" max="16384" width="9.142857142857142" style="303"/>
  </cols>
  <sheetData>
    <row r="1" spans="1:2" ht="18">
      <c r="A1" s="673" t="s">
        <v>3997</v>
      </c>
      <c r="B1" s="674"/>
    </row>
    <row r="2" spans="1:2" ht="12.75">
      <c r="A2" s="370"/>
      <c r="B2" s="370"/>
    </row>
    <row r="3" spans="1:2" ht="28.5" customHeight="1">
      <c r="A3" s="371" t="s">
        <v>134</v>
      </c>
      <c r="B3" s="373" t="s">
        <v>3987</v>
      </c>
    </row>
    <row r="4" spans="1:2" ht="43.5">
      <c r="A4" s="371" t="s">
        <v>135</v>
      </c>
      <c r="B4" s="373" t="s">
        <v>3988</v>
      </c>
    </row>
    <row r="5" spans="1:2" ht="28.5">
      <c r="A5" s="371" t="s">
        <v>136</v>
      </c>
      <c r="B5" s="373" t="s">
        <v>3989</v>
      </c>
    </row>
    <row r="6" spans="1:2" ht="29.25">
      <c r="A6" s="371" t="s">
        <v>314</v>
      </c>
      <c r="B6" s="653" t="s">
        <v>3990</v>
      </c>
    </row>
    <row r="7" spans="1:2" s="363" customFormat="1" ht="43.5">
      <c r="A7" s="371" t="s">
        <v>101</v>
      </c>
      <c r="B7" s="653" t="s">
        <v>3991</v>
      </c>
    </row>
    <row r="8" spans="1:2" s="363" customFormat="1" ht="43.5">
      <c r="A8" s="371" t="s">
        <v>313</v>
      </c>
      <c r="B8" s="372" t="s">
        <v>3992</v>
      </c>
    </row>
    <row r="9" spans="1:2" s="363" customFormat="1" ht="30">
      <c r="A9" s="371" t="s">
        <v>312</v>
      </c>
      <c r="B9" s="372" t="s">
        <v>3993</v>
      </c>
    </row>
    <row r="10" spans="1:2" s="363" customFormat="1" ht="29.25">
      <c r="A10" s="371" t="s">
        <v>3994</v>
      </c>
      <c r="B10" s="373" t="s">
        <v>3995</v>
      </c>
    </row>
    <row r="11" spans="1:2" s="363" customFormat="1" ht="30">
      <c r="A11" s="371" t="s">
        <v>310</v>
      </c>
      <c r="B11" s="654" t="s">
        <v>3996</v>
      </c>
    </row>
    <row r="12" spans="1:2" s="363" customFormat="1" ht="15">
      <c r="A12" s="371"/>
      <c r="B12" s="654"/>
    </row>
    <row r="13" spans="1:2" s="363" customFormat="1" ht="18">
      <c r="A13" s="673" t="s">
        <v>3998</v>
      </c>
      <c r="B13" s="674"/>
    </row>
    <row r="14" spans="1:2" s="363" customFormat="1" ht="18">
      <c r="A14" s="651"/>
      <c r="B14" s="370"/>
    </row>
    <row r="15" spans="1:2" s="363" customFormat="1" ht="44.25" customHeight="1">
      <c r="A15" s="371" t="s">
        <v>134</v>
      </c>
      <c r="B15" s="372" t="s">
        <v>3999</v>
      </c>
    </row>
    <row r="16" spans="1:2" s="363" customFormat="1" ht="30">
      <c r="A16" s="371" t="s">
        <v>4000</v>
      </c>
      <c r="B16" s="372" t="s">
        <v>4001</v>
      </c>
    </row>
    <row r="17" spans="1:2" s="363" customFormat="1" ht="43.5">
      <c r="A17" s="371" t="s">
        <v>136</v>
      </c>
      <c r="B17" s="372" t="s">
        <v>4002</v>
      </c>
    </row>
    <row r="18" spans="1:2" s="363" customFormat="1" ht="30">
      <c r="A18" s="371" t="s">
        <v>314</v>
      </c>
      <c r="B18" s="372" t="s">
        <v>4003</v>
      </c>
    </row>
    <row r="19" spans="1:2" s="363" customFormat="1" ht="14.25">
      <c r="A19" s="371"/>
      <c r="B19" s="373"/>
    </row>
    <row r="20" spans="1:2" s="363" customFormat="1" ht="15.75">
      <c r="A20" s="371"/>
      <c r="B20" s="377" t="s">
        <v>3651</v>
      </c>
    </row>
    <row r="21" spans="1:2" s="363" customFormat="1" ht="14.25">
      <c r="A21" s="371"/>
      <c r="B21" s="378" t="s">
        <v>3449</v>
      </c>
    </row>
    <row r="22" spans="1:2" s="363" customFormat="1" ht="14.25">
      <c r="A22" s="371"/>
      <c r="B22" s="378" t="s">
        <v>3450</v>
      </c>
    </row>
    <row r="23" spans="1:2" s="363" customFormat="1" ht="45" customHeight="1">
      <c r="A23" s="371"/>
      <c r="B23" s="373"/>
    </row>
    <row r="24" spans="1:2" s="363" customFormat="1" ht="45" customHeight="1">
      <c r="A24" s="371"/>
      <c r="B24" s="373"/>
    </row>
    <row r="25" spans="1:2" s="363" customFormat="1" ht="45" customHeight="1">
      <c r="A25" s="370"/>
      <c r="B25" s="370"/>
    </row>
    <row r="26" spans="1:2" s="363" customFormat="1" ht="45" customHeight="1">
      <c r="A26" s="370"/>
      <c r="B26" s="377"/>
    </row>
    <row r="27" spans="1:2" s="363" customFormat="1" ht="45" customHeight="1">
      <c r="A27" s="370"/>
      <c r="B27" s="378"/>
    </row>
    <row r="28" spans="1:2" s="363" customFormat="1" ht="45" customHeight="1">
      <c r="A28" s="370"/>
      <c r="B28" s="378"/>
    </row>
    <row r="29" s="363" customFormat="1" ht="12.75"/>
    <row r="30" s="363" customFormat="1" ht="12.75"/>
    <row r="31" s="363" customFormat="1" ht="12.75"/>
    <row r="32" s="363" customFormat="1" ht="12.75"/>
    <row r="33" s="363" customFormat="1" ht="12.75"/>
    <row r="34" s="363" customFormat="1" ht="12.75"/>
    <row r="35" s="363" customFormat="1" ht="12.75"/>
    <row r="36" s="363" customFormat="1" ht="12.75"/>
    <row r="37" s="363" customFormat="1" ht="12.75"/>
    <row r="38" s="363" customFormat="1" ht="12.75"/>
    <row r="39" s="363" customFormat="1" ht="12.75"/>
    <row r="40" s="363" customFormat="1" ht="12.75"/>
    <row r="41" s="363" customFormat="1" ht="12.75"/>
    <row r="42" s="363" customFormat="1" ht="12.75"/>
    <row r="43" s="363" customFormat="1" ht="12.75"/>
    <row r="44" s="363" customFormat="1" ht="12.75"/>
    <row r="45" s="363" customFormat="1" ht="12.75"/>
    <row r="46" s="363" customFormat="1" ht="12.75"/>
    <row r="47" s="363" customFormat="1" ht="12.75"/>
    <row r="48" s="363" customFormat="1" ht="12.75"/>
    <row r="49" s="363" customFormat="1" ht="12.75"/>
    <row r="50" s="363" customFormat="1" ht="12.75"/>
    <row r="51" s="363" customFormat="1" ht="12.75"/>
    <row r="52" s="363" customFormat="1" ht="12.75"/>
    <row r="53" s="363" customFormat="1" ht="12.75"/>
    <row r="54" s="363" customFormat="1" ht="12.75"/>
    <row r="55" s="363" customFormat="1" ht="12.75"/>
    <row r="56" s="363" customFormat="1" ht="12.75"/>
    <row r="57" s="363" customFormat="1" ht="12.75"/>
    <row r="58" s="363" customFormat="1" ht="12.75"/>
    <row r="59" s="363" customFormat="1" ht="12.75"/>
    <row r="60" s="363" customFormat="1" ht="12.75"/>
    <row r="61" s="363" customFormat="1" ht="12.75"/>
    <row r="62" s="363" customFormat="1" ht="12.75"/>
    <row r="63" s="363" customFormat="1" ht="12.75"/>
    <row r="64" s="363" customFormat="1" ht="12.75"/>
    <row r="65" s="363" customFormat="1" ht="12.75"/>
    <row r="66" s="363" customFormat="1" ht="12.75"/>
    <row r="67" s="363" customFormat="1" ht="12.75"/>
    <row r="68" s="363" customFormat="1" ht="12.75"/>
    <row r="69" s="363" customFormat="1" ht="12.75"/>
    <row r="70" s="363" customFormat="1" ht="12.75"/>
    <row r="71" s="363" customFormat="1" ht="12.75"/>
    <row r="72" s="363" customFormat="1" ht="12.75"/>
    <row r="73" s="363" customFormat="1" ht="12.75"/>
    <row r="74" s="363" customFormat="1" ht="12.75"/>
    <row r="75" s="363" customFormat="1" ht="12.75"/>
    <row r="76" s="363" customFormat="1" ht="12.75"/>
    <row r="77" s="363" customFormat="1" ht="12.75"/>
    <row r="78" s="363" customFormat="1" ht="12.75"/>
    <row r="79" s="363" customFormat="1" ht="12.75"/>
    <row r="80" s="363" customFormat="1" ht="12.75"/>
    <row r="81" s="363" customFormat="1" ht="12.75"/>
    <row r="82" s="363" customFormat="1" ht="12.75"/>
    <row r="83" s="363" customFormat="1" ht="12.75"/>
    <row r="84" s="363" customFormat="1" ht="12.75"/>
    <row r="85" s="363" customFormat="1" ht="12.75"/>
    <row r="86" s="363" customFormat="1" ht="12.75"/>
    <row r="87" s="363" customFormat="1" ht="12.75"/>
    <row r="88" s="363" customFormat="1" ht="12.75"/>
    <row r="89" s="363" customFormat="1" ht="12.75"/>
    <row r="90" s="363" customFormat="1" ht="12.75"/>
    <row r="91" s="363" customFormat="1" ht="12.75"/>
    <row r="92" s="363" customFormat="1" ht="12.75"/>
    <row r="93" s="363" customFormat="1" ht="12.75"/>
    <row r="94" s="363" customFormat="1" ht="12.75"/>
    <row r="95" s="363" customFormat="1" ht="12.75"/>
    <row r="96" s="363" customFormat="1" ht="12.75"/>
    <row r="97" s="363" customFormat="1" ht="12.75"/>
    <row r="98" s="363" customFormat="1" ht="12.75"/>
    <row r="99" s="363" customFormat="1" ht="12.75"/>
    <row r="100" s="363" customFormat="1" ht="12.75"/>
    <row r="101" s="363" customFormat="1" ht="12.75"/>
    <row r="102" s="363" customFormat="1" ht="12.75"/>
    <row r="103" s="363" customFormat="1" ht="12.75"/>
    <row r="104" s="363" customFormat="1" ht="12.75"/>
    <row r="105" s="363" customFormat="1" ht="12.75"/>
    <row r="106" s="363" customFormat="1" ht="12.75"/>
    <row r="107" s="363" customFormat="1" ht="12.75"/>
    <row r="108" s="363" customFormat="1" ht="12.75"/>
    <row r="109" s="363" customFormat="1" ht="12.75"/>
    <row r="110" s="363" customFormat="1" ht="12.75"/>
    <row r="111" s="363" customFormat="1" ht="12.75"/>
    <row r="112" s="363" customFormat="1" ht="12.75"/>
    <row r="113" s="363" customFormat="1" ht="12.75"/>
    <row r="114" s="363" customFormat="1" ht="12.75"/>
    <row r="115" s="363" customFormat="1" ht="12.75"/>
    <row r="116" s="363" customFormat="1" ht="12.75"/>
    <row r="117" s="363" customFormat="1" ht="12.75"/>
    <row r="118" s="363" customFormat="1" ht="12.75"/>
    <row r="119" s="363" customFormat="1" ht="12.75"/>
    <row r="120" s="363" customFormat="1" ht="12.75"/>
    <row r="121" s="363" customFormat="1" ht="12.75"/>
    <row r="122" s="363" customFormat="1" ht="12.75"/>
    <row r="123" s="363" customFormat="1" ht="12.75"/>
    <row r="124" s="363" customFormat="1" ht="12.75"/>
    <row r="125" s="363" customFormat="1" ht="12.75"/>
    <row r="126" s="363" customFormat="1" ht="12.75"/>
    <row r="127" s="363" customFormat="1" ht="12.75"/>
    <row r="128" s="363" customFormat="1" ht="12.75"/>
    <row r="129" s="363" customFormat="1" ht="12.75"/>
    <row r="130" s="363" customFormat="1" ht="12.75"/>
    <row r="131" s="363" customFormat="1" ht="12.75"/>
    <row r="132" s="363" customFormat="1" ht="12.75"/>
    <row r="133" s="363" customFormat="1" ht="12.75"/>
    <row r="134" s="363" customFormat="1" ht="12.75"/>
    <row r="135" s="363" customFormat="1" ht="12.75"/>
    <row r="136" s="363" customFormat="1" ht="12.75"/>
    <row r="137" s="363" customFormat="1" ht="12.75"/>
    <row r="138" s="363" customFormat="1" ht="12.75"/>
    <row r="139" s="363" customFormat="1" ht="12.75"/>
    <row r="140" s="363" customFormat="1" ht="12.75"/>
    <row r="141" s="363" customFormat="1" ht="12.75"/>
    <row r="142" s="363" customFormat="1" ht="12.75"/>
    <row r="143" s="363" customFormat="1" ht="12.75"/>
    <row r="144" s="363" customFormat="1" ht="12.75"/>
    <row r="145" s="363" customFormat="1" ht="12.75"/>
    <row r="146" s="363" customFormat="1" ht="12.75"/>
    <row r="147" s="363" customFormat="1" ht="12.75"/>
    <row r="148" s="363" customFormat="1" ht="12.75"/>
    <row r="149" s="363" customFormat="1" ht="12.75"/>
    <row r="150" s="363" customFormat="1" ht="12.75"/>
    <row r="151" s="363" customFormat="1" ht="12.75"/>
    <row r="152" s="363" customFormat="1" ht="12.75"/>
    <row r="153" s="363" customFormat="1" ht="12.75"/>
    <row r="154" s="363" customFormat="1" ht="12.75"/>
    <row r="155" s="363" customFormat="1" ht="12.75"/>
    <row r="156" s="363" customFormat="1" ht="12.75"/>
    <row r="157" s="363" customFormat="1" ht="12.75"/>
    <row r="158" s="363" customFormat="1" ht="12.75"/>
    <row r="159" s="363" customFormat="1" ht="12.75"/>
    <row r="160" s="363" customFormat="1" ht="12.75"/>
    <row r="161" s="363" customFormat="1" ht="12.75"/>
    <row r="162" s="363" customFormat="1" ht="12.75"/>
    <row r="163" s="363" customFormat="1" ht="12.75"/>
    <row r="164" s="363" customFormat="1" ht="12.75"/>
    <row r="165" s="363" customFormat="1" ht="12.75"/>
    <row r="166" s="363" customFormat="1" ht="12.75"/>
    <row r="167" s="363" customFormat="1" ht="12.75"/>
    <row r="168" s="363" customFormat="1" ht="12.75"/>
    <row r="169" s="363" customFormat="1" ht="12.75"/>
    <row r="170" s="363" customFormat="1" ht="12.75"/>
    <row r="171" s="363" customFormat="1" ht="12.75"/>
    <row r="172" s="363" customFormat="1" ht="12.75"/>
    <row r="173" s="363" customFormat="1" ht="12.75"/>
    <row r="174" s="363" customFormat="1" ht="12.75"/>
    <row r="175" s="363" customFormat="1" ht="12.75"/>
    <row r="176" s="363" customFormat="1" ht="12.75"/>
    <row r="177" s="363" customFormat="1" ht="12.75"/>
    <row r="178" s="363" customFormat="1" ht="12.75"/>
    <row r="179" s="363" customFormat="1" ht="12.75"/>
    <row r="180" s="363" customFormat="1" ht="12.75"/>
    <row r="181" s="363" customFormat="1" ht="12.75"/>
    <row r="182" s="363" customFormat="1" ht="12.75"/>
    <row r="183" s="363" customFormat="1" ht="12.75"/>
    <row r="184" s="363" customFormat="1" ht="12.75"/>
    <row r="185" s="363" customFormat="1" ht="12.75"/>
    <row r="186" s="363" customFormat="1" ht="12.75"/>
    <row r="187" s="363" customFormat="1" ht="12.75"/>
    <row r="188" s="363" customFormat="1" ht="12.75"/>
    <row r="189" s="363" customFormat="1" ht="12.75"/>
    <row r="190" s="363" customFormat="1" ht="12.75"/>
    <row r="191" s="363" customFormat="1" ht="12.75"/>
    <row r="192" s="363" customFormat="1" ht="12.75"/>
    <row r="193" s="363" customFormat="1" ht="12.75"/>
    <row r="194" s="363" customFormat="1" ht="12.75"/>
    <row r="195" s="363" customFormat="1" ht="12.75"/>
    <row r="196" s="363" customFormat="1" ht="12.75"/>
    <row r="197" s="363" customFormat="1" ht="12.75"/>
    <row r="198" s="363" customFormat="1" ht="12.75"/>
    <row r="199" s="363" customFormat="1" ht="12.75"/>
    <row r="200" s="363" customFormat="1" ht="12.75"/>
    <row r="201" s="363" customFormat="1" ht="12.75"/>
    <row r="202" s="363" customFormat="1" ht="12.75"/>
    <row r="203" s="363" customFormat="1" ht="12.75"/>
    <row r="204" s="363" customFormat="1" ht="12.75"/>
    <row r="205" s="363" customFormat="1" ht="12.75"/>
    <row r="206" s="363" customFormat="1" ht="12.75"/>
    <row r="207" s="363" customFormat="1" ht="12.75"/>
    <row r="208" s="363" customFormat="1" ht="12.75"/>
    <row r="209" s="363" customFormat="1" ht="12.75"/>
    <row r="210" s="363" customFormat="1" ht="12.75"/>
    <row r="211" s="363" customFormat="1" ht="12.75"/>
    <row r="212" s="363" customFormat="1" ht="12.75"/>
    <row r="213" s="363" customFormat="1" ht="12.75"/>
    <row r="214" s="363" customFormat="1" ht="12.75"/>
    <row r="215" s="363" customFormat="1" ht="12.75"/>
    <row r="216" s="363" customFormat="1" ht="12.75"/>
    <row r="217" s="363" customFormat="1" ht="12.75"/>
    <row r="218" s="363" customFormat="1" ht="12.75"/>
    <row r="219" s="363" customFormat="1" ht="12.75"/>
    <row r="220" s="363" customFormat="1" ht="12.75"/>
    <row r="221" s="363" customFormat="1" ht="12.75"/>
    <row r="222" s="363" customFormat="1" ht="12.75"/>
    <row r="223" s="363" customFormat="1" ht="12.75"/>
    <row r="224" s="363" customFormat="1" ht="12.75"/>
    <row r="225" s="363" customFormat="1" ht="12.75"/>
    <row r="226" s="363" customFormat="1" ht="12.75"/>
    <row r="227" s="363" customFormat="1" ht="12.75"/>
    <row r="228" s="363" customFormat="1" ht="12.75"/>
    <row r="229" s="363" customFormat="1" ht="12.75"/>
    <row r="230" s="363" customFormat="1" ht="12.75"/>
    <row r="231" s="363" customFormat="1" ht="12.75"/>
    <row r="232" s="363" customFormat="1" ht="12.75"/>
    <row r="233" s="363" customFormat="1" ht="12.75"/>
    <row r="234" s="363" customFormat="1" ht="12.75"/>
    <row r="235" s="363" customFormat="1" ht="12.75"/>
    <row r="236" s="363" customFormat="1" ht="12.75"/>
    <row r="237" s="363" customFormat="1" ht="12.75"/>
    <row r="238" s="363" customFormat="1" ht="12.75"/>
    <row r="239" s="363" customFormat="1" ht="12.75"/>
    <row r="240" s="363" customFormat="1" ht="12.75"/>
    <row r="241" s="363" customFormat="1" ht="12.75"/>
    <row r="242" s="363" customFormat="1" ht="12.75"/>
    <row r="243" s="363" customFormat="1" ht="12.75"/>
    <row r="244" s="363" customFormat="1" ht="12.75"/>
    <row r="245" s="363" customFormat="1" ht="12.75"/>
  </sheetData>
  <sheetProtection algorithmName="SHA-512" hashValue="PQqUWZIcKmasFm7bJbyiCmF6QPRi67Rvmjw4t74KQ8WG+Wgp95069ZLtS4ecY2AvVXmOi634HmiSxjWFaE5GCQ==" saltValue="ene2su4nhaIpHtXL5P7pyQ==" spinCount="100000" sheet="1" objects="1" scenarios="1"/>
  <mergeCells count="2">
    <mergeCell ref="A1:B1"/>
    <mergeCell ref="A13:B13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75" customWidth="1"/>
    <col min="2" max="2" width="65.71428571428571" style="75" customWidth="1"/>
    <col min="3" max="3" width="3" style="75" customWidth="1"/>
    <col min="4" max="4" width="65.71428571428571" style="75" customWidth="1"/>
    <col min="5" max="5" width="28.285714285714285" style="75" customWidth="1"/>
    <col min="6" max="37" width="9.142857142857142" style="21"/>
  </cols>
  <sheetData>
    <row r="1" spans="1:37" s="107" customFormat="1" ht="18">
      <c r="A1" s="680" t="s">
        <v>329</v>
      </c>
      <c r="B1" s="681"/>
      <c r="C1" s="681"/>
      <c r="D1" s="681"/>
      <c r="E1" s="68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s="107" customFormat="1" ht="18">
      <c r="A2" s="257"/>
      <c r="B2" s="364" t="s">
        <v>3552</v>
      </c>
      <c r="C2" s="258"/>
      <c r="D2" s="264" t="s">
        <v>174</v>
      </c>
      <c r="E2" s="2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s="107" customFormat="1" ht="15.95" customHeight="1">
      <c r="A3" s="179"/>
      <c r="B3" s="180" t="s">
        <v>330</v>
      </c>
      <c r="C3" s="142"/>
      <c r="D3" s="180" t="s">
        <v>331</v>
      </c>
      <c r="E3" s="176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7" s="107" customFormat="1" ht="15.95" customHeight="1">
      <c r="A4" s="420" t="s">
        <v>3625</v>
      </c>
      <c r="B4" s="554"/>
      <c r="C4" s="182"/>
      <c r="D4" s="510"/>
      <c r="E4" s="419" t="s">
        <v>3622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37" s="107" customFormat="1" ht="15.95" customHeight="1">
      <c r="A5" s="420" t="s">
        <v>3626</v>
      </c>
      <c r="B5" s="555"/>
      <c r="C5" s="183"/>
      <c r="D5" s="511"/>
      <c r="E5" s="142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</row>
    <row r="6" spans="1:37" s="107" customFormat="1" ht="15.95" customHeight="1">
      <c r="A6" s="420" t="s">
        <v>3636</v>
      </c>
      <c r="B6" s="192"/>
      <c r="C6" s="183"/>
      <c r="D6" s="511"/>
      <c r="E6" s="142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7" s="107" customFormat="1" ht="15.95" customHeight="1">
      <c r="A7" s="420" t="s">
        <v>3627</v>
      </c>
      <c r="B7" s="555"/>
      <c r="C7" s="183"/>
      <c r="D7" s="193"/>
      <c r="E7" s="419" t="s">
        <v>3623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7" s="107" customFormat="1" ht="15.95" customHeight="1">
      <c r="A8" s="420" t="s">
        <v>3637</v>
      </c>
      <c r="B8" s="544"/>
      <c r="C8" s="183"/>
      <c r="D8" s="193"/>
      <c r="E8" s="142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s="107" customFormat="1" ht="15.95" customHeight="1">
      <c r="A9" s="420" t="s">
        <v>37</v>
      </c>
      <c r="B9" s="194"/>
      <c r="C9" s="183"/>
      <c r="D9" s="193"/>
      <c r="E9" s="142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</row>
    <row r="10" spans="1:37" s="107" customFormat="1" ht="15.95" customHeight="1">
      <c r="A10" s="420" t="s">
        <v>3624</v>
      </c>
      <c r="B10" s="194"/>
      <c r="C10" s="183"/>
      <c r="D10" s="195"/>
      <c r="E10" s="419" t="s">
        <v>3624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</row>
    <row r="11" spans="1:37" s="107" customFormat="1" ht="15.95" customHeight="1">
      <c r="A11" s="420" t="s">
        <v>3638</v>
      </c>
      <c r="B11" s="194"/>
      <c r="C11" s="183"/>
      <c r="D11" s="193"/>
      <c r="E11" s="142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spans="1:37" s="107" customFormat="1" ht="15.95" customHeight="1">
      <c r="A12" s="181"/>
      <c r="B12" s="506" t="s">
        <v>3776</v>
      </c>
      <c r="C12" s="507"/>
      <c r="D12" s="508"/>
      <c r="E12" s="14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7" s="107" customFormat="1" ht="15.95" customHeight="1">
      <c r="A13" s="421" t="s">
        <v>3639</v>
      </c>
      <c r="B13" s="196"/>
      <c r="C13" s="514"/>
      <c r="D13" s="197"/>
      <c r="E13" s="184" t="s">
        <v>334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7" s="107" customFormat="1" ht="15.95" customHeight="1">
      <c r="A14" s="421" t="s">
        <v>3640</v>
      </c>
      <c r="B14" s="196"/>
      <c r="C14" s="183"/>
      <c r="D14" s="197"/>
      <c r="E14" s="419" t="s">
        <v>3625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7" s="107" customFormat="1" ht="15.95" customHeight="1">
      <c r="A15" s="185" t="s">
        <v>336</v>
      </c>
      <c r="B15" s="196"/>
      <c r="C15" s="183"/>
      <c r="D15" s="197"/>
      <c r="E15" s="419" t="s">
        <v>3626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7" s="107" customFormat="1" ht="15.95" customHeight="1">
      <c r="A16" s="420" t="s">
        <v>3641</v>
      </c>
      <c r="B16" s="196"/>
      <c r="C16" s="183"/>
      <c r="D16" s="197"/>
      <c r="E16" s="419" t="s">
        <v>3627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7" s="107" customFormat="1" ht="15.95" customHeight="1">
      <c r="A17" s="420" t="s">
        <v>3631</v>
      </c>
      <c r="B17" s="198"/>
      <c r="C17" s="183"/>
      <c r="D17" s="197"/>
      <c r="E17" s="419" t="s">
        <v>3628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</row>
    <row r="18" spans="1:37" s="107" customFormat="1" ht="15.95" customHeight="1">
      <c r="A18" s="420" t="s">
        <v>3632</v>
      </c>
      <c r="B18" s="196"/>
      <c r="C18" s="183"/>
      <c r="D18" s="197"/>
      <c r="E18" s="142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</row>
    <row r="19" spans="1:37" s="107" customFormat="1" ht="15.95" customHeight="1">
      <c r="A19" s="420" t="s">
        <v>3633</v>
      </c>
      <c r="B19" s="198"/>
      <c r="C19" s="514"/>
      <c r="D19" s="197"/>
      <c r="E19" s="184" t="s">
        <v>333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1:37" s="107" customFormat="1" ht="15.95" customHeight="1">
      <c r="A20" s="421" t="s">
        <v>3642</v>
      </c>
      <c r="B20" s="196"/>
      <c r="C20" s="183"/>
      <c r="D20" s="197"/>
      <c r="E20" s="419" t="s">
        <v>3625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</row>
    <row r="21" spans="1:37" s="107" customFormat="1" ht="15.95" customHeight="1">
      <c r="A21" s="420" t="s">
        <v>3643</v>
      </c>
      <c r="B21" s="196"/>
      <c r="C21" s="183"/>
      <c r="D21" s="197"/>
      <c r="E21" s="419" t="s">
        <v>3626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</row>
    <row r="22" spans="1:37" s="107" customFormat="1" ht="15.95" customHeight="1">
      <c r="A22" s="181"/>
      <c r="B22" s="196"/>
      <c r="C22" s="183"/>
      <c r="D22" s="197"/>
      <c r="E22" s="419" t="s">
        <v>3627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</row>
    <row r="23" spans="1:37" s="107" customFormat="1" ht="15.95" customHeight="1">
      <c r="A23" s="185" t="s">
        <v>3644</v>
      </c>
      <c r="B23" s="196"/>
      <c r="C23" s="183"/>
      <c r="D23" s="199"/>
      <c r="E23" s="419" t="s">
        <v>3629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</row>
    <row r="24" spans="1:37" s="107" customFormat="1" ht="15.95" customHeight="1">
      <c r="A24" s="181"/>
      <c r="B24" s="196"/>
      <c r="C24" s="183"/>
      <c r="D24" s="197"/>
      <c r="E24" s="419" t="s">
        <v>3630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</row>
    <row r="25" spans="1:37" s="107" customFormat="1" ht="15.95" customHeight="1">
      <c r="A25" s="420" t="s">
        <v>3629</v>
      </c>
      <c r="B25" s="200"/>
      <c r="C25" s="183"/>
      <c r="D25" s="201"/>
      <c r="E25" s="419" t="s">
        <v>3631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</row>
    <row r="26" spans="1:37" s="107" customFormat="1" ht="15.95" customHeight="1">
      <c r="A26" s="420" t="s">
        <v>3645</v>
      </c>
      <c r="B26" s="200"/>
      <c r="C26" s="183"/>
      <c r="D26" s="197"/>
      <c r="E26" s="419" t="s">
        <v>3632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</row>
    <row r="27" spans="1:37" s="107" customFormat="1" ht="15.95" customHeight="1">
      <c r="A27" s="420" t="s">
        <v>3635</v>
      </c>
      <c r="B27" s="515"/>
      <c r="C27" s="183"/>
      <c r="D27" s="202"/>
      <c r="E27" s="419" t="s">
        <v>3633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8" spans="1:37" s="107" customFormat="1" ht="15.95" customHeight="1">
      <c r="A28" s="420" t="s">
        <v>3646</v>
      </c>
      <c r="B28" s="196"/>
      <c r="C28" s="183"/>
      <c r="D28" s="197"/>
      <c r="E28" s="142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</row>
    <row r="29" spans="1:37" s="107" customFormat="1" ht="15.95" customHeight="1">
      <c r="A29" s="421" t="s">
        <v>3647</v>
      </c>
      <c r="B29" s="509"/>
      <c r="C29" s="514"/>
      <c r="D29" s="197"/>
      <c r="E29" s="184" t="s">
        <v>335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s="107" customFormat="1" ht="15.95" customHeight="1">
      <c r="A30" s="362"/>
      <c r="B30" s="509"/>
      <c r="C30" s="183"/>
      <c r="D30" s="197"/>
      <c r="E30" s="419" t="s">
        <v>3625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</row>
    <row r="31" spans="1:37" s="107" customFormat="1" ht="15.95" customHeight="1">
      <c r="A31" s="185" t="s">
        <v>332</v>
      </c>
      <c r="B31" s="196"/>
      <c r="C31" s="183"/>
      <c r="D31" s="197"/>
      <c r="E31" s="419" t="s">
        <v>3626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</row>
    <row r="32" spans="1:37" s="107" customFormat="1" ht="15.95" customHeight="1">
      <c r="A32" s="420" t="s">
        <v>3648</v>
      </c>
      <c r="B32" s="198"/>
      <c r="C32" s="183"/>
      <c r="D32" s="197"/>
      <c r="E32" s="419" t="s">
        <v>3627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</row>
    <row r="33" spans="1:37" s="107" customFormat="1" ht="15.95" customHeight="1">
      <c r="A33" s="420" t="s">
        <v>3649</v>
      </c>
      <c r="B33" s="198"/>
      <c r="C33" s="183"/>
      <c r="D33" s="199"/>
      <c r="E33" s="419" t="s">
        <v>3629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</row>
    <row r="34" spans="1:37" s="107" customFormat="1" ht="15.95" customHeight="1">
      <c r="A34" s="420" t="s">
        <v>3650</v>
      </c>
      <c r="B34" s="196"/>
      <c r="C34" s="183"/>
      <c r="D34" s="199"/>
      <c r="E34" s="419" t="s">
        <v>3634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s="107" customFormat="1" ht="15.95" customHeight="1">
      <c r="A35" s="181"/>
      <c r="B35" s="196"/>
      <c r="C35" s="183"/>
      <c r="D35" s="297"/>
      <c r="E35" s="419" t="s">
        <v>3635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</row>
    <row r="36" spans="1:37" s="107" customFormat="1" ht="15.95" customHeight="1">
      <c r="A36" s="181"/>
      <c r="B36" s="203"/>
      <c r="C36" s="186"/>
      <c r="D36" s="204"/>
      <c r="E36" s="142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37" spans="1:37" s="107" customFormat="1" ht="12.75">
      <c r="A37" s="682" t="s">
        <v>3592</v>
      </c>
      <c r="B37" s="681"/>
      <c r="C37" s="681"/>
      <c r="D37" s="681"/>
      <c r="E37" s="681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</row>
    <row r="38" spans="1:37" s="107" customFormat="1" ht="12.75">
      <c r="A38" s="187"/>
      <c r="B38" s="188" t="s">
        <v>338</v>
      </c>
      <c r="C38" s="142"/>
      <c r="D38" s="678" t="s">
        <v>340</v>
      </c>
      <c r="E38" s="67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</row>
    <row r="39" spans="1:37" s="107" customFormat="1" ht="12.75">
      <c r="A39" s="189"/>
      <c r="B39" s="190" t="s">
        <v>337</v>
      </c>
      <c r="C39" s="142"/>
      <c r="D39" s="191" t="s">
        <v>0</v>
      </c>
      <c r="E39" s="14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</row>
    <row r="40" spans="1:37" s="107" customFormat="1" ht="12.75">
      <c r="A40" s="205"/>
      <c r="B40" s="206" t="s">
        <v>339</v>
      </c>
      <c r="C40" s="142"/>
      <c r="D40" s="142"/>
      <c r="E40" s="142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</row>
    <row r="41" spans="1:37" s="107" customFormat="1" ht="12.75">
      <c r="A41" s="677" t="s">
        <v>244</v>
      </c>
      <c r="B41" s="677"/>
      <c r="C41" s="677"/>
      <c r="D41" s="677"/>
      <c r="E41" s="17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</row>
    <row r="43" spans="1:1" s="21" customFormat="1" ht="12.75">
      <c r="A43" s="178"/>
    </row>
    <row r="44" spans="1:5" s="21" customFormat="1" ht="12.75">
      <c r="A44" s="675"/>
      <c r="B44" s="676"/>
      <c r="C44" s="676"/>
      <c r="D44" s="676"/>
      <c r="E44" s="676"/>
    </row>
    <row r="45" s="21" customFormat="1" ht="12.75"/>
    <row r="46" s="21" customFormat="1" ht="12.75"/>
    <row r="47" s="21" customFormat="1" ht="12.75"/>
    <row r="48" s="21" customFormat="1" ht="12.75"/>
    <row r="49" s="21" customFormat="1" ht="12.75"/>
    <row r="50" s="21" customFormat="1" ht="12.75"/>
    <row r="51" s="21" customFormat="1" ht="12.75"/>
    <row r="52" s="21" customFormat="1" ht="12.75"/>
    <row r="53" spans="1:1" s="21" customFormat="1" ht="12.75">
      <c r="A53" s="178"/>
    </row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28">
      <selection pane="topLeft" activeCell="A46" sqref="A46:L46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778" t="s">
        <v>316</v>
      </c>
      <c r="B1" s="778"/>
      <c r="C1" s="779"/>
      <c r="D1" s="779"/>
      <c r="E1" s="779"/>
      <c r="F1" s="779"/>
      <c r="G1" s="779"/>
      <c r="H1" s="779"/>
      <c r="I1" s="779"/>
      <c r="J1" s="779"/>
      <c r="K1" s="779"/>
      <c r="L1" s="779"/>
    </row>
    <row r="2" spans="1:12" ht="12.75">
      <c r="A2" s="790" t="s">
        <v>157</v>
      </c>
      <c r="B2" s="790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0.25" customHeight="1">
      <c r="A3" s="783">
        <f>+ZAKL_DATA!B13</f>
        <v>0.0</v>
      </c>
      <c r="B3" s="784"/>
      <c r="C3" s="785"/>
      <c r="D3" s="785"/>
      <c r="E3" s="785"/>
      <c r="F3" s="786"/>
      <c r="G3" s="791"/>
      <c r="H3" s="792"/>
      <c r="I3" s="792"/>
      <c r="J3" s="792"/>
      <c r="K3" s="792"/>
      <c r="L3" s="792"/>
    </row>
    <row r="4" spans="1:12" ht="12.75">
      <c r="A4" s="790" t="s">
        <v>158</v>
      </c>
      <c r="B4" s="790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0.25" customHeight="1">
      <c r="A5" s="783">
        <f>+ZAKL_DATA!B14</f>
        <v>0.0</v>
      </c>
      <c r="B5" s="784"/>
      <c r="C5" s="785"/>
      <c r="D5" s="785"/>
      <c r="E5" s="785"/>
      <c r="F5" s="786"/>
      <c r="G5" s="780"/>
      <c r="H5" s="796" t="s">
        <v>243</v>
      </c>
      <c r="I5" s="797"/>
      <c r="J5" s="797"/>
      <c r="K5" s="797"/>
      <c r="L5" s="798"/>
    </row>
    <row r="6" spans="1:12" ht="12.75">
      <c r="A6" s="793" t="s">
        <v>152</v>
      </c>
      <c r="B6" s="793"/>
      <c r="C6" s="794"/>
      <c r="D6" s="794"/>
      <c r="E6" s="794"/>
      <c r="F6" s="794"/>
      <c r="G6" s="781"/>
      <c r="H6" s="799"/>
      <c r="I6" s="676"/>
      <c r="J6" s="676"/>
      <c r="K6" s="676"/>
      <c r="L6" s="781"/>
    </row>
    <row r="7" spans="1:12" ht="20.25" customHeight="1">
      <c r="A7" s="787" t="str">
        <f>IF(EXACT(LEFT(+ZAKL_DATA!D2,1),"C"),+ZAKL_DATA!D2," ")</f>
        <v>CZ</v>
      </c>
      <c r="B7" s="746"/>
      <c r="C7" s="788"/>
      <c r="D7" s="788"/>
      <c r="E7" s="788"/>
      <c r="F7" s="789"/>
      <c r="G7" s="781"/>
      <c r="H7" s="799"/>
      <c r="I7" s="676"/>
      <c r="J7" s="676"/>
      <c r="K7" s="676"/>
      <c r="L7" s="781"/>
    </row>
    <row r="8" spans="1:12" ht="12.75">
      <c r="A8" s="795" t="s">
        <v>153</v>
      </c>
      <c r="B8" s="795"/>
      <c r="C8" s="794"/>
      <c r="D8" s="794"/>
      <c r="E8" s="794"/>
      <c r="F8" s="782"/>
      <c r="G8" s="676"/>
      <c r="H8" s="799"/>
      <c r="I8" s="676"/>
      <c r="J8" s="676"/>
      <c r="K8" s="676"/>
      <c r="L8" s="781"/>
    </row>
    <row r="9" spans="1:12" ht="20.25" customHeight="1">
      <c r="A9" s="745" t="str">
        <f>IF(EXACT(LEFT(+ZAKL_DATA!D2,1),"C"),+MID(A7,3,20),+ZAKL_DATA!D2)</f>
        <v/>
      </c>
      <c r="B9" s="746"/>
      <c r="C9" s="746"/>
      <c r="D9" s="746"/>
      <c r="E9" s="747"/>
      <c r="F9" s="676"/>
      <c r="G9" s="676"/>
      <c r="H9" s="799"/>
      <c r="I9" s="676"/>
      <c r="J9" s="676"/>
      <c r="K9" s="676"/>
      <c r="L9" s="781"/>
    </row>
    <row r="10" spans="1:12" ht="12.75">
      <c r="A10" s="690"/>
      <c r="B10" s="690"/>
      <c r="C10" s="690"/>
      <c r="D10" s="690"/>
      <c r="E10" s="690"/>
      <c r="F10" s="676"/>
      <c r="G10" s="676"/>
      <c r="H10" s="800"/>
      <c r="I10" s="801"/>
      <c r="J10" s="801"/>
      <c r="K10" s="801"/>
      <c r="L10" s="802"/>
    </row>
    <row r="11" spans="1:12" ht="12.75">
      <c r="A11" s="690" t="s">
        <v>234</v>
      </c>
      <c r="B11" s="690"/>
      <c r="C11" s="676"/>
      <c r="D11" s="676"/>
      <c r="E11" s="676"/>
      <c r="F11" s="676"/>
      <c r="G11" s="676"/>
      <c r="H11" s="676"/>
      <c r="I11" s="676"/>
      <c r="J11" s="676"/>
      <c r="K11" s="676"/>
      <c r="L11" s="676"/>
    </row>
    <row r="12" spans="1:12" ht="11.25" customHeight="1">
      <c r="A12" s="70" t="s">
        <v>154</v>
      </c>
      <c r="B12" s="68"/>
      <c r="C12" s="70" t="s">
        <v>253</v>
      </c>
      <c r="D12" s="9"/>
      <c r="E12" s="70" t="s">
        <v>254</v>
      </c>
      <c r="F12" s="69"/>
      <c r="G12" s="759" t="s">
        <v>235</v>
      </c>
      <c r="H12" s="760"/>
      <c r="I12" s="760"/>
      <c r="J12" s="760"/>
      <c r="K12" s="10"/>
      <c r="L12" s="69"/>
    </row>
    <row r="13" spans="1:12" ht="24" customHeight="1">
      <c r="A13" s="71" t="s">
        <v>255</v>
      </c>
      <c r="B13" s="68"/>
      <c r="C13" s="71"/>
      <c r="D13" s="68"/>
      <c r="E13" s="71"/>
      <c r="F13" s="69"/>
      <c r="G13" s="760"/>
      <c r="H13" s="760"/>
      <c r="I13" s="760"/>
      <c r="J13" s="760"/>
      <c r="K13" s="698"/>
      <c r="L13" s="699"/>
    </row>
    <row r="14" spans="1:12" ht="12.75">
      <c r="A14" s="694" t="s">
        <v>225</v>
      </c>
      <c r="B14" s="676"/>
      <c r="C14" s="676"/>
      <c r="D14" s="676"/>
      <c r="E14" s="676"/>
      <c r="F14" s="697"/>
      <c r="G14" s="697"/>
      <c r="H14" s="697"/>
      <c r="I14" s="697"/>
      <c r="J14" s="697"/>
      <c r="K14" s="697"/>
      <c r="L14" s="697"/>
    </row>
    <row r="15" spans="1:12" ht="20.25" customHeight="1">
      <c r="A15" s="71"/>
      <c r="B15" s="691"/>
      <c r="C15" s="676"/>
      <c r="D15" s="676"/>
      <c r="E15" s="676"/>
      <c r="F15" s="695"/>
      <c r="G15" s="696"/>
      <c r="H15" s="696"/>
      <c r="I15" s="696"/>
      <c r="J15" s="128" t="s">
        <v>357</v>
      </c>
      <c r="K15" s="698"/>
      <c r="L15" s="699"/>
    </row>
    <row r="16" spans="1:12" ht="12.75">
      <c r="A16" s="704"/>
      <c r="B16" s="705"/>
      <c r="C16" s="705"/>
      <c r="D16" s="705"/>
      <c r="E16" s="705"/>
      <c r="F16" s="696"/>
      <c r="G16" s="696"/>
      <c r="H16" s="696"/>
      <c r="I16" s="696"/>
      <c r="J16" s="72"/>
      <c r="K16" s="74"/>
      <c r="L16" s="73"/>
    </row>
    <row r="17" spans="1:12" ht="24" customHeight="1">
      <c r="A17" s="701" t="s">
        <v>3756</v>
      </c>
      <c r="B17" s="702"/>
      <c r="C17" s="702"/>
      <c r="D17" s="702"/>
      <c r="E17" s="702"/>
      <c r="F17" s="702"/>
      <c r="G17" s="702"/>
      <c r="H17" s="703"/>
      <c r="I17" s="122" t="s">
        <v>233</v>
      </c>
      <c r="J17" s="71"/>
      <c r="K17" s="120" t="s">
        <v>139</v>
      </c>
      <c r="L17" s="71" t="s">
        <v>255</v>
      </c>
    </row>
    <row r="18" spans="1:12" ht="9" customHeight="1">
      <c r="A18" s="700"/>
      <c r="B18" s="700"/>
      <c r="C18" s="697"/>
      <c r="D18" s="697"/>
      <c r="E18" s="697"/>
      <c r="F18" s="697"/>
      <c r="G18" s="697"/>
      <c r="H18" s="697"/>
      <c r="I18" s="697"/>
      <c r="J18" s="697"/>
      <c r="K18" s="697"/>
      <c r="L18" s="697"/>
    </row>
    <row r="19" spans="1:12" ht="24" customHeight="1">
      <c r="A19" s="701" t="s">
        <v>237</v>
      </c>
      <c r="B19" s="702"/>
      <c r="C19" s="702"/>
      <c r="D19" s="702"/>
      <c r="E19" s="702"/>
      <c r="F19" s="702"/>
      <c r="G19" s="702"/>
      <c r="H19" s="703"/>
      <c r="I19" s="122" t="s">
        <v>233</v>
      </c>
      <c r="J19" s="71"/>
      <c r="K19" s="120" t="s">
        <v>139</v>
      </c>
      <c r="L19" s="71" t="s">
        <v>255</v>
      </c>
    </row>
    <row r="20" spans="1:12" ht="20.1" customHeight="1">
      <c r="A20" s="700"/>
      <c r="B20" s="700"/>
      <c r="C20" s="700"/>
      <c r="D20" s="700"/>
      <c r="E20" s="700"/>
      <c r="F20" s="700"/>
      <c r="G20" s="700"/>
      <c r="H20" s="700"/>
      <c r="I20" s="700"/>
      <c r="J20" s="700"/>
      <c r="K20" s="700"/>
      <c r="L20" s="700"/>
    </row>
    <row r="21" spans="1:12" ht="27.95" customHeight="1">
      <c r="A21" s="752" t="s">
        <v>102</v>
      </c>
      <c r="B21" s="696"/>
      <c r="C21" s="696"/>
      <c r="D21" s="696"/>
      <c r="E21" s="696"/>
      <c r="F21" s="696"/>
      <c r="G21" s="696"/>
      <c r="H21" s="696"/>
      <c r="I21" s="696"/>
      <c r="J21" s="696"/>
      <c r="K21" s="696"/>
      <c r="L21" s="696"/>
    </row>
    <row r="22" spans="1:12" ht="18" customHeight="1">
      <c r="A22" s="753" t="s">
        <v>103</v>
      </c>
      <c r="B22" s="753"/>
      <c r="C22" s="696"/>
      <c r="D22" s="696"/>
      <c r="E22" s="696"/>
      <c r="F22" s="696"/>
      <c r="G22" s="696"/>
      <c r="H22" s="696"/>
      <c r="I22" s="696"/>
      <c r="J22" s="696"/>
      <c r="K22" s="676"/>
      <c r="L22" s="676"/>
    </row>
    <row r="23" spans="1:12" s="106" customFormat="1" ht="18" customHeight="1">
      <c r="A23" s="750" t="s">
        <v>3452</v>
      </c>
      <c r="B23" s="750"/>
      <c r="C23" s="751"/>
      <c r="D23" s="751"/>
      <c r="E23" s="751"/>
      <c r="F23" s="751"/>
      <c r="G23" s="751"/>
      <c r="H23" s="751"/>
      <c r="I23" s="751"/>
      <c r="J23" s="751"/>
      <c r="K23" s="751"/>
      <c r="L23" s="751"/>
    </row>
    <row r="24" spans="1:12" s="106" customFormat="1" ht="24" customHeight="1">
      <c r="A24" s="754" t="s">
        <v>257</v>
      </c>
      <c r="B24" s="755"/>
      <c r="C24" s="755"/>
      <c r="D24" s="755"/>
      <c r="E24" s="756"/>
      <c r="F24" s="692">
        <v>2022.0</v>
      </c>
      <c r="G24" s="693"/>
      <c r="H24" s="757" t="s">
        <v>187</v>
      </c>
      <c r="I24" s="758"/>
      <c r="J24" s="167"/>
      <c r="K24" s="166" t="s">
        <v>256</v>
      </c>
      <c r="L24" s="167"/>
    </row>
    <row r="25" spans="1:12" ht="18" customHeight="1">
      <c r="A25" s="700" t="s">
        <v>3453</v>
      </c>
      <c r="B25" s="700"/>
      <c r="C25" s="697"/>
      <c r="D25" s="697"/>
      <c r="E25" s="697"/>
      <c r="F25" s="697"/>
      <c r="G25" s="697"/>
      <c r="H25" s="697"/>
      <c r="I25" s="697"/>
      <c r="J25" s="697"/>
      <c r="K25" s="697"/>
      <c r="L25" s="697"/>
    </row>
    <row r="26" spans="1:12" ht="9.95" customHeight="1">
      <c r="A26" s="700"/>
      <c r="B26" s="700"/>
      <c r="C26" s="697"/>
      <c r="D26" s="697"/>
      <c r="E26" s="697"/>
      <c r="F26" s="697"/>
      <c r="G26" s="697"/>
      <c r="H26" s="697"/>
      <c r="I26" s="697"/>
      <c r="J26" s="697"/>
      <c r="K26" s="697"/>
      <c r="L26" s="697"/>
    </row>
    <row r="27" spans="1:12" ht="15" customHeight="1" thickBot="1">
      <c r="A27" s="712" t="s">
        <v>138</v>
      </c>
      <c r="B27" s="712"/>
      <c r="C27" s="713"/>
      <c r="D27" s="713"/>
      <c r="E27" s="713"/>
      <c r="F27" s="713"/>
      <c r="G27" s="713"/>
      <c r="H27" s="713"/>
      <c r="I27" s="713"/>
      <c r="J27" s="713"/>
      <c r="K27" s="713"/>
      <c r="L27" s="713"/>
    </row>
    <row r="28" spans="1:12" ht="24" customHeight="1">
      <c r="A28" s="237" t="s">
        <v>1</v>
      </c>
      <c r="B28" s="761">
        <f>+ZAKL_DATA!B5</f>
        <v>0.0</v>
      </c>
      <c r="C28" s="762"/>
      <c r="D28" s="762"/>
      <c r="E28" s="763"/>
      <c r="F28" s="238" t="s">
        <v>3759</v>
      </c>
      <c r="G28" s="761">
        <f>+ZAKL_DATA!B6</f>
        <v>0.0</v>
      </c>
      <c r="H28" s="764"/>
      <c r="I28" s="239" t="s">
        <v>285</v>
      </c>
      <c r="J28" s="765">
        <f>+ZAKL_DATA!B4</f>
        <v>0.0</v>
      </c>
      <c r="K28" s="766"/>
      <c r="L28" s="767"/>
    </row>
    <row r="29" spans="1:12" ht="24" customHeight="1" thickBot="1">
      <c r="A29" s="240" t="s">
        <v>3760</v>
      </c>
      <c r="B29" s="775">
        <f>+ZAKL_DATA!B7</f>
        <v>0.0</v>
      </c>
      <c r="C29" s="776"/>
      <c r="D29" s="776"/>
      <c r="E29" s="687"/>
      <c r="F29" s="720" t="s">
        <v>2</v>
      </c>
      <c r="G29" s="721"/>
      <c r="H29" s="381">
        <f>+ZAKL_DATA!B20</f>
        <v>0.0</v>
      </c>
      <c r="I29" s="241" t="s">
        <v>3</v>
      </c>
      <c r="J29" s="772"/>
      <c r="K29" s="773"/>
      <c r="L29" s="774"/>
    </row>
    <row r="30" spans="1:12" ht="15" customHeight="1" thickBot="1">
      <c r="A30" s="777" t="s">
        <v>206</v>
      </c>
      <c r="B30" s="777"/>
      <c r="C30" s="732"/>
      <c r="D30" s="732"/>
      <c r="E30" s="732"/>
      <c r="F30" s="732"/>
      <c r="G30" s="732"/>
      <c r="H30" s="732"/>
      <c r="I30" s="732"/>
      <c r="J30" s="732"/>
      <c r="K30" s="732"/>
      <c r="L30" s="732"/>
    </row>
    <row r="31" spans="1:12" ht="24" customHeight="1">
      <c r="A31" s="237" t="s">
        <v>4</v>
      </c>
      <c r="B31" s="683">
        <f>+ZAKL_DATA!B18</f>
        <v>0.0</v>
      </c>
      <c r="C31" s="684"/>
      <c r="D31" s="684"/>
      <c r="E31" s="685"/>
      <c r="F31" s="242" t="s">
        <v>3454</v>
      </c>
      <c r="G31" s="683">
        <f>+ZAKL_DATA!B16</f>
        <v>0.0</v>
      </c>
      <c r="H31" s="770"/>
      <c r="I31" s="771"/>
      <c r="J31" s="768" t="s">
        <v>5</v>
      </c>
      <c r="K31" s="769"/>
      <c r="L31" s="13">
        <f>+ZAKL_DATA!B17</f>
        <v>0.0</v>
      </c>
    </row>
    <row r="32" spans="1:12" ht="24" customHeight="1" thickBot="1">
      <c r="A32" s="240" t="s">
        <v>188</v>
      </c>
      <c r="B32" s="686">
        <f>+ZAKL_DATA!B19</f>
        <v>0.0</v>
      </c>
      <c r="C32" s="687"/>
      <c r="D32" s="733" t="s">
        <v>3757</v>
      </c>
      <c r="E32" s="734"/>
      <c r="F32" s="251">
        <f>+ZAKL_DATA!B25</f>
        <v>0.0</v>
      </c>
      <c r="G32" s="243" t="s">
        <v>3758</v>
      </c>
      <c r="H32" s="741">
        <f>+ZAKL_DATA!B27</f>
        <v>0.0</v>
      </c>
      <c r="I32" s="742"/>
      <c r="J32" s="244" t="s">
        <v>189</v>
      </c>
      <c r="K32" s="706">
        <f>+ZAKL_DATA!B20</f>
        <v>0.0</v>
      </c>
      <c r="L32" s="707"/>
    </row>
    <row r="33" spans="1:12" ht="15" customHeight="1">
      <c r="A33" s="739" t="s">
        <v>3597</v>
      </c>
      <c r="B33" s="740"/>
      <c r="C33" s="740"/>
      <c r="D33" s="740"/>
      <c r="E33" s="740"/>
      <c r="F33" s="740"/>
      <c r="G33" s="740"/>
      <c r="H33" s="740"/>
      <c r="I33" s="740"/>
      <c r="J33" s="740"/>
      <c r="K33" s="716"/>
      <c r="L33" s="716"/>
    </row>
    <row r="34" spans="1:12" ht="15" customHeight="1" thickBot="1">
      <c r="A34" s="737" t="s">
        <v>108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2"/>
      <c r="L34" s="732"/>
    </row>
    <row r="35" spans="1:14" ht="24" customHeight="1" thickBot="1">
      <c r="A35" s="245" t="s">
        <v>190</v>
      </c>
      <c r="B35" s="722"/>
      <c r="C35" s="723"/>
      <c r="D35" s="723"/>
      <c r="E35" s="724"/>
      <c r="F35" s="246" t="s">
        <v>107</v>
      </c>
      <c r="G35" s="688"/>
      <c r="H35" s="689"/>
      <c r="I35" s="247" t="s">
        <v>64</v>
      </c>
      <c r="J35" s="248"/>
      <c r="K35" s="249" t="s">
        <v>191</v>
      </c>
      <c r="L35" s="250"/>
      <c r="M35" s="129"/>
      <c r="N35" s="130"/>
    </row>
    <row r="36" spans="1:12" ht="15" customHeight="1">
      <c r="A36" s="728" t="s">
        <v>3614</v>
      </c>
      <c r="B36" s="729"/>
      <c r="C36" s="729"/>
      <c r="D36" s="729"/>
      <c r="E36" s="729"/>
      <c r="F36" s="729"/>
      <c r="G36" s="729"/>
      <c r="H36" s="729"/>
      <c r="I36" s="729"/>
      <c r="J36" s="729"/>
      <c r="K36" s="676"/>
      <c r="L36" s="676"/>
    </row>
    <row r="37" spans="1:12" ht="15" customHeight="1" thickBot="1">
      <c r="A37" s="730" t="s">
        <v>317</v>
      </c>
      <c r="B37" s="731"/>
      <c r="C37" s="731"/>
      <c r="D37" s="731"/>
      <c r="E37" s="731"/>
      <c r="F37" s="731"/>
      <c r="G37" s="731"/>
      <c r="H37" s="731"/>
      <c r="I37" s="731"/>
      <c r="J37" s="731"/>
      <c r="K37" s="732"/>
      <c r="L37" s="732"/>
    </row>
    <row r="38" spans="1:14" ht="24" customHeight="1">
      <c r="A38" s="11" t="s">
        <v>192</v>
      </c>
      <c r="B38" s="683"/>
      <c r="C38" s="684"/>
      <c r="D38" s="684"/>
      <c r="E38" s="685"/>
      <c r="F38" s="111" t="s">
        <v>3455</v>
      </c>
      <c r="G38" s="725"/>
      <c r="H38" s="726"/>
      <c r="I38" s="727"/>
      <c r="J38" s="735" t="s">
        <v>193</v>
      </c>
      <c r="K38" s="736"/>
      <c r="L38" s="13"/>
      <c r="M38" s="129"/>
      <c r="N38" s="130"/>
    </row>
    <row r="39" spans="1:14" ht="24" customHeight="1" thickBot="1">
      <c r="A39" s="12" t="s">
        <v>194</v>
      </c>
      <c r="B39" s="686"/>
      <c r="C39" s="687"/>
      <c r="D39" s="733" t="s">
        <v>3799</v>
      </c>
      <c r="E39" s="734"/>
      <c r="F39" s="711"/>
      <c r="G39" s="687"/>
      <c r="H39" s="243" t="s">
        <v>3800</v>
      </c>
      <c r="I39" s="708"/>
      <c r="J39" s="709"/>
      <c r="K39" s="709"/>
      <c r="L39" s="710"/>
      <c r="M39" s="129"/>
      <c r="N39" s="130"/>
    </row>
    <row r="40" spans="1:12" ht="12" customHeight="1">
      <c r="A40" s="715"/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</row>
    <row r="41" spans="1:12" ht="24" customHeight="1">
      <c r="A41" s="717" t="s">
        <v>109</v>
      </c>
      <c r="B41" s="718"/>
      <c r="C41" s="718"/>
      <c r="D41" s="718"/>
      <c r="E41" s="719"/>
      <c r="F41" s="112"/>
      <c r="G41" s="113"/>
      <c r="H41" s="807" t="s">
        <v>54</v>
      </c>
      <c r="I41" s="808"/>
      <c r="J41" s="809"/>
      <c r="K41" s="805"/>
      <c r="L41" s="806"/>
    </row>
    <row r="42" spans="1:12" ht="12" customHeight="1">
      <c r="A42" s="749"/>
      <c r="B42" s="676"/>
      <c r="C42" s="676"/>
      <c r="D42" s="676"/>
      <c r="E42" s="676"/>
      <c r="F42" s="676"/>
      <c r="G42" s="676"/>
      <c r="H42" s="676"/>
      <c r="I42" s="676"/>
      <c r="J42" s="676"/>
      <c r="K42" s="676"/>
      <c r="L42" s="676"/>
    </row>
    <row r="43" spans="1:12" ht="24" customHeight="1">
      <c r="A43" s="748" t="s">
        <v>3553</v>
      </c>
      <c r="B43" s="703"/>
      <c r="C43" s="703"/>
      <c r="D43" s="703"/>
      <c r="E43" s="120" t="s">
        <v>233</v>
      </c>
      <c r="F43" s="71"/>
      <c r="G43" s="120" t="s">
        <v>139</v>
      </c>
      <c r="H43" s="71" t="s">
        <v>255</v>
      </c>
      <c r="I43" s="714"/>
      <c r="J43" s="676"/>
      <c r="K43" s="676"/>
      <c r="L43" s="676"/>
    </row>
    <row r="44" spans="1:12" ht="9" customHeight="1">
      <c r="A44" s="803"/>
      <c r="B44" s="676"/>
      <c r="C44" s="676"/>
      <c r="D44" s="676"/>
      <c r="E44" s="676"/>
      <c r="F44" s="676"/>
      <c r="G44" s="676"/>
      <c r="H44" s="676"/>
      <c r="I44" s="676"/>
      <c r="J44" s="676"/>
      <c r="K44" s="676"/>
      <c r="L44" s="676"/>
    </row>
    <row r="45" spans="1:12" ht="9" customHeight="1">
      <c r="A45" s="804" t="s">
        <v>3922</v>
      </c>
      <c r="B45" s="804"/>
      <c r="C45" s="676"/>
      <c r="D45" s="676"/>
      <c r="E45" s="676"/>
      <c r="F45" s="676"/>
      <c r="G45" s="676"/>
      <c r="H45" s="676"/>
      <c r="I45" s="676"/>
      <c r="J45" s="676"/>
      <c r="K45" s="676"/>
      <c r="L45" s="676"/>
    </row>
    <row r="46" spans="1:12" ht="10.5" customHeight="1">
      <c r="A46" s="743" t="s">
        <v>244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</row>
    <row r="47" spans="1:12" ht="10.5" customHeight="1">
      <c r="A47" s="743">
        <f>+ZAKL_DATA!A44</f>
        <v>0.0</v>
      </c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</row>
    <row r="48" spans="1:12" ht="10.5" customHeight="1">
      <c r="A48" s="700">
        <v>1.0</v>
      </c>
      <c r="B48" s="676"/>
      <c r="C48" s="676"/>
      <c r="D48" s="676"/>
      <c r="E48" s="676"/>
      <c r="F48" s="676"/>
      <c r="G48" s="676"/>
      <c r="H48" s="676"/>
      <c r="I48" s="676"/>
      <c r="J48" s="676"/>
      <c r="K48" s="676"/>
      <c r="L48" s="676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90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91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101">
        <v>1.0</v>
      </c>
    </row>
  </sheetData>
  <sheetProtection algorithmName="SHA-512" hashValue="+rWdZOrjdqj1c/AQYUGzIs0S1jfiOwPr9fzReMdsSJ9ORPaiyY7+8xXQ/a8MTT8LFNaHmqhtu5vNL4FWwy+Fig==" saltValue="2z4CU4J2nGfvNJ2hwG6W9w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5"/>
    <col min="12" max="12" width="41.714285714285715" style="75" customWidth="1"/>
    <col min="13" max="18" width="14.714285714285714" style="75" customWidth="1"/>
    <col min="19" max="58" width="9.142857142857142" style="75"/>
  </cols>
  <sheetData>
    <row r="1" spans="1:10" ht="12.75">
      <c r="A1" s="700" t="s">
        <v>201</v>
      </c>
      <c r="B1" s="697"/>
      <c r="C1" s="697"/>
      <c r="D1" s="697"/>
      <c r="E1" s="697"/>
      <c r="F1" s="697"/>
      <c r="G1" s="676"/>
      <c r="H1" s="676"/>
      <c r="I1" s="676"/>
      <c r="J1" s="676"/>
    </row>
    <row r="2" spans="1:10" ht="13.5" thickBot="1">
      <c r="A2" s="845" t="s">
        <v>3456</v>
      </c>
      <c r="B2" s="846"/>
      <c r="C2" s="846"/>
      <c r="D2" s="846"/>
      <c r="E2" s="846"/>
      <c r="F2" s="846"/>
      <c r="G2" s="847"/>
      <c r="H2" s="847"/>
      <c r="I2" s="847"/>
      <c r="J2" s="847"/>
    </row>
    <row r="3" spans="1:18" ht="12" customHeight="1">
      <c r="A3" s="856"/>
      <c r="B3" s="857"/>
      <c r="C3" s="857"/>
      <c r="D3" s="858"/>
      <c r="E3" s="859" t="s">
        <v>147</v>
      </c>
      <c r="F3" s="859"/>
      <c r="G3" s="859"/>
      <c r="H3" s="859" t="s">
        <v>155</v>
      </c>
      <c r="I3" s="859"/>
      <c r="J3" s="860"/>
      <c r="L3" s="468" t="s">
        <v>3697</v>
      </c>
      <c r="M3" s="469" t="s">
        <v>3698</v>
      </c>
      <c r="N3" s="470" t="s">
        <v>3699</v>
      </c>
      <c r="O3" s="471" t="s">
        <v>3700</v>
      </c>
      <c r="P3" s="471" t="s">
        <v>3701</v>
      </c>
      <c r="Q3" s="471" t="s">
        <v>3702</v>
      </c>
      <c r="R3" s="472" t="s">
        <v>3703</v>
      </c>
    </row>
    <row r="4" spans="1:18" ht="15.95" customHeight="1">
      <c r="A4" s="17">
        <v>31.0</v>
      </c>
      <c r="B4" s="840" t="s">
        <v>199</v>
      </c>
      <c r="C4" s="843"/>
      <c r="D4" s="844"/>
      <c r="E4" s="851">
        <f>+M4</f>
        <v>0.0</v>
      </c>
      <c r="F4" s="852"/>
      <c r="G4" s="836"/>
      <c r="H4" s="829"/>
      <c r="I4" s="830"/>
      <c r="J4" s="831"/>
      <c r="L4" s="473" t="s">
        <v>3704</v>
      </c>
      <c r="M4" s="474">
        <f>+ROUND(SUM(N4:R4)+0.49,0)</f>
        <v>0.0</v>
      </c>
      <c r="N4" s="475">
        <v>0.0</v>
      </c>
      <c r="O4" s="476">
        <v>0.0</v>
      </c>
      <c r="P4" s="476">
        <v>0.0</v>
      </c>
      <c r="Q4" s="476">
        <v>0.0</v>
      </c>
      <c r="R4" s="477">
        <v>0.0</v>
      </c>
    </row>
    <row r="5" spans="1:18" ht="15.95" customHeight="1">
      <c r="A5" s="17">
        <v>32.0</v>
      </c>
      <c r="B5" s="840" t="s">
        <v>171</v>
      </c>
      <c r="C5" s="843"/>
      <c r="D5" s="844"/>
      <c r="E5" s="848"/>
      <c r="F5" s="849"/>
      <c r="G5" s="850"/>
      <c r="H5" s="829"/>
      <c r="I5" s="830"/>
      <c r="J5" s="831"/>
      <c r="L5" s="473" t="s">
        <v>3705</v>
      </c>
      <c r="M5" s="474">
        <f>+ROUND(SUM(N5:R5)+0.49,0)</f>
        <v>0.0</v>
      </c>
      <c r="N5" s="475">
        <v>0.0</v>
      </c>
      <c r="O5" s="476">
        <v>0.0</v>
      </c>
      <c r="P5" s="476">
        <v>0.0</v>
      </c>
      <c r="Q5" s="476">
        <v>0.0</v>
      </c>
      <c r="R5" s="477">
        <v>0.0</v>
      </c>
    </row>
    <row r="6" spans="1:18" ht="15.95" customHeight="1">
      <c r="A6" s="17">
        <v>33.0</v>
      </c>
      <c r="B6" s="840" t="s">
        <v>65</v>
      </c>
      <c r="C6" s="841"/>
      <c r="D6" s="842"/>
      <c r="E6" s="851">
        <v>0.0</v>
      </c>
      <c r="F6" s="852"/>
      <c r="G6" s="836"/>
      <c r="H6" s="829"/>
      <c r="I6" s="830"/>
      <c r="J6" s="831"/>
      <c r="L6" s="473" t="s">
        <v>3706</v>
      </c>
      <c r="M6" s="474">
        <f>+ROUND(SUM(N6:R6)+0.49,0)</f>
        <v>0.0</v>
      </c>
      <c r="N6" s="475">
        <v>0.0</v>
      </c>
      <c r="O6" s="476">
        <v>0.0</v>
      </c>
      <c r="P6" s="476">
        <v>0.0</v>
      </c>
      <c r="Q6" s="476">
        <v>0.0</v>
      </c>
      <c r="R6" s="477">
        <v>0.0</v>
      </c>
    </row>
    <row r="7" spans="1:18" ht="15.95" customHeight="1" thickBot="1">
      <c r="A7" s="17">
        <v>34.0</v>
      </c>
      <c r="B7" s="840" t="s">
        <v>3801</v>
      </c>
      <c r="C7" s="843"/>
      <c r="D7" s="844"/>
      <c r="E7" s="848">
        <f>+E4-E6</f>
        <v>0.0</v>
      </c>
      <c r="F7" s="849"/>
      <c r="G7" s="850"/>
      <c r="H7" s="829"/>
      <c r="I7" s="830"/>
      <c r="J7" s="831"/>
      <c r="L7" s="478" t="s">
        <v>3707</v>
      </c>
      <c r="M7" s="479">
        <f>+ROUND(SUM(N7:R7)+0.49,0)</f>
        <v>0.0</v>
      </c>
      <c r="N7" s="480">
        <v>0.0</v>
      </c>
      <c r="O7" s="481">
        <v>0.0</v>
      </c>
      <c r="P7" s="481">
        <v>0.0</v>
      </c>
      <c r="Q7" s="481">
        <v>0.0</v>
      </c>
      <c r="R7" s="482">
        <v>0.0</v>
      </c>
    </row>
    <row r="8" spans="1:10" ht="15.95" customHeight="1" thickBot="1">
      <c r="A8" s="16">
        <v>35.0</v>
      </c>
      <c r="B8" s="870" t="s">
        <v>3802</v>
      </c>
      <c r="C8" s="871"/>
      <c r="D8" s="872"/>
      <c r="E8" s="861">
        <v>0.0</v>
      </c>
      <c r="F8" s="862"/>
      <c r="G8" s="863"/>
      <c r="H8" s="864"/>
      <c r="I8" s="865"/>
      <c r="J8" s="866"/>
    </row>
    <row r="9" spans="1:10" ht="12.75" customHeight="1" thickBot="1">
      <c r="A9" s="845" t="s">
        <v>55</v>
      </c>
      <c r="B9" s="846"/>
      <c r="C9" s="846"/>
      <c r="D9" s="846"/>
      <c r="E9" s="846"/>
      <c r="F9" s="846"/>
      <c r="G9" s="847"/>
      <c r="H9" s="847"/>
      <c r="I9" s="847"/>
      <c r="J9" s="847"/>
    </row>
    <row r="10" spans="1:10" ht="15.95" customHeight="1">
      <c r="A10" s="116">
        <v>36.0</v>
      </c>
      <c r="B10" s="853" t="s">
        <v>56</v>
      </c>
      <c r="C10" s="854"/>
      <c r="D10" s="855"/>
      <c r="E10" s="867">
        <f>+E7</f>
        <v>0.0</v>
      </c>
      <c r="F10" s="868"/>
      <c r="G10" s="869"/>
      <c r="H10" s="876"/>
      <c r="I10" s="877"/>
      <c r="J10" s="878"/>
    </row>
    <row r="11" spans="1:10" ht="24" customHeight="1">
      <c r="A11" s="17">
        <v>37.0</v>
      </c>
      <c r="B11" s="840" t="s">
        <v>3615</v>
      </c>
      <c r="C11" s="843"/>
      <c r="D11" s="844"/>
      <c r="E11" s="848">
        <f>+'1Př1'!F23</f>
        <v>0.0</v>
      </c>
      <c r="F11" s="849"/>
      <c r="G11" s="850"/>
      <c r="H11" s="829"/>
      <c r="I11" s="830"/>
      <c r="J11" s="831"/>
    </row>
    <row r="12" spans="1:10" ht="15.95" customHeight="1">
      <c r="A12" s="17">
        <v>38.0</v>
      </c>
      <c r="B12" s="840" t="s">
        <v>230</v>
      </c>
      <c r="C12" s="841"/>
      <c r="D12" s="842"/>
      <c r="E12" s="851">
        <f>+ZAV!C32</f>
        <v>0.0</v>
      </c>
      <c r="F12" s="852"/>
      <c r="G12" s="836"/>
      <c r="H12" s="829"/>
      <c r="I12" s="830"/>
      <c r="J12" s="831"/>
    </row>
    <row r="13" spans="1:10" ht="24" customHeight="1">
      <c r="A13" s="17">
        <v>39.0</v>
      </c>
      <c r="B13" s="840" t="s">
        <v>3457</v>
      </c>
      <c r="C13" s="843"/>
      <c r="D13" s="844"/>
      <c r="E13" s="848">
        <f>+'2Př'!G16</f>
        <v>0.0</v>
      </c>
      <c r="F13" s="849"/>
      <c r="G13" s="850"/>
      <c r="H13" s="829"/>
      <c r="I13" s="830"/>
      <c r="J13" s="831"/>
    </row>
    <row r="14" spans="1:10" ht="24" customHeight="1">
      <c r="A14" s="17">
        <v>40.0</v>
      </c>
      <c r="B14" s="840" t="s">
        <v>202</v>
      </c>
      <c r="C14" s="841"/>
      <c r="D14" s="842"/>
      <c r="E14" s="848">
        <f>+'2Př'!G35</f>
        <v>0.0</v>
      </c>
      <c r="F14" s="849"/>
      <c r="G14" s="850"/>
      <c r="H14" s="829"/>
      <c r="I14" s="830"/>
      <c r="J14" s="831"/>
    </row>
    <row r="15" spans="1:10" ht="15.95" customHeight="1">
      <c r="A15" s="17">
        <v>41.0</v>
      </c>
      <c r="B15" s="840" t="s">
        <v>117</v>
      </c>
      <c r="C15" s="843"/>
      <c r="D15" s="844"/>
      <c r="E15" s="848">
        <f>SUM(E11:E14)</f>
        <v>0.0</v>
      </c>
      <c r="F15" s="849"/>
      <c r="G15" s="850"/>
      <c r="H15" s="829"/>
      <c r="I15" s="830"/>
      <c r="J15" s="831"/>
    </row>
    <row r="16" spans="1:10" ht="15.95" customHeight="1">
      <c r="A16" s="17">
        <v>42.0</v>
      </c>
      <c r="B16" s="885" t="s">
        <v>3803</v>
      </c>
      <c r="C16" s="794"/>
      <c r="D16" s="886"/>
      <c r="E16" s="882">
        <f>+E10+MAX(0,E15)</f>
        <v>0.0</v>
      </c>
      <c r="F16" s="883"/>
      <c r="G16" s="884"/>
      <c r="H16" s="829"/>
      <c r="I16" s="830"/>
      <c r="J16" s="831"/>
    </row>
    <row r="17" spans="1:10" ht="15.95" customHeight="1">
      <c r="A17" s="76">
        <v>43.0</v>
      </c>
      <c r="B17" s="840" t="s">
        <v>171</v>
      </c>
      <c r="C17" s="843"/>
      <c r="D17" s="844"/>
      <c r="E17" s="848"/>
      <c r="F17" s="849"/>
      <c r="G17" s="850"/>
      <c r="H17" s="829"/>
      <c r="I17" s="830"/>
      <c r="J17" s="831"/>
    </row>
    <row r="18" spans="1:10" ht="24" customHeight="1">
      <c r="A18" s="17">
        <v>44.0</v>
      </c>
      <c r="B18" s="840" t="s">
        <v>3804</v>
      </c>
      <c r="C18" s="841"/>
      <c r="D18" s="842"/>
      <c r="E18" s="851">
        <f>+'6Př'!E20</f>
        <v>0.0</v>
      </c>
      <c r="F18" s="852"/>
      <c r="G18" s="836"/>
      <c r="H18" s="829"/>
      <c r="I18" s="830"/>
      <c r="J18" s="831"/>
    </row>
    <row r="19" spans="1:11" ht="15.95" customHeight="1" thickBot="1">
      <c r="A19" s="16">
        <v>45.0</v>
      </c>
      <c r="B19" s="870" t="s">
        <v>3458</v>
      </c>
      <c r="C19" s="871"/>
      <c r="D19" s="872"/>
      <c r="E19" s="879">
        <f>IF(OR(E16&gt;300000,+E7+'1Př1'!F11+'1Př1'!A27+'2Př'!G10+'2Př'!D28&gt;800000),T("LIMIT"),+E16-E18)</f>
        <v>0.0</v>
      </c>
      <c r="F19" s="880"/>
      <c r="G19" s="881"/>
      <c r="H19" s="864"/>
      <c r="I19" s="865"/>
      <c r="J19" s="866"/>
      <c r="K19" s="624" t="str">
        <f>+IF(EXACT(E19,"LIMIT"),"Neomezenou verzi této šablony zakoupíte zde:"," ")</f>
        <v xml:space="preserve"> </v>
      </c>
    </row>
    <row r="20" spans="1:15" ht="15" customHeight="1" thickBot="1">
      <c r="A20" s="887" t="s">
        <v>53</v>
      </c>
      <c r="B20" s="696"/>
      <c r="C20" s="696"/>
      <c r="D20" s="696"/>
      <c r="E20" s="696"/>
      <c r="F20" s="696"/>
      <c r="G20" s="696"/>
      <c r="H20" s="696"/>
      <c r="I20" s="696"/>
      <c r="J20" s="696"/>
      <c r="K20" s="911" t="str">
        <f>+IF(EXACT(E19,"LIMIT"),"http://business.center.cz/business/sablony/s3-priznani-k-dani-z-prijmu-fyzickych-osob.aspx"," ")</f>
        <v xml:space="preserve"> </v>
      </c>
      <c r="L20" s="676"/>
      <c r="M20" s="676"/>
      <c r="N20" s="676"/>
      <c r="O20" s="676"/>
    </row>
    <row r="21" spans="1:10" ht="22.5" customHeight="1">
      <c r="A21" s="889" t="s">
        <v>92</v>
      </c>
      <c r="B21" s="890"/>
      <c r="C21" s="890"/>
      <c r="D21" s="891"/>
      <c r="E21" s="117" t="s">
        <v>229</v>
      </c>
      <c r="F21" s="873"/>
      <c r="G21" s="874"/>
      <c r="H21" s="117" t="s">
        <v>229</v>
      </c>
      <c r="I21" s="873"/>
      <c r="J21" s="875"/>
    </row>
    <row r="22" spans="1:12" ht="15.95" customHeight="1">
      <c r="A22" s="42">
        <v>46.0</v>
      </c>
      <c r="B22" s="835" t="s">
        <v>66</v>
      </c>
      <c r="C22" s="835"/>
      <c r="D22" s="835"/>
      <c r="E22" s="145"/>
      <c r="F22" s="812">
        <v>0.0</v>
      </c>
      <c r="G22" s="836"/>
      <c r="H22" s="132"/>
      <c r="I22" s="814"/>
      <c r="J22" s="926"/>
      <c r="L22" s="75" t="str">
        <f>+IF(OR(AND(AND(0&lt;F22,F22&lt;E16*0.02),AND(0&lt;F22,F22&lt;1000)),F22&gt;E16*0.3),"CHYBA"," ")</f>
        <v xml:space="preserve"> </v>
      </c>
    </row>
    <row r="23" spans="1:12" ht="15.95" customHeight="1">
      <c r="A23" s="42">
        <v>47.0</v>
      </c>
      <c r="B23" s="835" t="s">
        <v>271</v>
      </c>
      <c r="C23" s="835"/>
      <c r="D23" s="892"/>
      <c r="E23" s="91"/>
      <c r="F23" s="812">
        <v>0.0</v>
      </c>
      <c r="G23" s="836"/>
      <c r="H23" s="132"/>
      <c r="I23" s="814"/>
      <c r="J23" s="832"/>
      <c r="L23" s="75" t="str">
        <f>+IF(F23&gt;300000,"CHYBA"," ")</f>
        <v xml:space="preserve"> </v>
      </c>
    </row>
    <row r="24" spans="1:12" ht="24" customHeight="1">
      <c r="A24" s="42">
        <v>48.0</v>
      </c>
      <c r="B24" s="833" t="s">
        <v>3459</v>
      </c>
      <c r="C24" s="833"/>
      <c r="D24" s="834"/>
      <c r="E24" s="145"/>
      <c r="F24" s="812">
        <v>0.0</v>
      </c>
      <c r="G24" s="836"/>
      <c r="H24" s="132"/>
      <c r="I24" s="814"/>
      <c r="J24" s="832"/>
      <c r="L24" s="75" t="str">
        <f>+IF(F24&gt;24000,"CHYBA"," ")</f>
        <v xml:space="preserve"> </v>
      </c>
    </row>
    <row r="25" spans="1:12" ht="15.95" customHeight="1">
      <c r="A25" s="42">
        <v>49.0</v>
      </c>
      <c r="B25" s="835" t="s">
        <v>3598</v>
      </c>
      <c r="C25" s="835"/>
      <c r="D25" s="835"/>
      <c r="E25" s="145"/>
      <c r="F25" s="812">
        <v>0.0</v>
      </c>
      <c r="G25" s="836"/>
      <c r="H25" s="132"/>
      <c r="I25" s="814"/>
      <c r="J25" s="832"/>
      <c r="L25" s="75" t="str">
        <f>+IF(F25&gt;24000,"CHYBA"," ")</f>
        <v xml:space="preserve"> </v>
      </c>
    </row>
    <row r="26" spans="1:12" ht="15.95" customHeight="1">
      <c r="A26" s="42">
        <v>50.0</v>
      </c>
      <c r="B26" s="835" t="s">
        <v>52</v>
      </c>
      <c r="C26" s="835"/>
      <c r="D26" s="835"/>
      <c r="E26" s="145"/>
      <c r="F26" s="812">
        <v>0.0</v>
      </c>
      <c r="G26" s="836"/>
      <c r="H26" s="132"/>
      <c r="I26" s="814"/>
      <c r="J26" s="832"/>
      <c r="L26" s="75" t="str">
        <f>+IF(OR(F26&gt;3000,F26&gt;0.015*E4),"CHYBA"," ")</f>
        <v xml:space="preserve"> </v>
      </c>
    </row>
    <row r="27" spans="1:12" ht="24" customHeight="1">
      <c r="A27" s="42">
        <v>51.0</v>
      </c>
      <c r="B27" s="833" t="s">
        <v>3599</v>
      </c>
      <c r="C27" s="833"/>
      <c r="D27" s="833"/>
      <c r="E27" s="145"/>
      <c r="F27" s="812">
        <v>0.0</v>
      </c>
      <c r="G27" s="836"/>
      <c r="H27" s="132"/>
      <c r="I27" s="814"/>
      <c r="J27" s="832"/>
      <c r="L27" s="75" t="str">
        <f>+IF(F27&gt;10000,"CHYBA"," ")</f>
        <v xml:space="preserve"> </v>
      </c>
    </row>
    <row r="28" spans="1:10" ht="15.95" customHeight="1">
      <c r="A28" s="42">
        <v>52.0</v>
      </c>
      <c r="B28" s="835" t="s">
        <v>3600</v>
      </c>
      <c r="C28" s="835"/>
      <c r="D28" s="835"/>
      <c r="E28" s="145"/>
      <c r="F28" s="812">
        <v>0.0</v>
      </c>
      <c r="G28" s="836"/>
      <c r="H28" s="132"/>
      <c r="I28" s="814"/>
      <c r="J28" s="832"/>
    </row>
    <row r="29" spans="1:10" ht="15.95" customHeight="1" thickBot="1">
      <c r="A29" s="43">
        <v>53.0</v>
      </c>
      <c r="B29" s="835" t="s">
        <v>3601</v>
      </c>
      <c r="C29" s="835"/>
      <c r="D29" s="835"/>
      <c r="E29" s="145"/>
      <c r="F29" s="893">
        <v>0.0</v>
      </c>
      <c r="G29" s="863"/>
      <c r="H29" s="132"/>
      <c r="I29" s="814"/>
      <c r="J29" s="832"/>
    </row>
    <row r="30" spans="1:10" ht="6" customHeight="1" thickBot="1">
      <c r="A30" s="894"/>
      <c r="B30" s="895"/>
      <c r="C30" s="895"/>
      <c r="D30" s="895"/>
      <c r="E30" s="895"/>
      <c r="F30" s="895"/>
      <c r="G30" s="895"/>
      <c r="H30" s="895"/>
      <c r="I30" s="895"/>
      <c r="J30" s="895"/>
    </row>
    <row r="31" spans="1:10 59:61" ht="24" customHeight="1">
      <c r="A31" s="118">
        <v>54.0</v>
      </c>
      <c r="B31" s="896" t="s">
        <v>3805</v>
      </c>
      <c r="C31" s="896"/>
      <c r="D31" s="896"/>
      <c r="E31" s="897"/>
      <c r="F31" s="898">
        <f>+SUM('DAP2'!F22:G29)</f>
        <v>0.0</v>
      </c>
      <c r="G31" s="874"/>
      <c r="H31" s="837"/>
      <c r="I31" s="838"/>
      <c r="J31" s="839"/>
      <c r="BG31" s="75"/>
      <c r="BH31" s="75"/>
      <c r="BI31" s="75"/>
    </row>
    <row r="32" spans="1:10 59:61" ht="24" customHeight="1">
      <c r="A32" s="44">
        <v>55.0</v>
      </c>
      <c r="B32" s="833" t="s">
        <v>3460</v>
      </c>
      <c r="C32" s="843"/>
      <c r="D32" s="843"/>
      <c r="E32" s="844"/>
      <c r="F32" s="899">
        <f>MAX(+'DAP2'!E19-'DAP2'!F31,0)</f>
        <v>0.0</v>
      </c>
      <c r="G32" s="900"/>
      <c r="H32" s="814"/>
      <c r="I32" s="794"/>
      <c r="J32" s="816"/>
      <c r="BG32" s="75"/>
      <c r="BH32" s="75"/>
      <c r="BI32" s="75"/>
    </row>
    <row r="33" spans="1:10 59:61" ht="15" customHeight="1">
      <c r="A33" s="42">
        <v>56.0</v>
      </c>
      <c r="B33" s="835" t="s">
        <v>3573</v>
      </c>
      <c r="C33" s="835"/>
      <c r="D33" s="835"/>
      <c r="E33" s="892"/>
      <c r="F33" s="899">
        <f>+FLOOR(F32,100)</f>
        <v>0.0</v>
      </c>
      <c r="G33" s="901"/>
      <c r="H33" s="814"/>
      <c r="I33" s="794"/>
      <c r="J33" s="816"/>
      <c r="BG33" s="75"/>
      <c r="BH33" s="75"/>
      <c r="BI33" s="75"/>
    </row>
    <row r="34" spans="1:10 59:61" ht="15" customHeight="1" thickBot="1">
      <c r="A34" s="43">
        <v>57.0</v>
      </c>
      <c r="B34" s="904" t="s">
        <v>118</v>
      </c>
      <c r="C34" s="904"/>
      <c r="D34" s="904"/>
      <c r="E34" s="905"/>
      <c r="F34" s="906">
        <f>+F33*0.15+MAX(F33-1867728,0)*0.08</f>
        <v>0.0</v>
      </c>
      <c r="G34" s="907"/>
      <c r="H34" s="912"/>
      <c r="I34" s="721"/>
      <c r="J34" s="913"/>
      <c r="BG34" s="75"/>
      <c r="BH34" s="75"/>
      <c r="BI34" s="75"/>
    </row>
    <row r="35" spans="1:10" ht="15" customHeight="1" thickBot="1">
      <c r="A35" s="917" t="s">
        <v>299</v>
      </c>
      <c r="B35" s="918"/>
      <c r="C35" s="918"/>
      <c r="D35" s="918"/>
      <c r="E35" s="919"/>
      <c r="F35" s="919"/>
      <c r="G35" s="716"/>
      <c r="H35" s="716"/>
      <c r="I35" s="716"/>
      <c r="J35" s="716"/>
    </row>
    <row r="36" spans="1:10 59:61" ht="24" customHeight="1">
      <c r="A36" s="118">
        <v>58.0</v>
      </c>
      <c r="B36" s="896" t="s">
        <v>3461</v>
      </c>
      <c r="C36" s="896"/>
      <c r="D36" s="896"/>
      <c r="E36" s="897"/>
      <c r="F36" s="922">
        <f>+IF(OR(+'3Př'!F27+'3Př'!F30&gt;0),'3Př'!F30,F34)</f>
        <v>0.0</v>
      </c>
      <c r="G36" s="923"/>
      <c r="H36" s="837"/>
      <c r="I36" s="838"/>
      <c r="J36" s="839"/>
      <c r="BG36" s="75"/>
      <c r="BH36" s="75"/>
      <c r="BI36" s="75"/>
    </row>
    <row r="37" spans="1:10 59:61" ht="15.95" customHeight="1">
      <c r="A37" s="42">
        <v>59.0</v>
      </c>
      <c r="B37" s="902" t="s">
        <v>171</v>
      </c>
      <c r="C37" s="902"/>
      <c r="D37" s="902"/>
      <c r="E37" s="903"/>
      <c r="F37" s="924"/>
      <c r="G37" s="925"/>
      <c r="H37" s="814"/>
      <c r="I37" s="794"/>
      <c r="J37" s="816"/>
      <c r="BG37" s="75"/>
      <c r="BH37" s="75"/>
      <c r="BI37" s="75"/>
    </row>
    <row r="38" spans="1:10 59:61" ht="15" customHeight="1">
      <c r="A38" s="42">
        <v>60.0</v>
      </c>
      <c r="B38" s="833" t="s">
        <v>3806</v>
      </c>
      <c r="C38" s="833"/>
      <c r="D38" s="833"/>
      <c r="E38" s="834"/>
      <c r="F38" s="812">
        <f>+IF(F34=F36,CEILING(F36,1),CEILING(F36,1))</f>
        <v>0.0</v>
      </c>
      <c r="G38" s="900"/>
      <c r="H38" s="814"/>
      <c r="I38" s="794"/>
      <c r="J38" s="816"/>
      <c r="BG38" s="75"/>
      <c r="BH38" s="75"/>
      <c r="BI38" s="75"/>
    </row>
    <row r="39" spans="1:10 59:61" ht="24" customHeight="1" thickBot="1">
      <c r="A39" s="553">
        <v>61.0</v>
      </c>
      <c r="B39" s="920" t="s">
        <v>57</v>
      </c>
      <c r="C39" s="920"/>
      <c r="D39" s="920"/>
      <c r="E39" s="921"/>
      <c r="F39" s="906">
        <f>IF('DAP2'!E15&lt;0,-'DAP2'!E15,0)</f>
        <v>0.0</v>
      </c>
      <c r="G39" s="910"/>
      <c r="H39" s="912"/>
      <c r="I39" s="721"/>
      <c r="J39" s="913"/>
      <c r="BG39" s="75"/>
      <c r="BH39" s="75"/>
      <c r="BI39" s="75"/>
    </row>
    <row r="40" spans="1:10" ht="15" customHeight="1" thickBot="1">
      <c r="A40" s="914" t="s">
        <v>318</v>
      </c>
      <c r="B40" s="915"/>
      <c r="C40" s="915"/>
      <c r="D40" s="915"/>
      <c r="E40" s="915"/>
      <c r="F40" s="915"/>
      <c r="G40" s="716"/>
      <c r="H40" s="716"/>
      <c r="I40" s="716"/>
      <c r="J40" s="716"/>
    </row>
    <row r="41" spans="1:10" ht="15.95" customHeight="1">
      <c r="A41" s="118">
        <v>62.0</v>
      </c>
      <c r="B41" s="896" t="s">
        <v>203</v>
      </c>
      <c r="C41" s="896"/>
      <c r="D41" s="896"/>
      <c r="E41" s="897"/>
      <c r="F41" s="916">
        <v>0.0</v>
      </c>
      <c r="G41" s="874"/>
      <c r="H41" s="837"/>
      <c r="I41" s="838"/>
      <c r="J41" s="839"/>
    </row>
    <row r="42" spans="1:10" ht="15.95" customHeight="1">
      <c r="A42" s="42" t="s">
        <v>3923</v>
      </c>
      <c r="B42" s="810" t="s">
        <v>3924</v>
      </c>
      <c r="C42" s="810"/>
      <c r="D42" s="810"/>
      <c r="E42" s="811"/>
      <c r="F42" s="812">
        <v>0.0</v>
      </c>
      <c r="G42" s="813"/>
      <c r="H42" s="814"/>
      <c r="I42" s="815"/>
      <c r="J42" s="816"/>
    </row>
    <row r="43" spans="1:10" ht="15.95" customHeight="1" thickBot="1">
      <c r="A43" s="43">
        <v>63.0</v>
      </c>
      <c r="B43" s="908" t="s">
        <v>207</v>
      </c>
      <c r="C43" s="908"/>
      <c r="D43" s="908"/>
      <c r="E43" s="909"/>
      <c r="F43" s="893">
        <v>0.0</v>
      </c>
      <c r="G43" s="910"/>
      <c r="H43" s="912"/>
      <c r="I43" s="721"/>
      <c r="J43" s="913"/>
    </row>
    <row r="44" spans="1:10" ht="24" customHeight="1" thickBot="1">
      <c r="A44" s="827" t="s">
        <v>3462</v>
      </c>
      <c r="B44" s="828"/>
      <c r="C44" s="828"/>
      <c r="D44" s="828"/>
      <c r="E44" s="828"/>
      <c r="F44" s="828"/>
      <c r="G44" s="828"/>
      <c r="H44" s="828"/>
      <c r="I44" s="828"/>
      <c r="J44" s="828"/>
    </row>
    <row r="45" spans="1:10" ht="24" customHeight="1" thickBot="1">
      <c r="A45" s="817" t="s">
        <v>32</v>
      </c>
      <c r="B45" s="818"/>
      <c r="C45" s="819"/>
      <c r="D45" s="820"/>
      <c r="E45" s="821"/>
      <c r="F45" s="822" t="s">
        <v>146</v>
      </c>
      <c r="G45" s="823"/>
      <c r="H45" s="824"/>
      <c r="I45" s="825"/>
      <c r="J45" s="826"/>
    </row>
    <row r="46" spans="1:10" ht="12" customHeight="1">
      <c r="A46" s="888">
        <v>2.0</v>
      </c>
      <c r="B46" s="888"/>
      <c r="C46" s="888"/>
      <c r="D46" s="888"/>
      <c r="E46" s="888"/>
      <c r="F46" s="888"/>
      <c r="G46" s="888"/>
      <c r="H46" s="888"/>
      <c r="I46" s="888"/>
      <c r="J46" s="888"/>
    </row>
    <row r="47" spans="1:10" ht="12.75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ht="12.75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2.7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ht="12.7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ht="12.7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12.75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ht="12.75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12.7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2.75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ht="12.75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12.7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ht="12.7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ht="12.75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ht="12.7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ht="12.75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12.7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ht="12.75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ht="12.75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ht="12.75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ht="12.75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2.7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ht="12.7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ht="12.7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2.7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2.7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12.7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ht="12.7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ht="12.7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ht="12.75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2.75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12.75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12.75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ht="12.75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ht="12.7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ht="12.7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12.75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ht="12.75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ht="12.7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ht="12.75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ht="12.75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ht="12.75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ht="12.75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ht="12.7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12.75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12.75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12.7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2.7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2.75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2.75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2.75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</sheetData>
  <sheetProtection algorithmName="SHA-512" hashValue="NjsaUpHSb1ZgteLjNeq72QDrideFEDpOjiEboak5ya0wHvsrJJVLzcNgE0EqRBmmPKkGELAlaRv8gRPTHCfQFQ==" saltValue="kXSt1tNQKf9fp+cp+cq+Pw==" spinCount="100000" sheet="1" objects="1" scenarios="1"/>
  <mergeCells count="122">
    <mergeCell ref="B34:E34"/>
    <mergeCell ref="F34:G34"/>
    <mergeCell ref="B43:E43"/>
    <mergeCell ref="F43:G43"/>
    <mergeCell ref="H36:J36"/>
    <mergeCell ref="K20:O20"/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I22:J22"/>
    <mergeCell ref="I23:J23"/>
    <mergeCell ref="F22:G22"/>
    <mergeCell ref="B22:D22"/>
    <mergeCell ref="H17:J17"/>
    <mergeCell ref="E17:G17"/>
    <mergeCell ref="A20:J20"/>
    <mergeCell ref="E18:G18"/>
    <mergeCell ref="A46:J46"/>
    <mergeCell ref="A21:D21"/>
    <mergeCell ref="B23:D23"/>
    <mergeCell ref="F23:G23"/>
    <mergeCell ref="F24:G24"/>
    <mergeCell ref="F25:G25"/>
    <mergeCell ref="F29:G29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B29:D29"/>
    <mergeCell ref="H33:J33"/>
    <mergeCell ref="F21:G21"/>
    <mergeCell ref="I21:J21"/>
    <mergeCell ref="H19:J19"/>
    <mergeCell ref="H18:J18"/>
    <mergeCell ref="H11:J11"/>
    <mergeCell ref="H10:J10"/>
    <mergeCell ref="A9:J9"/>
    <mergeCell ref="B18:D18"/>
    <mergeCell ref="H16:J16"/>
    <mergeCell ref="E19:G19"/>
    <mergeCell ref="E16:G16"/>
    <mergeCell ref="E11:G11"/>
    <mergeCell ref="B12:D12"/>
    <mergeCell ref="B16:D16"/>
    <mergeCell ref="B19:D19"/>
    <mergeCell ref="B17:D17"/>
    <mergeCell ref="H8:J8"/>
    <mergeCell ref="H5:J5"/>
    <mergeCell ref="B6:D6"/>
    <mergeCell ref="E12:G12"/>
    <mergeCell ref="E15:G15"/>
    <mergeCell ref="E10:G10"/>
    <mergeCell ref="B8:D8"/>
    <mergeCell ref="E6:G6"/>
    <mergeCell ref="H6:J6"/>
    <mergeCell ref="E5:G5"/>
    <mergeCell ref="H37:J37"/>
    <mergeCell ref="H31:J31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B42:E42"/>
    <mergeCell ref="F42:G42"/>
    <mergeCell ref="H42:J42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1">
      <selection pane="topLeft" activeCell="G15" sqref="G15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5"/>
  </cols>
  <sheetData>
    <row r="1" spans="1:11 67:73" ht="24" customHeight="1">
      <c r="A1" s="889" t="s">
        <v>33</v>
      </c>
      <c r="B1" s="890"/>
      <c r="C1" s="891"/>
      <c r="D1" s="117" t="s">
        <v>229</v>
      </c>
      <c r="E1" s="873"/>
      <c r="F1" s="934"/>
      <c r="G1" s="874"/>
      <c r="H1" s="117" t="s">
        <v>229</v>
      </c>
      <c r="I1" s="873"/>
      <c r="J1" s="983"/>
      <c r="K1" s="875"/>
      <c r="BO1"/>
      <c r="BP1"/>
      <c r="BQ1"/>
      <c r="BR1"/>
      <c r="BS1"/>
      <c r="BT1"/>
      <c r="BU1"/>
    </row>
    <row r="2" spans="1:11 67:73" ht="18" customHeight="1">
      <c r="A2" s="42">
        <v>64.0</v>
      </c>
      <c r="B2" s="835" t="s">
        <v>69</v>
      </c>
      <c r="C2" s="892"/>
      <c r="D2" s="126"/>
      <c r="E2" s="812">
        <v>30840.0</v>
      </c>
      <c r="F2" s="935"/>
      <c r="G2" s="900"/>
      <c r="H2" s="131"/>
      <c r="I2" s="814"/>
      <c r="J2" s="966"/>
      <c r="K2" s="967"/>
      <c r="BO2"/>
      <c r="BP2"/>
      <c r="BQ2"/>
      <c r="BR2"/>
      <c r="BS2"/>
      <c r="BT2"/>
      <c r="BU2"/>
    </row>
    <row r="3" spans="1:12 67:73" ht="18" customHeight="1">
      <c r="A3" s="42" t="s">
        <v>319</v>
      </c>
      <c r="B3" s="835" t="s">
        <v>70</v>
      </c>
      <c r="C3" s="892"/>
      <c r="D3" s="91">
        <v>0.0</v>
      </c>
      <c r="E3" s="812">
        <f>+D3*2070</f>
        <v>0.0</v>
      </c>
      <c r="F3" s="970"/>
      <c r="G3" s="971"/>
      <c r="H3" s="131"/>
      <c r="I3" s="814"/>
      <c r="J3" s="966"/>
      <c r="K3" s="967"/>
      <c r="L3" s="142"/>
      <c r="BO3"/>
      <c r="BP3"/>
      <c r="BQ3"/>
      <c r="BR3"/>
      <c r="BS3"/>
      <c r="BT3"/>
      <c r="BU3"/>
    </row>
    <row r="4" spans="1:12 67:73" ht="24" customHeight="1">
      <c r="A4" s="42" t="s">
        <v>320</v>
      </c>
      <c r="B4" s="833" t="s">
        <v>71</v>
      </c>
      <c r="C4" s="834"/>
      <c r="D4" s="91">
        <v>0.0</v>
      </c>
      <c r="E4" s="812">
        <f>+D4*4140</f>
        <v>0.0</v>
      </c>
      <c r="F4" s="984"/>
      <c r="G4" s="985"/>
      <c r="H4" s="131"/>
      <c r="I4" s="814"/>
      <c r="J4" s="966"/>
      <c r="K4" s="967"/>
      <c r="L4" s="142"/>
      <c r="BO4"/>
      <c r="BP4"/>
      <c r="BQ4"/>
      <c r="BR4"/>
      <c r="BS4"/>
      <c r="BT4"/>
      <c r="BU4"/>
    </row>
    <row r="5" spans="1:11 67:73" ht="24" customHeight="1">
      <c r="A5" s="42">
        <v>66.0</v>
      </c>
      <c r="B5" s="833" t="s">
        <v>3463</v>
      </c>
      <c r="C5" s="834"/>
      <c r="D5" s="91">
        <v>0.0</v>
      </c>
      <c r="E5" s="899">
        <f>+D5*210</f>
        <v>0.0</v>
      </c>
      <c r="F5" s="936"/>
      <c r="G5" s="937"/>
      <c r="H5" s="131"/>
      <c r="I5" s="814"/>
      <c r="J5" s="966"/>
      <c r="K5" s="967"/>
      <c r="BO5"/>
      <c r="BP5"/>
      <c r="BQ5"/>
      <c r="BR5"/>
      <c r="BS5"/>
      <c r="BT5"/>
      <c r="BU5"/>
    </row>
    <row r="6" spans="1:11 67:73" ht="24" customHeight="1">
      <c r="A6" s="42">
        <v>67.0</v>
      </c>
      <c r="B6" s="833" t="s">
        <v>3464</v>
      </c>
      <c r="C6" s="834"/>
      <c r="D6" s="91">
        <v>0.0</v>
      </c>
      <c r="E6" s="899">
        <f>+D6*420</f>
        <v>0.0</v>
      </c>
      <c r="F6" s="936"/>
      <c r="G6" s="937"/>
      <c r="H6" s="131"/>
      <c r="I6" s="814"/>
      <c r="J6" s="966"/>
      <c r="K6" s="967"/>
      <c r="BO6"/>
      <c r="BP6"/>
      <c r="BQ6"/>
      <c r="BR6"/>
      <c r="BS6"/>
      <c r="BT6"/>
      <c r="BU6"/>
    </row>
    <row r="7" spans="1:11 67:73" ht="18" customHeight="1">
      <c r="A7" s="42">
        <v>68.0</v>
      </c>
      <c r="B7" s="833" t="s">
        <v>3761</v>
      </c>
      <c r="C7" s="834"/>
      <c r="D7" s="91">
        <v>0.0</v>
      </c>
      <c r="E7" s="899">
        <f>+D7*1345</f>
        <v>0.0</v>
      </c>
      <c r="F7" s="936"/>
      <c r="G7" s="937"/>
      <c r="H7" s="131"/>
      <c r="I7" s="814"/>
      <c r="J7" s="966"/>
      <c r="K7" s="967"/>
      <c r="BO7"/>
      <c r="BP7"/>
      <c r="BQ7"/>
      <c r="BR7"/>
      <c r="BS7"/>
      <c r="BT7"/>
      <c r="BU7"/>
    </row>
    <row r="8" spans="1:11 67:73" ht="18" customHeight="1">
      <c r="A8" s="42">
        <v>69.0</v>
      </c>
      <c r="B8" s="833" t="s">
        <v>72</v>
      </c>
      <c r="C8" s="834"/>
      <c r="D8" s="91">
        <v>0.0</v>
      </c>
      <c r="E8" s="899">
        <f>+D8*335</f>
        <v>0.0</v>
      </c>
      <c r="F8" s="936"/>
      <c r="G8" s="937"/>
      <c r="H8" s="131"/>
      <c r="I8" s="814"/>
      <c r="J8" s="966"/>
      <c r="K8" s="967"/>
      <c r="BO8"/>
      <c r="BP8"/>
      <c r="BQ8"/>
      <c r="BR8"/>
      <c r="BS8"/>
      <c r="BT8"/>
      <c r="BU8"/>
    </row>
    <row r="9" spans="1:11 67:73" ht="18" customHeight="1">
      <c r="A9" s="42" t="s">
        <v>67</v>
      </c>
      <c r="B9" s="833" t="s">
        <v>68</v>
      </c>
      <c r="C9" s="834"/>
      <c r="D9" s="126"/>
      <c r="E9" s="812">
        <v>0.0</v>
      </c>
      <c r="F9" s="970"/>
      <c r="G9" s="971"/>
      <c r="H9" s="131"/>
      <c r="I9" s="814"/>
      <c r="J9" s="966"/>
      <c r="K9" s="967"/>
      <c r="BO9"/>
      <c r="BP9"/>
      <c r="BQ9"/>
      <c r="BR9"/>
      <c r="BS9"/>
      <c r="BT9"/>
      <c r="BU9"/>
    </row>
    <row r="10" spans="1:11 67:73" ht="18" customHeight="1">
      <c r="A10" s="42" t="s">
        <v>3602</v>
      </c>
      <c r="B10" s="833" t="s">
        <v>171</v>
      </c>
      <c r="C10" s="834"/>
      <c r="D10" s="126"/>
      <c r="E10" s="899"/>
      <c r="F10" s="936"/>
      <c r="G10" s="937"/>
      <c r="H10" s="131"/>
      <c r="I10" s="814"/>
      <c r="J10" s="966"/>
      <c r="K10" s="967"/>
      <c r="BO10"/>
      <c r="BP10"/>
      <c r="BQ10"/>
      <c r="BR10"/>
      <c r="BS10"/>
      <c r="BT10"/>
      <c r="BU10"/>
    </row>
    <row r="11" spans="1:11 70:73" ht="30" customHeight="1">
      <c r="A11" s="42">
        <v>70.0</v>
      </c>
      <c r="B11" s="810" t="s">
        <v>3925</v>
      </c>
      <c r="C11" s="811"/>
      <c r="D11" s="126"/>
      <c r="E11" s="899">
        <f>+SUM(E2:F10)+'DAP2'!F41+'DAP2'!F42+'DAP2'!F43</f>
        <v>30840.0</v>
      </c>
      <c r="F11" s="936"/>
      <c r="G11" s="937"/>
      <c r="H11" s="131"/>
      <c r="I11" s="814"/>
      <c r="J11" s="966"/>
      <c r="K11" s="967"/>
      <c r="BR11"/>
      <c r="BS11"/>
      <c r="BT11"/>
      <c r="BU11"/>
    </row>
    <row r="12" spans="1:11 70:73" ht="24" customHeight="1" thickBot="1">
      <c r="A12" s="43">
        <v>71.0</v>
      </c>
      <c r="B12" s="908" t="s">
        <v>3465</v>
      </c>
      <c r="C12" s="909"/>
      <c r="D12" s="127"/>
      <c r="E12" s="906">
        <f>+MAX('DAP2'!F38-'DAP3'!E11,0)</f>
        <v>0.0</v>
      </c>
      <c r="F12" s="996"/>
      <c r="G12" s="997"/>
      <c r="H12" s="133"/>
      <c r="I12" s="912"/>
      <c r="J12" s="1005"/>
      <c r="K12" s="1006"/>
      <c r="BR12"/>
      <c r="BS12"/>
      <c r="BT12"/>
      <c r="BU12"/>
    </row>
    <row r="13" spans="1:11" ht="15.95" customHeight="1" thickBot="1">
      <c r="A13" s="959" t="s">
        <v>3466</v>
      </c>
      <c r="B13" s="959"/>
      <c r="C13" s="960"/>
      <c r="D13" s="960"/>
      <c r="E13" s="960"/>
      <c r="F13" s="960"/>
      <c r="G13" s="960"/>
      <c r="H13" s="960"/>
      <c r="I13" s="960"/>
      <c r="J13" s="960"/>
      <c r="K13" s="960"/>
    </row>
    <row r="14" spans="1:11 69:73" ht="22.5" customHeight="1">
      <c r="A14" s="963"/>
      <c r="B14" s="972" t="s">
        <v>3469</v>
      </c>
      <c r="C14" s="1000"/>
      <c r="D14" s="972" t="s">
        <v>146</v>
      </c>
      <c r="E14" s="973"/>
      <c r="F14" s="976" t="s">
        <v>3467</v>
      </c>
      <c r="G14" s="977"/>
      <c r="H14" s="976" t="s">
        <v>3468</v>
      </c>
      <c r="I14" s="977"/>
      <c r="J14" s="976" t="s">
        <v>3556</v>
      </c>
      <c r="K14" s="995"/>
      <c r="BQ14"/>
      <c r="BR14"/>
      <c r="BS14"/>
      <c r="BT14"/>
      <c r="BU14"/>
    </row>
    <row r="15" spans="1:11 69:73" ht="21.95" customHeight="1">
      <c r="A15" s="964"/>
      <c r="B15" s="974"/>
      <c r="C15" s="975"/>
      <c r="D15" s="974"/>
      <c r="E15" s="975"/>
      <c r="F15" s="366" t="s">
        <v>3554</v>
      </c>
      <c r="G15" s="366" t="s">
        <v>3555</v>
      </c>
      <c r="H15" s="366" t="s">
        <v>3554</v>
      </c>
      <c r="I15" s="366" t="s">
        <v>3555</v>
      </c>
      <c r="J15" s="366" t="s">
        <v>3554</v>
      </c>
      <c r="K15" s="367" t="s">
        <v>3555</v>
      </c>
      <c r="BQ15"/>
      <c r="BR15"/>
      <c r="BS15"/>
      <c r="BT15"/>
      <c r="BU15"/>
    </row>
    <row r="16" spans="1:11 69:73" ht="12" customHeight="1">
      <c r="A16" s="965"/>
      <c r="B16" s="961">
        <v>1.0</v>
      </c>
      <c r="C16" s="962"/>
      <c r="D16" s="961">
        <v>2.0</v>
      </c>
      <c r="E16" s="961"/>
      <c r="F16" s="968">
        <v>3.0</v>
      </c>
      <c r="G16" s="978"/>
      <c r="H16" s="968">
        <v>4.0</v>
      </c>
      <c r="I16" s="978"/>
      <c r="J16" s="968">
        <v>5.0</v>
      </c>
      <c r="K16" s="969"/>
      <c r="BQ16"/>
      <c r="BR16"/>
      <c r="BS16"/>
      <c r="BT16"/>
      <c r="BU16"/>
    </row>
    <row r="17" spans="1:11 69:73" ht="18" customHeight="1">
      <c r="A17" s="137">
        <v>1.0</v>
      </c>
      <c r="B17" s="988" t="s">
        <v>140</v>
      </c>
      <c r="C17" s="989"/>
      <c r="D17" s="942"/>
      <c r="E17" s="943"/>
      <c r="F17" s="466"/>
      <c r="G17" s="466"/>
      <c r="H17" s="466"/>
      <c r="I17" s="466"/>
      <c r="J17" s="466"/>
      <c r="K17" s="467"/>
      <c r="BQ17"/>
      <c r="BR17"/>
      <c r="BS17"/>
      <c r="BT17"/>
      <c r="BU17"/>
    </row>
    <row r="18" spans="1:11 69:73" ht="18" customHeight="1">
      <c r="A18" s="137">
        <v>2.0</v>
      </c>
      <c r="B18" s="988" t="s">
        <v>140</v>
      </c>
      <c r="C18" s="989"/>
      <c r="D18" s="942"/>
      <c r="E18" s="942"/>
      <c r="F18" s="466"/>
      <c r="G18" s="466"/>
      <c r="H18" s="466"/>
      <c r="I18" s="466"/>
      <c r="J18" s="466"/>
      <c r="K18" s="467"/>
      <c r="BQ18"/>
      <c r="BR18"/>
      <c r="BS18"/>
      <c r="BT18"/>
      <c r="BU18"/>
    </row>
    <row r="19" spans="1:11 69:73" ht="18" customHeight="1">
      <c r="A19" s="137">
        <v>3.0</v>
      </c>
      <c r="B19" s="988" t="s">
        <v>140</v>
      </c>
      <c r="C19" s="989"/>
      <c r="D19" s="942"/>
      <c r="E19" s="942"/>
      <c r="F19" s="466"/>
      <c r="G19" s="466"/>
      <c r="H19" s="466"/>
      <c r="I19" s="466"/>
      <c r="J19" s="466"/>
      <c r="K19" s="467"/>
      <c r="BQ19"/>
      <c r="BR19"/>
      <c r="BS19"/>
      <c r="BT19"/>
      <c r="BU19"/>
    </row>
    <row r="20" spans="1:11 69:73" ht="18" customHeight="1">
      <c r="A20" s="137">
        <v>4.0</v>
      </c>
      <c r="B20" s="988" t="s">
        <v>140</v>
      </c>
      <c r="C20" s="989"/>
      <c r="D20" s="942"/>
      <c r="E20" s="942"/>
      <c r="F20" s="466"/>
      <c r="G20" s="466"/>
      <c r="H20" s="466"/>
      <c r="I20" s="466"/>
      <c r="J20" s="466"/>
      <c r="K20" s="467"/>
      <c r="BQ20"/>
      <c r="BR20"/>
      <c r="BS20"/>
      <c r="BT20"/>
      <c r="BU20"/>
    </row>
    <row r="21" spans="1:11 73:73" ht="15.95" customHeight="1" thickBot="1">
      <c r="A21" s="138"/>
      <c r="B21" s="998" t="s">
        <v>58</v>
      </c>
      <c r="C21" s="999"/>
      <c r="D21" s="994"/>
      <c r="E21" s="994"/>
      <c r="F21" s="365">
        <f t="shared" si="0" ref="F21:I21">+SUM(F17:F20)</f>
        <v>0.0</v>
      </c>
      <c r="G21" s="365">
        <f t="shared" si="0"/>
        <v>0.0</v>
      </c>
      <c r="H21" s="365">
        <f t="shared" si="0"/>
        <v>0.0</v>
      </c>
      <c r="I21" s="365">
        <f t="shared" si="0"/>
        <v>0.0</v>
      </c>
      <c r="J21" s="365">
        <f>+SUM(J17:J20)+Příl_děti!J13</f>
        <v>0.0</v>
      </c>
      <c r="K21" s="621">
        <f>+SUM(K17:K20)+Příl_děti!K13</f>
        <v>0.0</v>
      </c>
      <c r="BU21"/>
    </row>
    <row r="22" spans="1:11" ht="6" customHeight="1" thickBot="1">
      <c r="A22" s="938"/>
      <c r="B22" s="938"/>
      <c r="C22" s="828"/>
      <c r="D22" s="828"/>
      <c r="E22" s="828"/>
      <c r="F22" s="828"/>
      <c r="G22" s="828"/>
      <c r="H22" s="828"/>
      <c r="I22" s="828"/>
      <c r="J22" s="828"/>
      <c r="K22" s="828"/>
    </row>
    <row r="23" spans="1:12" ht="18" customHeight="1">
      <c r="A23" s="116">
        <v>72.0</v>
      </c>
      <c r="B23" s="853" t="s">
        <v>59</v>
      </c>
      <c r="C23" s="990"/>
      <c r="D23" s="939">
        <f>+F21*1267+G21*2534+H21*1860+I21*3720+J21*2320+K21*4640</f>
        <v>0.0</v>
      </c>
      <c r="E23" s="940"/>
      <c r="F23" s="940"/>
      <c r="G23" s="941"/>
      <c r="H23" s="859"/>
      <c r="I23" s="986"/>
      <c r="J23" s="986"/>
      <c r="K23" s="987"/>
      <c r="L23" s="142"/>
    </row>
    <row r="24" spans="1:11" ht="24" customHeight="1">
      <c r="A24" s="17">
        <v>73.0</v>
      </c>
      <c r="B24" s="955" t="s">
        <v>3470</v>
      </c>
      <c r="C24" s="956"/>
      <c r="D24" s="949">
        <f>+MIN(D23,E12)</f>
        <v>0.0</v>
      </c>
      <c r="E24" s="950"/>
      <c r="F24" s="950"/>
      <c r="G24" s="951"/>
      <c r="H24" s="957"/>
      <c r="I24" s="958"/>
      <c r="J24" s="958"/>
      <c r="K24" s="946"/>
    </row>
    <row r="25" spans="1:11" ht="18" customHeight="1">
      <c r="A25" s="546">
        <v>74.0</v>
      </c>
      <c r="B25" s="947" t="s">
        <v>3603</v>
      </c>
      <c r="C25" s="948"/>
      <c r="D25" s="949">
        <f>+E12-D24</f>
        <v>0.0</v>
      </c>
      <c r="E25" s="950"/>
      <c r="F25" s="950"/>
      <c r="G25" s="951"/>
      <c r="H25" s="952"/>
      <c r="I25" s="953"/>
      <c r="J25" s="953"/>
      <c r="K25" s="954"/>
    </row>
    <row r="26" spans="1:11" ht="24" customHeight="1" thickBot="1">
      <c r="A26" s="545" t="s">
        <v>3807</v>
      </c>
      <c r="B26" s="1007" t="s">
        <v>3926</v>
      </c>
      <c r="C26" s="1008"/>
      <c r="D26" s="879">
        <f>+'4Př'!F20</f>
        <v>0.0</v>
      </c>
      <c r="E26" s="880"/>
      <c r="F26" s="880"/>
      <c r="G26" s="933"/>
      <c r="H26" s="1001"/>
      <c r="I26" s="1002"/>
      <c r="J26" s="1002"/>
      <c r="K26" s="1003"/>
    </row>
    <row r="27" spans="1:11" ht="6" customHeight="1" thickBot="1">
      <c r="A27" s="938"/>
      <c r="B27" s="938"/>
      <c r="C27" s="828"/>
      <c r="D27" s="828"/>
      <c r="E27" s="828"/>
      <c r="F27" s="828"/>
      <c r="G27" s="828"/>
      <c r="H27" s="828"/>
      <c r="I27" s="828"/>
      <c r="J27" s="828"/>
      <c r="K27" s="828"/>
    </row>
    <row r="28" spans="1:11" ht="18" customHeight="1">
      <c r="A28" s="116">
        <v>75.0</v>
      </c>
      <c r="B28" s="853" t="s">
        <v>3808</v>
      </c>
      <c r="C28" s="990"/>
      <c r="D28" s="939">
        <f>+D25+D26</f>
        <v>0.0</v>
      </c>
      <c r="E28" s="940"/>
      <c r="F28" s="940"/>
      <c r="G28" s="941"/>
      <c r="H28" s="859"/>
      <c r="I28" s="986"/>
      <c r="J28" s="986"/>
      <c r="K28" s="987"/>
    </row>
    <row r="29" spans="1:11" ht="18" customHeight="1">
      <c r="A29" s="17">
        <v>76.0</v>
      </c>
      <c r="B29" s="955" t="s">
        <v>3471</v>
      </c>
      <c r="C29" s="956"/>
      <c r="D29" s="949">
        <f>IF(OR(+D23-D24&lt;99,+MAX('1Př1'!F11+'1Př1'!A27+'1Př1'!F19+'1Př1'!F22)+'DAP2'!E7&lt;6*16200),0,+D23-D24)</f>
        <v>0.0</v>
      </c>
      <c r="E29" s="950"/>
      <c r="F29" s="950"/>
      <c r="G29" s="951"/>
      <c r="H29" s="957"/>
      <c r="I29" s="958"/>
      <c r="J29" s="958"/>
      <c r="K29" s="946"/>
    </row>
    <row r="30" spans="1:11" ht="24" customHeight="1">
      <c r="A30" s="17">
        <v>77.0</v>
      </c>
      <c r="B30" s="955" t="s">
        <v>3809</v>
      </c>
      <c r="C30" s="956"/>
      <c r="D30" s="949">
        <f>+MAX(0,D28-D29)</f>
        <v>0.0</v>
      </c>
      <c r="E30" s="950"/>
      <c r="F30" s="950"/>
      <c r="G30" s="951"/>
      <c r="H30" s="957"/>
      <c r="I30" s="958"/>
      <c r="J30" s="958"/>
      <c r="K30" s="946"/>
    </row>
    <row r="31" spans="1:11" ht="24" customHeight="1" thickBot="1">
      <c r="A31" s="16" t="s">
        <v>3811</v>
      </c>
      <c r="B31" s="870" t="s">
        <v>3810</v>
      </c>
      <c r="C31" s="1004"/>
      <c r="D31" s="861">
        <f>+MAX(0,-D28+D29)</f>
        <v>0.0</v>
      </c>
      <c r="E31" s="862"/>
      <c r="F31" s="862"/>
      <c r="G31" s="1009"/>
      <c r="H31" s="991"/>
      <c r="I31" s="992"/>
      <c r="J31" s="992"/>
      <c r="K31" s="993"/>
    </row>
    <row r="32" spans="1:11" ht="15.95" customHeight="1" thickBot="1">
      <c r="A32" s="981" t="s">
        <v>321</v>
      </c>
      <c r="B32" s="981"/>
      <c r="C32" s="982"/>
      <c r="D32" s="982"/>
      <c r="E32" s="982"/>
      <c r="F32" s="982"/>
      <c r="G32" s="982"/>
      <c r="H32" s="982"/>
      <c r="I32" s="982"/>
      <c r="J32" s="982"/>
      <c r="K32" s="982"/>
    </row>
    <row r="33" spans="1:11" ht="18" customHeight="1">
      <c r="A33" s="17">
        <v>78.0</v>
      </c>
      <c r="B33" s="1010" t="s">
        <v>208</v>
      </c>
      <c r="C33" s="1011"/>
      <c r="D33" s="939">
        <v>0.0</v>
      </c>
      <c r="E33" s="940"/>
      <c r="F33" s="940"/>
      <c r="G33" s="941"/>
      <c r="H33" s="944"/>
      <c r="I33" s="945"/>
      <c r="J33" s="945"/>
      <c r="K33" s="946"/>
    </row>
    <row r="34" spans="1:11" ht="24" customHeight="1">
      <c r="A34" s="17">
        <v>79.0</v>
      </c>
      <c r="B34" s="927" t="s">
        <v>3812</v>
      </c>
      <c r="C34" s="928"/>
      <c r="D34" s="851">
        <f>+IF(OR(EXACT("X",'DAP1'!E13),EXACT("x",'DAP1'!E13)),'DAP3'!D26,0)</f>
        <v>0.0</v>
      </c>
      <c r="E34" s="852"/>
      <c r="F34" s="852"/>
      <c r="G34" s="931"/>
      <c r="H34" s="944"/>
      <c r="I34" s="945"/>
      <c r="J34" s="945"/>
      <c r="K34" s="946"/>
    </row>
    <row r="35" spans="1:11" ht="24" customHeight="1">
      <c r="A35" s="17">
        <v>80.0</v>
      </c>
      <c r="B35" s="927" t="s">
        <v>3472</v>
      </c>
      <c r="C35" s="928"/>
      <c r="D35" s="848">
        <f>+D34-D33</f>
        <v>0.0</v>
      </c>
      <c r="E35" s="849"/>
      <c r="F35" s="849"/>
      <c r="G35" s="932"/>
      <c r="H35" s="944"/>
      <c r="I35" s="945"/>
      <c r="J35" s="945"/>
      <c r="K35" s="946"/>
    </row>
    <row r="36" spans="1:11" ht="18" customHeight="1">
      <c r="A36" s="17">
        <v>81.0</v>
      </c>
      <c r="B36" s="927" t="s">
        <v>3473</v>
      </c>
      <c r="C36" s="928"/>
      <c r="D36" s="851">
        <v>0.0</v>
      </c>
      <c r="E36" s="852"/>
      <c r="F36" s="852"/>
      <c r="G36" s="931"/>
      <c r="H36" s="944"/>
      <c r="I36" s="945"/>
      <c r="J36" s="945"/>
      <c r="K36" s="946"/>
    </row>
    <row r="37" spans="1:11" ht="24" customHeight="1">
      <c r="A37" s="17">
        <v>82.0</v>
      </c>
      <c r="B37" s="927" t="s">
        <v>209</v>
      </c>
      <c r="C37" s="928"/>
      <c r="D37" s="851">
        <f>+IF(OR(EXACT("X",'DAP1'!E13),EXACT("x",'DAP1'!E13)),'DAP2'!F39,0)</f>
        <v>0.0</v>
      </c>
      <c r="E37" s="852"/>
      <c r="F37" s="852"/>
      <c r="G37" s="931"/>
      <c r="H37" s="944"/>
      <c r="I37" s="945"/>
      <c r="J37" s="945"/>
      <c r="K37" s="946"/>
    </row>
    <row r="38" spans="1:11" ht="24" customHeight="1" thickBot="1">
      <c r="A38" s="16">
        <v>83.0</v>
      </c>
      <c r="B38" s="929" t="s">
        <v>3474</v>
      </c>
      <c r="C38" s="930"/>
      <c r="D38" s="879">
        <f>+D37-D36</f>
        <v>0.0</v>
      </c>
      <c r="E38" s="880"/>
      <c r="F38" s="880"/>
      <c r="G38" s="933"/>
      <c r="H38" s="991"/>
      <c r="I38" s="992"/>
      <c r="J38" s="992"/>
      <c r="K38" s="993"/>
    </row>
    <row r="39" spans="1:11" ht="15.95" customHeight="1" thickBot="1">
      <c r="A39" s="981" t="s">
        <v>322</v>
      </c>
      <c r="B39" s="981"/>
      <c r="C39" s="982"/>
      <c r="D39" s="982"/>
      <c r="E39" s="982"/>
      <c r="F39" s="982"/>
      <c r="G39" s="982"/>
      <c r="H39" s="982"/>
      <c r="I39" s="982"/>
      <c r="J39" s="982"/>
      <c r="K39" s="982"/>
    </row>
    <row r="40" spans="1:11" ht="24" customHeight="1">
      <c r="A40" s="114">
        <v>84.0</v>
      </c>
      <c r="B40" s="840" t="s">
        <v>3475</v>
      </c>
      <c r="C40" s="980"/>
      <c r="D40" s="939">
        <f>+'DAP2'!M5</f>
        <v>0.0</v>
      </c>
      <c r="E40" s="940"/>
      <c r="F40" s="940"/>
      <c r="G40" s="941"/>
      <c r="H40" s="944"/>
      <c r="I40" s="945"/>
      <c r="J40" s="945"/>
      <c r="K40" s="946"/>
    </row>
    <row r="41" spans="1:11" ht="18" customHeight="1">
      <c r="A41" s="17">
        <v>85.0</v>
      </c>
      <c r="B41" s="885" t="s">
        <v>104</v>
      </c>
      <c r="C41" s="979"/>
      <c r="D41" s="851">
        <v>0.0</v>
      </c>
      <c r="E41" s="852"/>
      <c r="F41" s="852"/>
      <c r="G41" s="931"/>
      <c r="H41" s="944"/>
      <c r="I41" s="945"/>
      <c r="J41" s="945"/>
      <c r="K41" s="946"/>
    </row>
    <row r="42" spans="1:11" ht="24" customHeight="1">
      <c r="A42" s="17">
        <v>86.0</v>
      </c>
      <c r="B42" s="840" t="s">
        <v>3813</v>
      </c>
      <c r="C42" s="979"/>
      <c r="D42" s="851">
        <v>0.0</v>
      </c>
      <c r="E42" s="852"/>
      <c r="F42" s="852"/>
      <c r="G42" s="931"/>
      <c r="H42" s="944"/>
      <c r="I42" s="945"/>
      <c r="J42" s="945"/>
      <c r="K42" s="946"/>
    </row>
    <row r="43" spans="1:11" ht="18" customHeight="1">
      <c r="A43" s="17">
        <v>87.0</v>
      </c>
      <c r="B43" s="885" t="s">
        <v>3913</v>
      </c>
      <c r="C43" s="979"/>
      <c r="D43" s="851">
        <f>+'DAP2'!M6</f>
        <v>0.0</v>
      </c>
      <c r="E43" s="852"/>
      <c r="F43" s="852"/>
      <c r="G43" s="931"/>
      <c r="H43" s="944"/>
      <c r="I43" s="945"/>
      <c r="J43" s="945"/>
      <c r="K43" s="946"/>
    </row>
    <row r="44" spans="1:11" ht="18" customHeight="1">
      <c r="A44" s="17" t="s">
        <v>286</v>
      </c>
      <c r="B44" s="885" t="s">
        <v>287</v>
      </c>
      <c r="C44" s="979"/>
      <c r="D44" s="851">
        <v>0.0</v>
      </c>
      <c r="E44" s="852"/>
      <c r="F44" s="852"/>
      <c r="G44" s="931"/>
      <c r="H44" s="944"/>
      <c r="I44" s="945"/>
      <c r="J44" s="945"/>
      <c r="K44" s="946"/>
    </row>
    <row r="45" spans="1:11" ht="18" customHeight="1">
      <c r="A45" s="17">
        <v>88.0</v>
      </c>
      <c r="B45" s="885" t="s">
        <v>113</v>
      </c>
      <c r="C45" s="979"/>
      <c r="D45" s="851">
        <v>0.0</v>
      </c>
      <c r="E45" s="852"/>
      <c r="F45" s="852"/>
      <c r="G45" s="931"/>
      <c r="H45" s="944"/>
      <c r="I45" s="945"/>
      <c r="J45" s="945"/>
      <c r="K45" s="946"/>
    </row>
    <row r="46" spans="1:11" ht="24" customHeight="1">
      <c r="A46" s="17">
        <v>89.0</v>
      </c>
      <c r="B46" s="840" t="s">
        <v>3814</v>
      </c>
      <c r="C46" s="979"/>
      <c r="D46" s="851">
        <f>+'DAP2'!M7</f>
        <v>0.0</v>
      </c>
      <c r="E46" s="852"/>
      <c r="F46" s="852"/>
      <c r="G46" s="931"/>
      <c r="H46" s="944"/>
      <c r="I46" s="945"/>
      <c r="J46" s="945"/>
      <c r="K46" s="946"/>
    </row>
    <row r="47" spans="1:11" ht="18" customHeight="1">
      <c r="A47" s="17">
        <v>90.0</v>
      </c>
      <c r="B47" s="885" t="s">
        <v>88</v>
      </c>
      <c r="C47" s="979"/>
      <c r="D47" s="851">
        <v>0.0</v>
      </c>
      <c r="E47" s="852"/>
      <c r="F47" s="852"/>
      <c r="G47" s="931"/>
      <c r="H47" s="944"/>
      <c r="I47" s="945"/>
      <c r="J47" s="945"/>
      <c r="K47" s="946"/>
    </row>
    <row r="48" spans="1:11" ht="24" customHeight="1" thickBot="1">
      <c r="A48" s="17">
        <v>91.0</v>
      </c>
      <c r="B48" s="929" t="s">
        <v>3895</v>
      </c>
      <c r="C48" s="930"/>
      <c r="D48" s="879">
        <f>+IF(OR(EXACT("X",'DAP1'!E13),EXACT("x",'DAP1'!E13)),0,+D30-D31-SUM(D40:E45)+D46-D47)</f>
        <v>0.0</v>
      </c>
      <c r="E48" s="880"/>
      <c r="F48" s="880"/>
      <c r="G48" s="933"/>
      <c r="H48" s="944"/>
      <c r="I48" s="945"/>
      <c r="J48" s="945"/>
      <c r="K48" s="946"/>
    </row>
    <row r="49" spans="1:11" ht="12.75">
      <c r="A49" s="917">
        <v>3.0</v>
      </c>
      <c r="B49" s="917"/>
      <c r="C49" s="917"/>
      <c r="D49" s="917"/>
      <c r="E49" s="917"/>
      <c r="F49" s="917"/>
      <c r="G49" s="917"/>
      <c r="H49" s="917"/>
      <c r="I49" s="917"/>
      <c r="J49" s="917"/>
      <c r="K49" s="917"/>
    </row>
    <row r="50" spans="1:11" ht="12.7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/>
    <row r="202" s="75" customFormat="1" ht="12.75"/>
    <row r="203" s="75" customFormat="1" ht="12.75"/>
    <row r="204" s="75" customFormat="1" ht="12.75"/>
    <row r="205" s="75" customFormat="1" ht="12.75"/>
    <row r="206" s="75" customFormat="1" ht="12.75"/>
    <row r="207" s="75" customFormat="1" ht="12.75"/>
    <row r="208" s="75" customFormat="1" ht="12.75"/>
    <row r="209" s="75" customFormat="1" ht="12.75"/>
    <row r="210" s="75" customFormat="1" ht="12.75"/>
    <row r="211" s="75" customFormat="1" ht="12.75"/>
    <row r="212" s="75" customFormat="1" ht="12.75"/>
    <row r="213" s="75" customFormat="1" ht="12.75"/>
    <row r="214" s="75" customFormat="1" ht="12.75"/>
    <row r="215" s="75" customFormat="1" ht="12.75"/>
    <row r="216" s="75" customFormat="1" ht="12.75"/>
    <row r="217" s="75" customFormat="1" ht="12.75"/>
    <row r="218" s="75" customFormat="1" ht="12.75"/>
    <row r="219" s="75" customFormat="1" ht="12.75"/>
    <row r="220" s="75" customFormat="1" ht="12.75"/>
    <row r="221" s="75" customFormat="1" ht="12.75"/>
    <row r="222" s="75" customFormat="1" ht="12.75"/>
    <row r="223" s="75" customFormat="1" ht="12.75"/>
    <row r="224" s="75" customFormat="1" ht="12.75"/>
    <row r="225" s="75" customFormat="1" ht="12.75"/>
    <row r="226" s="75" customFormat="1" ht="12.75"/>
    <row r="227" s="75" customFormat="1" ht="12.75"/>
    <row r="228" s="75" customFormat="1" ht="12.75"/>
    <row r="229" s="75" customFormat="1" ht="12.75"/>
    <row r="230" s="75" customFormat="1" ht="12.75"/>
    <row r="231" s="75" customFormat="1" ht="12.75"/>
    <row r="232" s="75" customFormat="1" ht="12.75"/>
    <row r="233" s="75" customFormat="1" ht="12.75"/>
    <row r="234" s="75" customFormat="1" ht="12.75"/>
    <row r="235" s="75" customFormat="1" ht="12.75"/>
    <row r="236" s="75" customFormat="1" ht="12.75"/>
    <row r="237" s="75" customFormat="1" ht="12.75"/>
    <row r="238" s="75" customFormat="1" ht="12.75"/>
    <row r="239" s="75" customFormat="1" ht="12.75"/>
    <row r="240" s="75" customFormat="1" ht="12.75"/>
    <row r="241" s="75" customFormat="1" ht="12.75"/>
    <row r="242" s="75" customFormat="1" ht="12.75"/>
    <row r="243" s="75" customFormat="1" ht="12.75"/>
    <row r="244" s="75" customFormat="1" ht="12.75"/>
    <row r="245" s="75" customFormat="1" ht="12.75"/>
    <row r="246" s="75" customFormat="1" ht="12.75"/>
    <row r="247" s="75" customFormat="1" ht="12.75"/>
    <row r="248" s="75" customFormat="1" ht="12.75"/>
    <row r="249" s="75" customFormat="1" ht="12.75"/>
    <row r="250" s="75" customFormat="1" ht="12.75"/>
    <row r="251" s="75" customFormat="1" ht="12.75"/>
    <row r="252" s="75" customFormat="1" ht="12.75"/>
    <row r="253" s="75" customFormat="1" ht="12.75"/>
    <row r="254" s="75" customFormat="1" ht="12.75"/>
    <row r="255" s="75" customFormat="1" ht="12.75"/>
    <row r="256" s="75" customFormat="1" ht="12.75"/>
    <row r="257" s="75" customFormat="1" ht="12.75"/>
    <row r="258" s="75" customFormat="1" ht="12.75"/>
    <row r="259" s="75" customFormat="1" ht="12.75"/>
    <row r="260" s="75" customFormat="1" ht="12.75"/>
    <row r="261" s="75" customFormat="1" ht="12.75"/>
    <row r="262" s="75" customFormat="1" ht="12.75"/>
    <row r="263" s="75" customFormat="1" ht="12.75"/>
    <row r="264" s="75" customFormat="1" ht="12.75"/>
    <row r="265" s="75" customFormat="1" ht="12.75"/>
    <row r="266" s="75" customFormat="1" ht="12.75"/>
    <row r="267" s="75" customFormat="1" ht="12.75"/>
    <row r="268" s="75" customFormat="1" ht="12.75"/>
    <row r="269" s="75" customFormat="1" ht="12.75"/>
    <row r="270" s="75" customFormat="1" ht="12.75"/>
    <row r="271" s="75" customFormat="1" ht="12.75"/>
    <row r="272" s="75" customFormat="1" ht="12.75"/>
    <row r="273" s="75" customFormat="1" ht="12.75"/>
    <row r="274" s="75" customFormat="1" ht="12.75"/>
    <row r="275" s="75" customFormat="1" ht="12.75"/>
    <row r="276" s="75" customFormat="1" ht="12.75"/>
    <row r="277" s="75" customFormat="1" ht="12.75"/>
    <row r="278" s="75" customFormat="1" ht="12.75"/>
    <row r="279" s="75" customFormat="1" ht="12.75"/>
    <row r="280" s="75" customFormat="1" ht="12.75"/>
    <row r="281" s="75" customFormat="1" ht="12.75"/>
    <row r="282" s="75" customFormat="1" ht="12.75"/>
    <row r="283" s="75" customFormat="1" ht="12.75"/>
    <row r="284" s="75" customFormat="1" ht="12.75"/>
    <row r="285" s="75" customFormat="1" ht="12.75"/>
    <row r="286" s="75" customFormat="1" ht="12.75"/>
    <row r="287" s="75" customFormat="1" ht="12.75"/>
    <row r="288" s="75" customFormat="1" ht="12.75"/>
    <row r="289" s="75" customFormat="1" ht="12.75"/>
    <row r="290" s="75" customFormat="1" ht="12.75"/>
    <row r="291" s="75" customFormat="1" ht="12.75"/>
    <row r="292" s="75" customFormat="1" ht="12.75"/>
    <row r="293" s="75" customFormat="1" ht="12.75"/>
    <row r="294" s="75" customFormat="1" ht="12.75"/>
    <row r="295" s="75" customFormat="1" ht="12.75"/>
    <row r="296" s="75" customFormat="1" ht="12.75"/>
    <row r="297" s="75" customFormat="1" ht="12.75"/>
    <row r="298" s="75" customFormat="1" ht="12.75"/>
    <row r="299" s="75" customFormat="1" ht="12.75"/>
    <row r="300" s="75" customFormat="1" ht="12.75"/>
    <row r="301" s="75" customFormat="1" ht="12.75"/>
    <row r="302" s="75" customFormat="1" ht="12.75"/>
    <row r="303" s="75" customFormat="1" ht="12.75"/>
    <row r="304" s="75" customFormat="1" ht="12.75"/>
    <row r="305" s="75" customFormat="1" ht="12.75"/>
    <row r="306" s="75" customFormat="1" ht="12.75"/>
    <row r="307" s="75" customFormat="1" ht="12.75"/>
    <row r="308" s="75" customFormat="1" ht="12.75"/>
    <row r="309" s="75" customFormat="1" ht="12.75"/>
    <row r="310" s="75" customFormat="1" ht="12.75"/>
    <row r="311" s="75" customFormat="1" ht="12.75"/>
    <row r="312" s="75" customFormat="1" ht="12.75"/>
    <row r="313" s="75" customFormat="1" ht="12.75"/>
    <row r="314" s="75" customFormat="1" ht="12.75"/>
    <row r="315" s="75" customFormat="1" ht="12.75"/>
    <row r="316" s="75" customFormat="1" ht="12.75"/>
    <row r="317" s="75" customFormat="1" ht="12.75"/>
    <row r="318" s="75" customFormat="1" ht="12.75"/>
    <row r="319" s="75" customFormat="1" ht="12.75"/>
    <row r="320" s="75" customFormat="1" ht="12.75"/>
    <row r="321" s="75" customFormat="1" ht="12.75"/>
    <row r="322" s="75" customFormat="1" ht="12.75"/>
    <row r="323" s="75" customFormat="1" ht="12.75"/>
    <row r="324" s="75" customFormat="1" ht="12.75"/>
    <row r="325" s="75" customFormat="1" ht="12.75"/>
    <row r="326" s="75" customFormat="1" ht="12.75"/>
    <row r="327" s="75" customFormat="1" ht="12.75"/>
    <row r="328" s="75" customFormat="1" ht="12.75"/>
    <row r="329" s="75" customFormat="1" ht="12.75"/>
    <row r="330" s="75" customFormat="1" ht="12.75"/>
    <row r="331" s="75" customFormat="1" ht="12.75"/>
    <row r="332" s="75" customFormat="1" ht="12.75"/>
    <row r="333" s="75" customFormat="1" ht="12.75"/>
    <row r="334" s="75" customFormat="1" ht="12.75"/>
    <row r="335" s="75" customFormat="1" ht="12.75"/>
    <row r="336" s="75" customFormat="1" ht="12.75"/>
    <row r="337" s="75" customFormat="1" ht="12.75"/>
    <row r="338" s="75" customFormat="1" ht="12.75"/>
    <row r="339" s="75" customFormat="1" ht="12.75"/>
    <row r="340" s="75" customFormat="1" ht="12.75"/>
    <row r="341" s="75" customFormat="1" ht="12.75"/>
    <row r="342" s="75" customFormat="1" ht="12.75"/>
    <row r="343" s="75" customFormat="1" ht="12.75"/>
    <row r="344" s="75" customFormat="1" ht="12.75"/>
    <row r="345" s="75" customFormat="1" ht="12.75"/>
    <row r="346" s="75" customFormat="1" ht="12.75"/>
    <row r="347" s="75" customFormat="1" ht="12.75"/>
    <row r="348" s="75" customFormat="1" ht="12.75"/>
    <row r="349" s="75" customFormat="1" ht="12.75"/>
    <row r="350" s="75" customFormat="1" ht="12.75"/>
    <row r="351" s="75" customFormat="1" ht="12.75"/>
    <row r="352" s="75" customFormat="1" ht="12.75"/>
    <row r="353" s="75" customFormat="1" ht="12.75"/>
    <row r="354" s="75" customFormat="1" ht="12.75"/>
    <row r="355" s="75" customFormat="1" ht="12.75"/>
    <row r="356" s="75" customFormat="1" ht="12.75"/>
    <row r="357" s="75" customFormat="1" ht="12.75"/>
    <row r="358" s="75" customFormat="1" ht="12.75"/>
    <row r="359" s="75" customFormat="1" ht="12.75"/>
    <row r="360" s="75" customFormat="1" ht="12.75"/>
    <row r="361" s="75" customFormat="1" ht="12.75"/>
    <row r="362" s="75" customFormat="1" ht="12.75"/>
    <row r="363" s="75" customFormat="1" ht="12.75"/>
    <row r="364" s="75" customFormat="1" ht="12.75"/>
    <row r="365" s="75" customFormat="1" ht="12.75"/>
    <row r="366" s="75" customFormat="1" ht="12.75"/>
    <row r="367" s="75" customFormat="1" ht="12.75"/>
    <row r="368" s="75" customFormat="1" ht="12.75"/>
    <row r="369" s="75" customFormat="1" ht="12.75"/>
    <row r="370" s="75" customFormat="1" ht="12.75"/>
    <row r="371" s="75" customFormat="1" ht="12.75"/>
    <row r="372" s="75" customFormat="1" ht="12.75"/>
    <row r="373" s="75" customFormat="1" ht="12.75"/>
    <row r="374" s="75" customFormat="1" ht="12.75"/>
    <row r="375" s="75" customFormat="1" ht="12.75"/>
    <row r="376" s="75" customFormat="1" ht="12.75"/>
    <row r="377" s="75" customFormat="1" ht="12.75"/>
    <row r="378" s="75" customFormat="1" ht="12.75"/>
    <row r="379" s="75" customFormat="1" ht="12.75"/>
    <row r="380" s="75" customFormat="1" ht="12.75"/>
    <row r="381" s="75" customFormat="1" ht="12.75"/>
    <row r="382" s="75" customFormat="1" ht="12.75"/>
    <row r="383" s="75" customFormat="1" ht="12.75"/>
    <row r="384" s="75" customFormat="1" ht="12.75"/>
    <row r="385" s="75" customFormat="1" ht="12.75"/>
    <row r="386" s="75" customFormat="1" ht="12.75"/>
    <row r="387" s="75" customFormat="1" ht="12.75"/>
    <row r="388" s="75" customFormat="1" ht="12.75"/>
    <row r="389" s="75" customFormat="1" ht="12.75"/>
    <row r="390" s="75" customFormat="1" ht="12.75"/>
    <row r="391" s="75" customFormat="1" ht="12.75"/>
    <row r="392" s="75" customFormat="1" ht="12.75"/>
    <row r="393" s="75" customFormat="1" ht="12.75"/>
    <row r="394" s="75" customFormat="1" ht="12.75"/>
    <row r="395" s="75" customFormat="1" ht="12.75"/>
    <row r="396" s="75" customFormat="1" ht="12.75"/>
    <row r="397" s="75" customFormat="1" ht="12.75"/>
    <row r="398" s="75" customFormat="1" ht="12.75"/>
    <row r="399" s="75" customFormat="1" ht="12.75"/>
    <row r="400" s="75" customFormat="1" ht="12.75"/>
    <row r="401" s="75" customFormat="1" ht="12.75"/>
    <row r="402" s="75" customFormat="1" ht="12.75"/>
    <row r="403" s="75" customFormat="1" ht="12.75"/>
    <row r="404" s="75" customFormat="1" ht="12.75"/>
    <row r="405" s="75" customFormat="1" ht="12.75"/>
    <row r="406" s="75" customFormat="1" ht="12.75"/>
    <row r="407" s="75" customFormat="1" ht="12.75"/>
    <row r="408" s="75" customFormat="1" ht="12.75"/>
    <row r="409" s="75" customFormat="1" ht="12.75"/>
    <row r="410" s="75" customFormat="1" ht="12.75"/>
    <row r="411" s="75" customFormat="1" ht="12.75"/>
    <row r="412" s="75" customFormat="1" ht="12.75"/>
    <row r="413" s="75" customFormat="1" ht="12.75"/>
    <row r="414" s="75" customFormat="1" ht="12.75"/>
    <row r="415" s="75" customFormat="1" ht="12.75"/>
    <row r="416" s="75" customFormat="1" ht="12.75"/>
    <row r="417" s="75" customFormat="1" ht="12.75"/>
    <row r="418" s="75" customFormat="1" ht="12.75"/>
    <row r="419" s="75" customFormat="1" ht="12.75"/>
    <row r="420" s="75" customFormat="1" ht="12.75"/>
    <row r="421" s="75" customFormat="1" ht="12.75"/>
    <row r="422" s="75" customFormat="1" ht="12.75"/>
    <row r="423" s="75" customFormat="1" ht="12.75"/>
    <row r="424" s="75" customFormat="1" ht="12.75"/>
    <row r="425" s="75" customFormat="1" ht="12.75"/>
    <row r="426" s="75" customFormat="1" ht="12.75"/>
    <row r="427" s="75" customFormat="1" ht="12.75"/>
    <row r="428" s="75" customFormat="1" ht="12.75"/>
    <row r="429" s="75" customFormat="1" ht="12.75"/>
    <row r="430" s="75" customFormat="1" ht="12.75"/>
    <row r="431" s="75" customFormat="1" ht="12.75"/>
    <row r="432" s="75" customFormat="1" ht="12.75"/>
    <row r="433" s="75" customFormat="1" ht="12.75"/>
    <row r="434" s="75" customFormat="1" ht="12.75"/>
    <row r="435" s="75" customFormat="1" ht="12.75"/>
    <row r="436" s="75" customFormat="1" ht="12.75"/>
    <row r="437" s="75" customFormat="1" ht="12.75"/>
    <row r="438" s="75" customFormat="1" ht="12.75"/>
    <row r="439" s="75" customFormat="1" ht="12.75"/>
    <row r="440" s="75" customFormat="1" ht="12.75"/>
    <row r="441" s="75" customFormat="1" ht="12.75"/>
    <row r="442" s="75" customFormat="1" ht="12.75"/>
    <row r="443" s="75" customFormat="1" ht="12.75"/>
    <row r="444" s="75" customFormat="1" ht="12.75"/>
    <row r="445" s="75" customFormat="1" ht="12.75"/>
    <row r="446" s="75" customFormat="1" ht="12.75"/>
    <row r="447" s="75" customFormat="1" ht="12.75"/>
    <row r="448" s="75" customFormat="1" ht="12.75"/>
    <row r="449" s="75" customFormat="1" ht="12.75"/>
    <row r="450" s="75" customFormat="1" ht="12.75"/>
    <row r="451" s="75" customFormat="1" ht="12.75"/>
    <row r="452" s="75" customFormat="1" ht="12.75"/>
    <row r="453" s="75" customFormat="1" ht="12.75"/>
    <row r="454" s="75" customFormat="1" ht="12.75"/>
    <row r="455" s="75" customFormat="1" ht="12.75"/>
    <row r="456" s="75" customFormat="1" ht="12.75"/>
    <row r="457" s="75" customFormat="1" ht="12.75"/>
    <row r="458" s="75" customFormat="1" ht="12.75"/>
    <row r="459" s="75" customFormat="1" ht="12.75"/>
    <row r="460" s="75" customFormat="1" ht="12.75"/>
    <row r="461" s="75" customFormat="1" ht="12.75"/>
    <row r="462" s="75" customFormat="1" ht="12.75"/>
    <row r="463" s="75" customFormat="1" ht="12.75"/>
    <row r="464" s="75" customFormat="1" ht="12.75"/>
    <row r="465" s="75" customFormat="1" ht="12.75"/>
    <row r="466" s="75" customFormat="1" ht="12.75"/>
    <row r="467" s="75" customFormat="1" ht="12.75"/>
    <row r="468" s="75" customFormat="1" ht="12.75"/>
    <row r="469" s="75" customFormat="1" ht="12.75"/>
    <row r="470" s="75" customFormat="1" ht="12.75"/>
    <row r="471" s="75" customFormat="1" ht="12.75"/>
    <row r="472" s="75" customFormat="1" ht="12.75"/>
    <row r="473" s="75" customFormat="1" ht="12.75"/>
    <row r="474" s="75" customFormat="1" ht="12.75"/>
    <row r="475" s="75" customFormat="1" ht="12.75"/>
    <row r="476" s="75" customFormat="1" ht="12.75"/>
    <row r="477" s="75" customFormat="1" ht="12.75"/>
    <row r="478" s="75" customFormat="1" ht="12.75"/>
    <row r="479" s="75" customFormat="1" ht="12.75"/>
    <row r="480" s="75" customFormat="1" ht="12.75"/>
    <row r="481" s="75" customFormat="1" ht="12.75"/>
    <row r="482" s="75" customFormat="1" ht="12.75"/>
    <row r="483" s="75" customFormat="1" ht="12.75"/>
    <row r="484" s="75" customFormat="1" ht="12.75"/>
    <row r="485" s="75" customFormat="1" ht="12.75"/>
    <row r="486" s="75" customFormat="1" ht="12.75"/>
    <row r="487" s="75" customFormat="1" ht="12.75"/>
    <row r="488" s="75" customFormat="1" ht="12.75"/>
    <row r="489" s="75" customFormat="1" ht="12.75"/>
    <row r="490" s="75" customFormat="1" ht="12.75"/>
    <row r="491" s="75" customFormat="1" ht="12.75"/>
    <row r="492" s="75" customFormat="1" ht="12.75"/>
    <row r="493" s="75" customFormat="1" ht="12.75"/>
    <row r="494" s="75" customFormat="1" ht="12.75"/>
    <row r="495" s="75" customFormat="1" ht="12.75"/>
    <row r="496" s="75" customFormat="1" ht="12.75"/>
    <row r="497" s="75" customFormat="1" ht="12.75"/>
    <row r="498" s="75" customFormat="1" ht="12.75"/>
    <row r="499" s="75" customFormat="1" ht="12.75"/>
    <row r="500" s="75" customFormat="1" ht="12.75"/>
    <row r="501" s="75" customFormat="1" ht="12.75"/>
    <row r="502" s="75" customFormat="1" ht="12.75"/>
    <row r="503" s="75" customFormat="1" ht="12.75"/>
    <row r="504" s="75" customFormat="1" ht="12.75"/>
    <row r="505" s="75" customFormat="1" ht="12.75"/>
    <row r="506" s="75" customFormat="1" ht="12.75"/>
    <row r="507" s="75" customFormat="1" ht="12.75"/>
    <row r="508" s="75" customFormat="1" ht="12.75"/>
    <row r="509" s="75" customFormat="1" ht="12.75"/>
    <row r="510" s="75" customFormat="1" ht="12.75"/>
    <row r="511" s="75" customFormat="1" ht="12.75"/>
    <row r="512" s="75" customFormat="1" ht="12.75"/>
    <row r="513" s="75" customFormat="1" ht="12.75"/>
    <row r="514" s="75" customFormat="1" ht="12.75"/>
    <row r="515" s="75" customFormat="1" ht="12.75"/>
    <row r="516" s="75" customFormat="1" ht="12.75"/>
    <row r="517" s="75" customFormat="1" ht="12.75"/>
    <row r="518" s="75" customFormat="1" ht="12.75"/>
    <row r="519" s="75" customFormat="1" ht="12.75"/>
    <row r="520" s="75" customFormat="1" ht="12.75"/>
    <row r="521" s="75" customFormat="1" ht="12.75"/>
    <row r="522" s="75" customFormat="1" ht="12.75"/>
    <row r="523" s="75" customFormat="1" ht="12.75"/>
    <row r="524" s="75" customFormat="1" ht="12.75"/>
    <row r="525" s="75" customFormat="1" ht="12.75"/>
    <row r="526" s="75" customFormat="1" ht="12.75"/>
    <row r="527" s="75" customFormat="1" ht="12.75"/>
    <row r="528" s="75" customFormat="1" ht="12.75"/>
    <row r="529" s="75" customFormat="1" ht="12.75"/>
    <row r="530" s="75" customFormat="1" ht="12.75"/>
    <row r="531" s="75" customFormat="1" ht="12.75"/>
    <row r="532" s="75" customFormat="1" ht="12.75"/>
    <row r="533" s="75" customFormat="1" ht="12.75"/>
    <row r="534" s="75" customFormat="1" ht="12.75"/>
    <row r="535" s="75" customFormat="1" ht="12.75"/>
    <row r="536" s="75" customFormat="1" ht="12.75"/>
    <row r="537" s="75" customFormat="1" ht="12.75"/>
    <row r="538" s="75" customFormat="1" ht="12.75"/>
    <row r="539" s="75" customFormat="1" ht="12.75"/>
    <row r="540" s="75" customFormat="1" ht="12.75"/>
    <row r="541" s="75" customFormat="1" ht="12.75"/>
    <row r="542" s="75" customFormat="1" ht="12.75"/>
    <row r="543" s="75" customFormat="1" ht="12.75"/>
    <row r="544" s="75" customFormat="1" ht="12.75"/>
    <row r="545" s="75" customFormat="1" ht="12.75"/>
    <row r="546" s="75" customFormat="1" ht="12.75"/>
    <row r="547" s="75" customFormat="1" ht="12.75"/>
    <row r="548" s="75" customFormat="1" ht="12.75"/>
    <row r="549" s="75" customFormat="1" ht="12.75"/>
    <row r="550" s="75" customFormat="1" ht="12.75"/>
    <row r="551" s="75" customFormat="1" ht="12.75"/>
    <row r="552" s="75" customFormat="1" ht="12.75"/>
    <row r="553" s="75" customFormat="1" ht="12.75"/>
    <row r="554" s="75" customFormat="1" ht="12.75"/>
    <row r="555" s="75" customFormat="1" ht="12.75"/>
    <row r="556" s="75" customFormat="1" ht="12.75"/>
    <row r="557" s="75" customFormat="1" ht="12.75"/>
    <row r="558" s="75" customFormat="1" ht="12.75"/>
    <row r="559" s="75" customFormat="1" ht="12.75"/>
    <row r="560" s="75" customFormat="1" ht="12.75"/>
    <row r="561" s="75" customFormat="1" ht="12.75"/>
    <row r="562" s="75" customFormat="1" ht="12.75"/>
    <row r="563" s="75" customFormat="1" ht="12.75"/>
    <row r="564" s="75" customFormat="1" ht="12.75"/>
    <row r="565" s="75" customFormat="1" ht="12.75"/>
    <row r="566" s="75" customFormat="1" ht="12.75"/>
    <row r="567" s="75" customFormat="1" ht="12.75"/>
    <row r="568" s="75" customFormat="1" ht="12.75"/>
    <row r="569" s="75" customFormat="1" ht="12.75"/>
    <row r="570" s="75" customFormat="1" ht="12.75"/>
    <row r="571" s="75" customFormat="1" ht="12.75"/>
    <row r="572" s="75" customFormat="1" ht="12.75"/>
    <row r="573" s="75" customFormat="1" ht="12.75"/>
    <row r="574" s="75" customFormat="1" ht="12.75"/>
    <row r="575" s="75" customFormat="1" ht="12.75"/>
    <row r="576" s="75" customFormat="1" ht="12.75"/>
    <row r="577" s="75" customFormat="1" ht="12.75"/>
    <row r="578" s="75" customFormat="1" ht="12.75"/>
    <row r="579" s="75" customFormat="1" ht="12.75"/>
    <row r="580" s="75" customFormat="1" ht="12.75"/>
    <row r="581" s="75" customFormat="1" ht="12.75"/>
    <row r="582" s="75" customFormat="1" ht="12.75"/>
    <row r="583" s="75" customFormat="1" ht="12.75"/>
    <row r="584" s="75" customFormat="1" ht="12.75"/>
    <row r="585" s="75" customFormat="1" ht="12.75"/>
    <row r="586" s="75" customFormat="1" ht="12.75"/>
    <row r="587" s="75" customFormat="1" ht="12.75"/>
    <row r="588" s="75" customFormat="1" ht="12.75"/>
    <row r="589" s="75" customFormat="1" ht="12.75"/>
    <row r="590" s="75" customFormat="1" ht="12.75"/>
    <row r="591" s="75" customFormat="1" ht="12.75"/>
    <row r="592" s="75" customFormat="1" ht="12.75"/>
    <row r="593" s="75" customFormat="1" ht="12.75"/>
    <row r="594" s="75" customFormat="1" ht="12.75"/>
    <row r="595" s="75" customFormat="1" ht="12.75"/>
    <row r="596" s="75" customFormat="1" ht="12.75"/>
    <row r="597" s="75" customFormat="1" ht="12.75"/>
    <row r="598" s="75" customFormat="1" ht="12.75"/>
    <row r="599" s="75" customFormat="1" ht="12.75"/>
    <row r="600" s="75" customFormat="1" ht="12.75"/>
    <row r="601" s="75" customFormat="1" ht="12.75"/>
    <row r="602" s="75" customFormat="1" ht="12.75"/>
    <row r="603" s="75" customFormat="1" ht="12.75"/>
    <row r="604" s="75" customFormat="1" ht="12.75"/>
    <row r="605" s="75" customFormat="1" ht="12.75"/>
    <row r="606" s="75" customFormat="1" ht="12.75"/>
    <row r="607" s="75" customFormat="1" ht="12.75"/>
    <row r="608" s="75" customFormat="1" ht="12.75"/>
    <row r="609" s="75" customFormat="1" ht="12.75"/>
    <row r="610" s="75" customFormat="1" ht="12.75"/>
    <row r="611" s="75" customFormat="1" ht="12.75"/>
    <row r="612" s="75" customFormat="1" ht="12.75"/>
    <row r="613" s="75" customFormat="1" ht="12.75"/>
    <row r="614" s="75" customFormat="1" ht="12.75"/>
    <row r="615" s="75" customFormat="1" ht="12.75"/>
    <row r="616" s="75" customFormat="1" ht="12.75"/>
    <row r="617" s="75" customFormat="1" ht="12.75"/>
    <row r="618" s="75" customFormat="1" ht="12.75"/>
    <row r="619" s="75" customFormat="1" ht="12.75"/>
    <row r="620" s="75" customFormat="1" ht="12.75"/>
    <row r="621" s="75" customFormat="1" ht="12.75"/>
    <row r="622" s="75" customFormat="1" ht="12.75"/>
    <row r="623" s="75" customFormat="1" ht="12.75"/>
    <row r="624" s="75" customFormat="1" ht="12.75"/>
    <row r="625" s="75" customFormat="1" ht="12.75"/>
    <row r="626" s="75" customFormat="1" ht="12.75"/>
    <row r="627" s="75" customFormat="1" ht="12.75"/>
    <row r="628" s="75" customFormat="1" ht="12.75"/>
    <row r="629" s="75" customFormat="1" ht="12.75"/>
    <row r="630" s="75" customFormat="1" ht="12.75"/>
    <row r="631" s="75" customFormat="1" ht="12.75"/>
    <row r="632" s="75" customFormat="1" ht="12.75"/>
    <row r="633" s="75" customFormat="1" ht="12.75"/>
    <row r="634" s="75" customFormat="1" ht="12.75"/>
    <row r="635" s="75" customFormat="1" ht="12.75"/>
  </sheetData>
  <sheetProtection algorithmName="SHA-512" hashValue="9EMAPJnH0NwW9eNuymbSoZUDwfYfTpW8VCZIjkxhYHHs3fzpwjmmmGk9SPL9bZ8ILX/komnINHEWpzPoV/GJUg==" saltValue="xkGU767qUk01gcDf3m1evw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 topLeftCell="A1">
      <selection pane="topLeft" activeCell="K4" sqref="K4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1061" t="s">
        <v>3476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</row>
    <row r="2" spans="1:11" ht="14.1" customHeight="1" thickBot="1">
      <c r="A2" s="1063" t="s">
        <v>3477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11" ht="15" customHeight="1">
      <c r="A3" s="1065" t="s">
        <v>133</v>
      </c>
      <c r="B3" s="1066"/>
      <c r="C3" s="1066"/>
      <c r="D3" s="1066"/>
      <c r="E3" s="1066"/>
      <c r="F3" s="1066"/>
      <c r="G3" s="1066"/>
      <c r="H3" s="1066"/>
      <c r="I3" s="1066"/>
      <c r="J3" s="1067"/>
      <c r="K3" s="209"/>
    </row>
    <row r="4" spans="1:11" ht="15" customHeight="1">
      <c r="A4" s="1012" t="s">
        <v>3479</v>
      </c>
      <c r="B4" s="1013"/>
      <c r="C4" s="1013"/>
      <c r="D4" s="1013"/>
      <c r="E4" s="1013"/>
      <c r="F4" s="1013"/>
      <c r="G4" s="1013"/>
      <c r="H4" s="1013"/>
      <c r="I4" s="1014"/>
      <c r="J4" s="1015"/>
      <c r="K4" s="207"/>
    </row>
    <row r="5" spans="1:11" ht="15" customHeight="1">
      <c r="A5" s="1012" t="s">
        <v>3604</v>
      </c>
      <c r="B5" s="1013"/>
      <c r="C5" s="1013"/>
      <c r="D5" s="1013"/>
      <c r="E5" s="1013"/>
      <c r="F5" s="1013"/>
      <c r="G5" s="1013"/>
      <c r="H5" s="1013"/>
      <c r="I5" s="1014"/>
      <c r="J5" s="1015"/>
      <c r="K5" s="207"/>
    </row>
    <row r="6" spans="1:11" ht="15" customHeight="1">
      <c r="A6" s="1012" t="s">
        <v>3478</v>
      </c>
      <c r="B6" s="1013"/>
      <c r="C6" s="1013"/>
      <c r="D6" s="1013"/>
      <c r="E6" s="1013"/>
      <c r="F6" s="1013"/>
      <c r="G6" s="1013"/>
      <c r="H6" s="1013"/>
      <c r="I6" s="1014"/>
      <c r="J6" s="1015"/>
      <c r="K6" s="207"/>
    </row>
    <row r="7" spans="1:11" ht="15" customHeight="1">
      <c r="A7" s="1012" t="s">
        <v>3815</v>
      </c>
      <c r="B7" s="1013"/>
      <c r="C7" s="1013"/>
      <c r="D7" s="1013"/>
      <c r="E7" s="1013"/>
      <c r="F7" s="1013"/>
      <c r="G7" s="1013"/>
      <c r="H7" s="1013"/>
      <c r="I7" s="1014"/>
      <c r="J7" s="1015"/>
      <c r="K7" s="207"/>
    </row>
    <row r="8" spans="1:11" ht="15" customHeight="1">
      <c r="A8" s="1012" t="s">
        <v>238</v>
      </c>
      <c r="B8" s="1013"/>
      <c r="C8" s="1013"/>
      <c r="D8" s="1013"/>
      <c r="E8" s="1013"/>
      <c r="F8" s="1013"/>
      <c r="G8" s="1013"/>
      <c r="H8" s="1013"/>
      <c r="I8" s="1014"/>
      <c r="J8" s="1015"/>
      <c r="K8" s="207"/>
    </row>
    <row r="9" spans="1:11" ht="24" customHeight="1">
      <c r="A9" s="1012" t="s">
        <v>3480</v>
      </c>
      <c r="B9" s="1013"/>
      <c r="C9" s="1013"/>
      <c r="D9" s="1013"/>
      <c r="E9" s="1013"/>
      <c r="F9" s="1013"/>
      <c r="G9" s="1013"/>
      <c r="H9" s="1013"/>
      <c r="I9" s="1014"/>
      <c r="J9" s="1015"/>
      <c r="K9" s="207"/>
    </row>
    <row r="10" spans="1:11" ht="15" customHeight="1">
      <c r="A10" s="1012" t="s">
        <v>73</v>
      </c>
      <c r="B10" s="1013"/>
      <c r="C10" s="1013"/>
      <c r="D10" s="1013"/>
      <c r="E10" s="1013"/>
      <c r="F10" s="1013"/>
      <c r="G10" s="1013"/>
      <c r="H10" s="1013"/>
      <c r="I10" s="1014"/>
      <c r="J10" s="1015"/>
      <c r="K10" s="207"/>
    </row>
    <row r="11" spans="1:11" ht="15" customHeight="1">
      <c r="A11" s="1012" t="s">
        <v>3605</v>
      </c>
      <c r="B11" s="1013"/>
      <c r="C11" s="1013"/>
      <c r="D11" s="1013"/>
      <c r="E11" s="1013"/>
      <c r="F11" s="1013"/>
      <c r="G11" s="1013"/>
      <c r="H11" s="1013"/>
      <c r="I11" s="1014"/>
      <c r="J11" s="1015"/>
      <c r="K11" s="207"/>
    </row>
    <row r="12" spans="1:11" ht="15" customHeight="1">
      <c r="A12" s="1012" t="s">
        <v>3606</v>
      </c>
      <c r="B12" s="1013"/>
      <c r="C12" s="1013"/>
      <c r="D12" s="1013"/>
      <c r="E12" s="1013"/>
      <c r="F12" s="1013"/>
      <c r="G12" s="1013"/>
      <c r="H12" s="1013"/>
      <c r="I12" s="1014"/>
      <c r="J12" s="1015"/>
      <c r="K12" s="207"/>
    </row>
    <row r="13" spans="1:11" ht="15" customHeight="1">
      <c r="A13" s="1012" t="s">
        <v>3607</v>
      </c>
      <c r="B13" s="1013"/>
      <c r="C13" s="1013"/>
      <c r="D13" s="1013"/>
      <c r="E13" s="1013"/>
      <c r="F13" s="1013"/>
      <c r="G13" s="1013"/>
      <c r="H13" s="1013"/>
      <c r="I13" s="1014"/>
      <c r="J13" s="1015"/>
      <c r="K13" s="207"/>
    </row>
    <row r="14" spans="1:11" ht="15" customHeight="1">
      <c r="A14" s="1012" t="s">
        <v>3927</v>
      </c>
      <c r="B14" s="1081"/>
      <c r="C14" s="1081"/>
      <c r="D14" s="1081"/>
      <c r="E14" s="1081"/>
      <c r="F14" s="1081"/>
      <c r="G14" s="1081"/>
      <c r="H14" s="1081"/>
      <c r="I14" s="1082"/>
      <c r="J14" s="1083"/>
      <c r="K14" s="207">
        <v>0.0</v>
      </c>
    </row>
    <row r="15" spans="1:11" ht="15" customHeight="1">
      <c r="A15" s="1012" t="s">
        <v>3608</v>
      </c>
      <c r="B15" s="1013"/>
      <c r="C15" s="1013"/>
      <c r="D15" s="1013"/>
      <c r="E15" s="1013"/>
      <c r="F15" s="1013"/>
      <c r="G15" s="1013"/>
      <c r="H15" s="1013"/>
      <c r="I15" s="1014"/>
      <c r="J15" s="1015"/>
      <c r="K15" s="207"/>
    </row>
    <row r="16" spans="1:11" ht="15" customHeight="1">
      <c r="A16" s="1012" t="s">
        <v>3609</v>
      </c>
      <c r="B16" s="1013"/>
      <c r="C16" s="1013"/>
      <c r="D16" s="1013"/>
      <c r="E16" s="1013"/>
      <c r="F16" s="1013"/>
      <c r="G16" s="1013"/>
      <c r="H16" s="1013"/>
      <c r="I16" s="1014"/>
      <c r="J16" s="1015"/>
      <c r="K16" s="207"/>
    </row>
    <row r="17" spans="1:11" ht="15" customHeight="1">
      <c r="A17" s="1012" t="s">
        <v>3557</v>
      </c>
      <c r="B17" s="1013"/>
      <c r="C17" s="1013"/>
      <c r="D17" s="1013"/>
      <c r="E17" s="1013"/>
      <c r="F17" s="1013"/>
      <c r="G17" s="1013"/>
      <c r="H17" s="1013"/>
      <c r="I17" s="1014"/>
      <c r="J17" s="1015"/>
      <c r="K17" s="207"/>
    </row>
    <row r="18" spans="1:11" ht="15" customHeight="1">
      <c r="A18" s="1012" t="s">
        <v>210</v>
      </c>
      <c r="B18" s="1013"/>
      <c r="C18" s="1013"/>
      <c r="D18" s="1013"/>
      <c r="E18" s="1013"/>
      <c r="F18" s="1013"/>
      <c r="G18" s="1013"/>
      <c r="H18" s="1013"/>
      <c r="I18" s="1014"/>
      <c r="J18" s="1015"/>
      <c r="K18" s="207"/>
    </row>
    <row r="19" spans="1:11" ht="15" customHeight="1">
      <c r="A19" s="1012" t="s">
        <v>3708</v>
      </c>
      <c r="B19" s="1013"/>
      <c r="C19" s="1013"/>
      <c r="D19" s="1013"/>
      <c r="E19" s="1013"/>
      <c r="F19" s="1013"/>
      <c r="G19" s="1013"/>
      <c r="H19" s="1013"/>
      <c r="I19" s="1014"/>
      <c r="J19" s="1015"/>
      <c r="K19" s="207"/>
    </row>
    <row r="20" spans="1:11" ht="15" customHeight="1">
      <c r="A20" s="1012" t="s">
        <v>74</v>
      </c>
      <c r="B20" s="1013"/>
      <c r="C20" s="1013"/>
      <c r="D20" s="1013"/>
      <c r="E20" s="1013"/>
      <c r="F20" s="1013"/>
      <c r="G20" s="1013"/>
      <c r="H20" s="1013"/>
      <c r="I20" s="1014"/>
      <c r="J20" s="1015"/>
      <c r="K20" s="207"/>
    </row>
    <row r="21" spans="1:11" ht="15" customHeight="1">
      <c r="A21" s="1012" t="s">
        <v>75</v>
      </c>
      <c r="B21" s="1013"/>
      <c r="C21" s="1013"/>
      <c r="D21" s="1013"/>
      <c r="E21" s="1013"/>
      <c r="F21" s="1013"/>
      <c r="G21" s="1013"/>
      <c r="H21" s="1013"/>
      <c r="I21" s="1014"/>
      <c r="J21" s="1015"/>
      <c r="K21" s="207"/>
    </row>
    <row r="22" spans="1:11" ht="15" customHeight="1">
      <c r="A22" s="1012" t="s">
        <v>288</v>
      </c>
      <c r="B22" s="1013"/>
      <c r="C22" s="1013"/>
      <c r="D22" s="1013"/>
      <c r="E22" s="1013"/>
      <c r="F22" s="1013"/>
      <c r="G22" s="1013"/>
      <c r="H22" s="1013"/>
      <c r="I22" s="1014"/>
      <c r="J22" s="1015"/>
      <c r="K22" s="207"/>
    </row>
    <row r="23" spans="1:11" ht="15" customHeight="1">
      <c r="A23" s="1012" t="s">
        <v>3762</v>
      </c>
      <c r="B23" s="1084"/>
      <c r="C23" s="1084"/>
      <c r="D23" s="1084"/>
      <c r="E23" s="1084"/>
      <c r="F23" s="1084"/>
      <c r="G23" s="1084"/>
      <c r="H23" s="1084"/>
      <c r="I23" s="1085"/>
      <c r="J23" s="1086"/>
      <c r="K23" s="207"/>
    </row>
    <row r="24" spans="1:11" ht="24" customHeight="1">
      <c r="A24" s="1012" t="s">
        <v>3763</v>
      </c>
      <c r="B24" s="1084"/>
      <c r="C24" s="1084"/>
      <c r="D24" s="1084"/>
      <c r="E24" s="1084"/>
      <c r="F24" s="1084"/>
      <c r="G24" s="1084"/>
      <c r="H24" s="1084"/>
      <c r="I24" s="1085"/>
      <c r="J24" s="1086"/>
      <c r="K24" s="207"/>
    </row>
    <row r="25" spans="1:11" ht="15" customHeight="1">
      <c r="A25" s="1012" t="s">
        <v>137</v>
      </c>
      <c r="B25" s="1013"/>
      <c r="C25" s="1013"/>
      <c r="D25" s="1013"/>
      <c r="E25" s="1013"/>
      <c r="F25" s="1013"/>
      <c r="G25" s="1013"/>
      <c r="H25" s="1013"/>
      <c r="I25" s="1014"/>
      <c r="J25" s="1015"/>
      <c r="K25" s="207"/>
    </row>
    <row r="26" spans="1:11" ht="15" customHeight="1" thickBot="1">
      <c r="A26" s="1034" t="s">
        <v>76</v>
      </c>
      <c r="B26" s="1035"/>
      <c r="C26" s="1035"/>
      <c r="D26" s="1035"/>
      <c r="E26" s="1035"/>
      <c r="F26" s="1035"/>
      <c r="G26" s="1035"/>
      <c r="H26" s="1035"/>
      <c r="I26" s="1036"/>
      <c r="J26" s="1037"/>
      <c r="K26" s="208">
        <f>SUM(K4:K25)</f>
        <v>0.0</v>
      </c>
    </row>
    <row r="27" spans="1:11" ht="12" customHeight="1" thickBot="1">
      <c r="A27" s="1103"/>
      <c r="B27" s="1103"/>
      <c r="C27" s="1103"/>
      <c r="D27" s="1103"/>
      <c r="E27" s="1103"/>
      <c r="F27" s="1103"/>
      <c r="G27" s="1103"/>
      <c r="H27" s="1103"/>
      <c r="I27" s="1103"/>
      <c r="J27" s="1103"/>
      <c r="K27" s="1103"/>
    </row>
    <row r="28" spans="1:11" ht="12" customHeight="1" thickBot="1">
      <c r="A28" s="1104"/>
      <c r="B28" s="676"/>
      <c r="C28" s="676"/>
      <c r="D28" s="676"/>
      <c r="E28" s="676"/>
      <c r="F28" s="676"/>
      <c r="G28" s="676"/>
      <c r="H28" s="676"/>
      <c r="I28" s="676"/>
      <c r="J28" s="676"/>
      <c r="K28" s="676"/>
    </row>
    <row r="29" spans="1:11" ht="14.1" customHeight="1">
      <c r="A29" s="1080" t="s">
        <v>3482</v>
      </c>
      <c r="B29" s="895"/>
      <c r="C29" s="1088" t="s">
        <v>3481</v>
      </c>
      <c r="D29" s="1088"/>
      <c r="E29" s="1018"/>
      <c r="F29" s="1018"/>
      <c r="G29" s="1018"/>
      <c r="H29" s="1018"/>
      <c r="I29" s="1018"/>
      <c r="J29" s="1018"/>
      <c r="K29" s="1019"/>
    </row>
    <row r="30" spans="1:11" ht="18" customHeight="1">
      <c r="A30" s="1077"/>
      <c r="B30" s="1078"/>
      <c r="C30" s="1089"/>
      <c r="D30" s="1090"/>
      <c r="E30" s="718"/>
      <c r="F30" s="718"/>
      <c r="G30" s="718"/>
      <c r="H30" s="718"/>
      <c r="I30" s="718"/>
      <c r="J30" s="718"/>
      <c r="K30" s="1079"/>
    </row>
    <row r="31" spans="1:11" ht="14.1" customHeight="1">
      <c r="A31" s="1071" t="s">
        <v>289</v>
      </c>
      <c r="B31" s="1026"/>
      <c r="C31" s="1026"/>
      <c r="D31" s="1026"/>
      <c r="E31" s="1026"/>
      <c r="F31" s="1026"/>
      <c r="G31" s="1026"/>
      <c r="H31" s="1026"/>
      <c r="I31" s="1026"/>
      <c r="J31" s="1026"/>
      <c r="K31" s="1072"/>
    </row>
    <row r="32" spans="1:11" ht="18" customHeight="1">
      <c r="A32" s="1073" t="str">
        <f>+CONCATENATE(ZAKL_DATA!D21," ",ZAKL_DATA!D20," ",ZAKL_DATA!D22)</f>
        <v xml:space="preserve">  </v>
      </c>
      <c r="B32" s="1074"/>
      <c r="C32" s="1074"/>
      <c r="D32" s="1074"/>
      <c r="E32" s="1074"/>
      <c r="F32" s="1074"/>
      <c r="G32" s="1074"/>
      <c r="H32" s="1074"/>
      <c r="I32" s="1074"/>
      <c r="J32" s="1074"/>
      <c r="K32" s="1075"/>
    </row>
    <row r="33" spans="1:11" ht="14.1" customHeight="1">
      <c r="A33" s="1071" t="s">
        <v>34</v>
      </c>
      <c r="B33" s="1026"/>
      <c r="C33" s="1026"/>
      <c r="D33" s="1026"/>
      <c r="E33" s="1026"/>
      <c r="F33" s="1026"/>
      <c r="G33" s="1026"/>
      <c r="H33" s="1026"/>
      <c r="I33" s="1026"/>
      <c r="J33" s="1026"/>
      <c r="K33" s="1072"/>
    </row>
    <row r="34" spans="1:11" ht="18" customHeight="1">
      <c r="A34" s="1073"/>
      <c r="B34" s="1074"/>
      <c r="C34" s="1074"/>
      <c r="D34" s="1074"/>
      <c r="E34" s="1074"/>
      <c r="F34" s="1074"/>
      <c r="G34" s="1074"/>
      <c r="H34" s="1074"/>
      <c r="I34" s="1074"/>
      <c r="J34" s="1074"/>
      <c r="K34" s="1075"/>
    </row>
    <row r="35" spans="1:11" ht="14.1" customHeight="1">
      <c r="A35" s="1076" t="s">
        <v>3709</v>
      </c>
      <c r="B35" s="1026"/>
      <c r="C35" s="1026"/>
      <c r="D35" s="1026"/>
      <c r="E35" s="1026"/>
      <c r="F35" s="1026"/>
      <c r="G35" s="1026"/>
      <c r="H35" s="1026"/>
      <c r="I35" s="1026"/>
      <c r="J35" s="1026"/>
      <c r="K35" s="1072"/>
    </row>
    <row r="36" spans="1:11" ht="14.1" customHeight="1">
      <c r="A36" s="1076" t="s">
        <v>3483</v>
      </c>
      <c r="B36" s="1026"/>
      <c r="C36" s="1026"/>
      <c r="D36" s="1026"/>
      <c r="E36" s="1026"/>
      <c r="F36" s="1026"/>
      <c r="G36" s="1026"/>
      <c r="H36" s="1026"/>
      <c r="I36" s="1026"/>
      <c r="J36" s="1026"/>
      <c r="K36" s="1072"/>
    </row>
    <row r="37" spans="1:11" ht="14.1" customHeight="1">
      <c r="A37" s="1071" t="s">
        <v>290</v>
      </c>
      <c r="B37" s="1026"/>
      <c r="C37" s="1026"/>
      <c r="D37" s="1026"/>
      <c r="E37" s="1026"/>
      <c r="F37" s="1026"/>
      <c r="G37" s="1026"/>
      <c r="H37" s="1026"/>
      <c r="I37" s="1026"/>
      <c r="J37" s="1026"/>
      <c r="K37" s="1072"/>
    </row>
    <row r="38" spans="1:11" ht="18" customHeight="1">
      <c r="A38" s="1073" t="str">
        <f>+CONCATENATE(ZAKL_DATA!D21," ",ZAKL_DATA!D20," ",ZAKL_DATA!D22)</f>
        <v xml:space="preserve">  </v>
      </c>
      <c r="B38" s="1074"/>
      <c r="C38" s="1074"/>
      <c r="D38" s="1074"/>
      <c r="E38" s="1074"/>
      <c r="F38" s="1074"/>
      <c r="G38" s="1074"/>
      <c r="H38" s="1074"/>
      <c r="I38" s="1074"/>
      <c r="J38" s="1074"/>
      <c r="K38" s="1075"/>
    </row>
    <row r="39" spans="1:11" ht="5.1" customHeight="1" thickBot="1">
      <c r="A39" s="1068"/>
      <c r="B39" s="1069"/>
      <c r="C39" s="1069"/>
      <c r="D39" s="1069"/>
      <c r="E39" s="1069"/>
      <c r="F39" s="1069"/>
      <c r="G39" s="1069"/>
      <c r="H39" s="1069"/>
      <c r="I39" s="1069"/>
      <c r="J39" s="1069"/>
      <c r="K39" s="1070"/>
    </row>
    <row r="40" spans="1:11" ht="5.1" customHeight="1" thickBot="1">
      <c r="A40" s="1025"/>
      <c r="B40" s="1026"/>
      <c r="C40" s="1026"/>
      <c r="D40" s="1026"/>
      <c r="E40" s="1026"/>
      <c r="F40" s="1026"/>
      <c r="G40" s="1026"/>
      <c r="H40" s="1026"/>
      <c r="I40" s="1026"/>
      <c r="J40" s="1026"/>
      <c r="K40" s="1026"/>
    </row>
    <row r="41" spans="1:11" ht="18" customHeight="1">
      <c r="A41" s="1027" t="s">
        <v>211</v>
      </c>
      <c r="B41" s="1028"/>
      <c r="C41" s="1028"/>
      <c r="D41" s="1028"/>
      <c r="E41" s="1028"/>
      <c r="F41" s="1028"/>
      <c r="G41" s="1028"/>
      <c r="H41" s="1028"/>
      <c r="I41" s="1028"/>
      <c r="J41" s="1028"/>
      <c r="K41" s="1029"/>
    </row>
    <row r="42" spans="1:11" ht="21.75" customHeight="1">
      <c r="A42" s="1023" t="s">
        <v>357</v>
      </c>
      <c r="B42" s="1024"/>
      <c r="C42" s="1087" t="s">
        <v>3484</v>
      </c>
      <c r="D42" s="1087"/>
      <c r="E42" s="1087"/>
      <c r="F42" s="1087"/>
      <c r="G42" s="1020" t="s">
        <v>292</v>
      </c>
      <c r="H42" s="1021"/>
      <c r="I42" s="1021"/>
      <c r="J42" s="1021"/>
      <c r="K42" s="1022"/>
    </row>
    <row r="43" spans="1:11" ht="18" customHeight="1">
      <c r="A43" s="1032">
        <f ca="1">+TODAY()</f>
        <v>44994.0</v>
      </c>
      <c r="B43" s="1033"/>
      <c r="C43" s="1087"/>
      <c r="D43" s="1087"/>
      <c r="E43" s="1087"/>
      <c r="F43" s="1087"/>
      <c r="G43" s="1107"/>
      <c r="H43" s="1108"/>
      <c r="I43" s="1108"/>
      <c r="J43" s="1108"/>
      <c r="K43" s="1109"/>
    </row>
    <row r="44" spans="1:11" ht="18" customHeight="1">
      <c r="A44" s="1030"/>
      <c r="B44" s="1031"/>
      <c r="C44" s="1087"/>
      <c r="D44" s="1087"/>
      <c r="E44" s="1087"/>
      <c r="F44" s="1087"/>
      <c r="G44" s="1110"/>
      <c r="H44" s="1111"/>
      <c r="I44" s="1111"/>
      <c r="J44" s="1111"/>
      <c r="K44" s="1112"/>
    </row>
    <row r="45" spans="1:11" ht="5.1" customHeight="1" thickBot="1">
      <c r="A45" s="1105"/>
      <c r="B45" s="732"/>
      <c r="C45" s="732"/>
      <c r="D45" s="732"/>
      <c r="E45" s="732"/>
      <c r="F45" s="732"/>
      <c r="G45" s="732"/>
      <c r="H45" s="732"/>
      <c r="I45" s="732"/>
      <c r="J45" s="732"/>
      <c r="K45" s="1106"/>
    </row>
    <row r="46" spans="1:11" ht="5.1" customHeight="1">
      <c r="A46" s="700"/>
      <c r="B46" s="697"/>
      <c r="C46" s="697"/>
      <c r="D46" s="697"/>
      <c r="E46" s="697"/>
      <c r="F46" s="697"/>
      <c r="G46" s="697"/>
      <c r="H46" s="697"/>
      <c r="I46" s="697"/>
      <c r="J46" s="697"/>
      <c r="K46" s="697"/>
    </row>
    <row r="47" spans="1:11" s="19" customFormat="1" ht="14.1" customHeight="1">
      <c r="A47" s="694"/>
      <c r="B47" s="676"/>
      <c r="C47" s="676"/>
      <c r="D47" s="676"/>
      <c r="E47" s="676"/>
      <c r="F47" s="1098" t="s">
        <v>243</v>
      </c>
      <c r="G47" s="797"/>
      <c r="H47" s="797"/>
      <c r="I47" s="797"/>
      <c r="J47" s="797"/>
      <c r="K47" s="798"/>
    </row>
    <row r="48" spans="1:11" s="19" customFormat="1" ht="9.95" customHeight="1">
      <c r="A48" s="1044" t="s">
        <v>132</v>
      </c>
      <c r="B48" s="676"/>
      <c r="C48" s="676"/>
      <c r="D48" s="676"/>
      <c r="E48" s="676"/>
      <c r="F48" s="799"/>
      <c r="G48" s="676"/>
      <c r="H48" s="676"/>
      <c r="I48" s="676"/>
      <c r="J48" s="676"/>
      <c r="K48" s="781"/>
    </row>
    <row r="49" spans="1:11" s="19" customFormat="1" ht="18" customHeight="1">
      <c r="A49" s="1042" t="s">
        <v>3485</v>
      </c>
      <c r="B49" s="1043"/>
      <c r="C49" s="1043"/>
      <c r="D49" s="1043"/>
      <c r="E49" s="1043"/>
      <c r="F49" s="799"/>
      <c r="G49" s="676"/>
      <c r="H49" s="676"/>
      <c r="I49" s="676"/>
      <c r="J49" s="676"/>
      <c r="K49" s="781"/>
    </row>
    <row r="50" spans="1:11" s="19" customFormat="1" ht="18" customHeight="1">
      <c r="A50" s="1016" t="s">
        <v>77</v>
      </c>
      <c r="B50" s="1017"/>
      <c r="C50" s="1017"/>
      <c r="D50" s="1017"/>
      <c r="E50" s="1017"/>
      <c r="F50" s="1099"/>
      <c r="G50" s="676"/>
      <c r="H50" s="676"/>
      <c r="I50" s="676"/>
      <c r="J50" s="676"/>
      <c r="K50" s="1100"/>
    </row>
    <row r="51" spans="1:11" s="19" customFormat="1" ht="13.5" customHeight="1">
      <c r="A51" s="1096" t="s">
        <v>3816</v>
      </c>
      <c r="B51" s="1097"/>
      <c r="C51" s="1097"/>
      <c r="D51" s="1097"/>
      <c r="E51" s="1097"/>
      <c r="F51" s="800"/>
      <c r="G51" s="801"/>
      <c r="H51" s="801"/>
      <c r="I51" s="801"/>
      <c r="J51" s="801"/>
      <c r="K51" s="802"/>
    </row>
    <row r="52" spans="1:11" s="19" customFormat="1" ht="5.1" customHeight="1" thickBot="1">
      <c r="A52" s="712"/>
      <c r="B52" s="1101"/>
      <c r="C52" s="1101"/>
      <c r="D52" s="1101"/>
      <c r="E52" s="1101"/>
      <c r="F52" s="1101"/>
      <c r="G52" s="1101"/>
      <c r="H52" s="1101"/>
      <c r="I52" s="1101"/>
      <c r="J52" s="1101"/>
      <c r="K52" s="1101"/>
    </row>
    <row r="53" spans="1:11" s="19" customFormat="1" ht="18" customHeight="1">
      <c r="A53" s="1093" t="s">
        <v>3486</v>
      </c>
      <c r="B53" s="1094"/>
      <c r="C53" s="1094"/>
      <c r="D53" s="1094"/>
      <c r="E53" s="1094"/>
      <c r="F53" s="1094"/>
      <c r="G53" s="1094"/>
      <c r="H53" s="1094"/>
      <c r="I53" s="1094"/>
      <c r="J53" s="1094"/>
      <c r="K53" s="1095"/>
    </row>
    <row r="54" spans="1:11" s="19" customFormat="1" ht="18" customHeight="1">
      <c r="A54" s="1091" t="s">
        <v>3487</v>
      </c>
      <c r="B54" s="1047"/>
      <c r="C54" s="1047"/>
      <c r="D54" s="1047"/>
      <c r="E54" s="1047"/>
      <c r="F54" s="1047"/>
      <c r="G54" s="1047"/>
      <c r="H54" s="1047"/>
      <c r="I54" s="1047"/>
      <c r="J54" s="1047"/>
      <c r="K54" s="1092"/>
    </row>
    <row r="55" spans="1:11" s="19" customFormat="1" ht="18" customHeight="1">
      <c r="A55" s="1091" t="s">
        <v>172</v>
      </c>
      <c r="B55" s="676"/>
      <c r="C55" s="676"/>
      <c r="D55" s="1048">
        <f>MAX(-'DAP3'!D48,-'DAP3'!D35,0)</f>
        <v>0.0</v>
      </c>
      <c r="E55" s="1049"/>
      <c r="F55" s="1049"/>
      <c r="G55" s="1049"/>
      <c r="H55" s="1049"/>
      <c r="I55" s="1049"/>
      <c r="J55" s="1050"/>
      <c r="K55" s="104" t="s">
        <v>36</v>
      </c>
    </row>
    <row r="56" spans="1:11" s="19" customFormat="1" ht="18" customHeight="1">
      <c r="A56" s="1091" t="s">
        <v>3488</v>
      </c>
      <c r="B56" s="676"/>
      <c r="C56" s="1102" t="str">
        <f>IF(D55=0," ",+CONCATENATE(ZAKL_DATA!B16," ",ZAKL_DATA!B17,", ",ZAKL_DATA!B18))</f>
        <v xml:space="preserve"> </v>
      </c>
      <c r="D56" s="1050"/>
      <c r="E56" s="1050"/>
      <c r="F56" s="1050"/>
      <c r="G56" s="1050"/>
      <c r="H56" s="1050"/>
      <c r="I56" s="1050"/>
      <c r="J56" s="1050"/>
      <c r="K56" s="104"/>
    </row>
    <row r="57" spans="1:11" s="19" customFormat="1" ht="18" customHeight="1">
      <c r="A57" s="103" t="s">
        <v>3742</v>
      </c>
      <c r="B57" s="75"/>
      <c r="C57" s="1049" t="str">
        <f>IF(D55=0," ",+CONCATENATE(ZAKL_DATA!B34))</f>
        <v xml:space="preserve"> </v>
      </c>
      <c r="D57" s="1050"/>
      <c r="E57" s="1050"/>
      <c r="F57" s="259" t="s">
        <v>226</v>
      </c>
      <c r="G57" s="1049" t="str">
        <f>IF(D55=0," ",+CONCATENATE(ZAKL_DATA!B32))</f>
        <v xml:space="preserve"> </v>
      </c>
      <c r="H57" s="1049"/>
      <c r="I57" s="1049"/>
      <c r="J57" s="1049"/>
      <c r="K57" s="104"/>
    </row>
    <row r="58" spans="1:11" s="19" customFormat="1" ht="18" customHeight="1">
      <c r="A58" s="103" t="s">
        <v>35</v>
      </c>
      <c r="B58" s="1046" t="str">
        <f>IF(D55=0," ",+CONCATENATE(ZAKL_DATA!B33))</f>
        <v xml:space="preserve"> </v>
      </c>
      <c r="C58" s="1046"/>
      <c r="D58" s="1046"/>
      <c r="E58" s="1047" t="s">
        <v>228</v>
      </c>
      <c r="F58" s="1047"/>
      <c r="G58" s="1047"/>
      <c r="H58" s="1051"/>
      <c r="I58" s="1051"/>
      <c r="J58" s="1051"/>
      <c r="K58" s="104"/>
    </row>
    <row r="59" spans="1:11" s="19" customFormat="1" ht="18" customHeight="1">
      <c r="A59" s="103" t="s">
        <v>204</v>
      </c>
      <c r="B59" s="1052" t="str">
        <f>IF(D55=0," ",+CONCATENATE('DAP1'!B28," ",'DAP1'!J28))</f>
        <v xml:space="preserve"> </v>
      </c>
      <c r="C59" s="1052"/>
      <c r="D59" s="1053" t="s">
        <v>3489</v>
      </c>
      <c r="E59" s="676"/>
      <c r="F59" s="676"/>
      <c r="G59" s="676"/>
      <c r="H59" s="1045" t="s">
        <v>200</v>
      </c>
      <c r="I59" s="1045"/>
      <c r="J59" s="1045"/>
      <c r="K59" s="104"/>
    </row>
    <row r="60" spans="1:11" s="19" customFormat="1" ht="36" customHeight="1" thickBot="1">
      <c r="A60" s="1054" t="str">
        <f>CONCATENATE(+'DAP1'!B31,", dne ")</f>
        <v xml:space="preserve">0, dne </v>
      </c>
      <c r="B60" s="1055"/>
      <c r="C60" s="505">
        <f ca="1">+TODAY()</f>
        <v>44994.0</v>
      </c>
      <c r="D60" s="1056" t="s">
        <v>3755</v>
      </c>
      <c r="E60" s="1057"/>
      <c r="F60" s="1058"/>
      <c r="G60" s="1059"/>
      <c r="H60" s="1059"/>
      <c r="I60" s="1059"/>
      <c r="J60" s="1059"/>
      <c r="K60" s="1060"/>
    </row>
    <row r="61" spans="1:11" ht="12.75">
      <c r="A61" s="1039" t="str">
        <f>+'DAP1'!A46:L46</f>
        <v>Formulář zpracovala ASPEKT HM, daňová, účetní a auditorská kancelář, www.danovapriznani.cz, business.center.cz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1"/>
    </row>
    <row r="62" spans="1:11" ht="12.75">
      <c r="A62" s="887">
        <v>4.0</v>
      </c>
      <c r="B62" s="887"/>
      <c r="C62" s="887"/>
      <c r="D62" s="887"/>
      <c r="E62" s="887"/>
      <c r="F62" s="887"/>
      <c r="G62" s="887"/>
      <c r="H62" s="887"/>
      <c r="I62" s="887"/>
      <c r="J62" s="887"/>
      <c r="K62" s="1038"/>
    </row>
    <row r="65" spans="1:11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WkqsCKQqLooDxZn2s1qiKUSgyjxHf2lY5y23adLnB6d11t1U4Ld/evQnE4VOFMfQSoNKZjAKGU8Lu7ufequsYA==" saltValue="RJV3IpXd8bP7e4hJ61Sxmw==" spinCount="100000" sheet="1" objects="1" scenarios="1"/>
  <mergeCells count="79"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  <mergeCell ref="C42:F44"/>
    <mergeCell ref="A31:K31"/>
    <mergeCell ref="C29:D29"/>
    <mergeCell ref="C30:D30"/>
    <mergeCell ref="A32:K32"/>
    <mergeCell ref="A17:J17"/>
    <mergeCell ref="A21:J21"/>
    <mergeCell ref="A22:J22"/>
    <mergeCell ref="A23:J23"/>
    <mergeCell ref="A24:J24"/>
    <mergeCell ref="A13:J13"/>
    <mergeCell ref="A12:J12"/>
    <mergeCell ref="A10:J10"/>
    <mergeCell ref="A15:J15"/>
    <mergeCell ref="A16:J16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 topLeftCell="A1">
      <selection pane="topLeft" activeCell="A4" sqref="A4:C4"/>
    </sheetView>
  </sheetViews>
  <sheetFormatPr defaultColWidth="9.144285714285713" defaultRowHeight="12.75"/>
  <cols>
    <col min="1" max="1" width="37.142857142857146" style="45" customWidth="1"/>
    <col min="2" max="3" width="29.857142857142858" style="45" customWidth="1"/>
    <col min="4" max="16384" width="9.142857142857142" style="45"/>
  </cols>
  <sheetData>
    <row r="1" spans="1:3" ht="12.75">
      <c r="A1" s="1113" t="s">
        <v>3531</v>
      </c>
      <c r="B1" s="1113"/>
      <c r="C1" s="1113"/>
    </row>
    <row r="2" spans="1:5" ht="18">
      <c r="A2" s="1118" t="s">
        <v>239</v>
      </c>
      <c r="B2" s="1118"/>
      <c r="C2" s="1118"/>
      <c r="D2" s="46"/>
      <c r="E2" s="46"/>
    </row>
    <row r="3" spans="1:5" ht="15.75">
      <c r="A3" s="1119" t="s">
        <v>3928</v>
      </c>
      <c r="B3" s="1119"/>
      <c r="C3" s="1119"/>
      <c r="D3" s="46"/>
      <c r="E3" s="46"/>
    </row>
    <row r="4" spans="1:5" ht="12.75">
      <c r="A4" s="1120"/>
      <c r="B4" s="1120"/>
      <c r="C4" s="1120"/>
      <c r="D4" s="46"/>
      <c r="E4" s="46"/>
    </row>
    <row r="5" spans="1:5" ht="16.5" thickBot="1">
      <c r="A5" s="47" t="s">
        <v>8</v>
      </c>
      <c r="B5" s="1115" t="str">
        <f>+CONCATENATE(ZAKL_DATA!B5," ",ZAKL_DATA!B4," ",ZAKL_DATA!B7)</f>
        <v xml:space="preserve">  </v>
      </c>
      <c r="C5" s="1116"/>
      <c r="D5" s="46"/>
      <c r="E5" s="46"/>
    </row>
    <row r="6" spans="1:5" ht="15.95" customHeight="1" thickBot="1">
      <c r="A6" s="48" t="s">
        <v>9</v>
      </c>
      <c r="B6" s="49" t="s">
        <v>10</v>
      </c>
      <c r="C6" s="50" t="s">
        <v>11</v>
      </c>
      <c r="D6" s="46"/>
      <c r="E6" s="46"/>
    </row>
    <row r="7" spans="1:5" ht="15.95" customHeight="1">
      <c r="A7" s="51" t="s">
        <v>12</v>
      </c>
      <c r="B7" s="146">
        <v>0.0</v>
      </c>
      <c r="C7" s="147">
        <v>0.0</v>
      </c>
      <c r="D7" s="46"/>
      <c r="E7" s="46"/>
    </row>
    <row r="8" spans="1:5" ht="15.95" customHeight="1">
      <c r="A8" s="52" t="s">
        <v>99</v>
      </c>
      <c r="B8" s="148">
        <v>0.0</v>
      </c>
      <c r="C8" s="149">
        <v>0.0</v>
      </c>
      <c r="D8" s="46"/>
      <c r="E8" s="46"/>
    </row>
    <row r="9" spans="1:5" ht="15.95" customHeight="1">
      <c r="A9" s="52" t="s">
        <v>305</v>
      </c>
      <c r="B9" s="148">
        <v>0.0</v>
      </c>
      <c r="C9" s="149">
        <v>0.0</v>
      </c>
      <c r="D9" s="46"/>
      <c r="E9" s="46"/>
    </row>
    <row r="10" spans="1:5" ht="15.95" customHeight="1">
      <c r="A10" s="52" t="s">
        <v>308</v>
      </c>
      <c r="B10" s="148">
        <v>0.0</v>
      </c>
      <c r="C10" s="149">
        <v>0.0</v>
      </c>
      <c r="D10" s="46"/>
      <c r="E10" s="46"/>
    </row>
    <row r="11" spans="1:5" ht="15.95" customHeight="1">
      <c r="A11" s="52" t="s">
        <v>100</v>
      </c>
      <c r="B11" s="148">
        <v>0.0</v>
      </c>
      <c r="C11" s="149">
        <v>0.0</v>
      </c>
      <c r="D11" s="46"/>
      <c r="E11" s="46"/>
    </row>
    <row r="12" spans="1:5" ht="15.95" customHeight="1">
      <c r="A12" s="52" t="s">
        <v>141</v>
      </c>
      <c r="B12" s="148">
        <v>0.0</v>
      </c>
      <c r="C12" s="149">
        <v>0.0</v>
      </c>
      <c r="D12" s="46"/>
      <c r="E12" s="46"/>
    </row>
    <row r="13" spans="1:5" ht="15.95" customHeight="1">
      <c r="A13" s="52" t="s">
        <v>3532</v>
      </c>
      <c r="B13" s="148">
        <v>0.0</v>
      </c>
      <c r="C13" s="149">
        <v>0.0</v>
      </c>
      <c r="D13" s="46"/>
      <c r="E13" s="46"/>
    </row>
    <row r="14" spans="1:5" ht="15.95" customHeight="1">
      <c r="A14" s="52" t="s">
        <v>3533</v>
      </c>
      <c r="B14" s="148">
        <v>0.0</v>
      </c>
      <c r="C14" s="149">
        <v>0.0</v>
      </c>
      <c r="D14" s="46"/>
      <c r="E14" s="46"/>
    </row>
    <row r="15" spans="1:5" ht="15.95" customHeight="1">
      <c r="A15" s="52" t="s">
        <v>13</v>
      </c>
      <c r="B15" s="148">
        <v>0.0</v>
      </c>
      <c r="C15" s="149">
        <v>0.0</v>
      </c>
      <c r="D15" s="46"/>
      <c r="E15" s="46"/>
    </row>
    <row r="16" spans="1:5" ht="15.95" customHeight="1">
      <c r="A16" s="53" t="s">
        <v>14</v>
      </c>
      <c r="B16" s="150">
        <f>SUM(B7:B15)</f>
        <v>0.0</v>
      </c>
      <c r="C16" s="151">
        <f>SUM(C7:C15)</f>
        <v>0.0</v>
      </c>
      <c r="D16" s="46"/>
      <c r="E16" s="46"/>
    </row>
    <row r="17" spans="1:5" ht="15.95" customHeight="1" thickBot="1">
      <c r="A17" s="54" t="s">
        <v>15</v>
      </c>
      <c r="B17" s="152">
        <f>SUM(B7:B16)</f>
        <v>0.0</v>
      </c>
      <c r="C17" s="153">
        <f>SUM(C7:C16)</f>
        <v>0.0</v>
      </c>
      <c r="D17" s="46"/>
      <c r="E17" s="46"/>
    </row>
    <row r="18" spans="1:5" ht="15.95" customHeight="1" thickBot="1">
      <c r="A18" s="55" t="s">
        <v>16</v>
      </c>
      <c r="B18" s="154"/>
      <c r="C18" s="155"/>
      <c r="D18" s="46"/>
      <c r="E18" s="46"/>
    </row>
    <row r="19" spans="1:5" ht="15.95" customHeight="1">
      <c r="A19" s="51" t="s">
        <v>3534</v>
      </c>
      <c r="B19" s="146">
        <v>0.0</v>
      </c>
      <c r="C19" s="147">
        <v>0.0</v>
      </c>
      <c r="D19" s="46"/>
      <c r="E19" s="46"/>
    </row>
    <row r="20" spans="1:5" ht="15.95" customHeight="1">
      <c r="A20" s="52" t="s">
        <v>3535</v>
      </c>
      <c r="B20" s="148">
        <v>0.0</v>
      </c>
      <c r="C20" s="149">
        <v>0.0</v>
      </c>
      <c r="D20" s="46"/>
      <c r="E20" s="46"/>
    </row>
    <row r="21" spans="1:5" ht="15.95" customHeight="1">
      <c r="A21" s="52" t="s">
        <v>17</v>
      </c>
      <c r="B21" s="148">
        <v>0.0</v>
      </c>
      <c r="C21" s="149">
        <v>0.0</v>
      </c>
      <c r="D21" s="46"/>
      <c r="E21" s="46"/>
    </row>
    <row r="22" spans="1:5" ht="15.95" customHeight="1">
      <c r="A22" s="52" t="s">
        <v>309</v>
      </c>
      <c r="B22" s="148">
        <v>0.0</v>
      </c>
      <c r="C22" s="149">
        <v>0.0</v>
      </c>
      <c r="D22" s="46"/>
      <c r="E22" s="46"/>
    </row>
    <row r="23" spans="1:5" ht="15.95" customHeight="1">
      <c r="A23" s="53" t="s">
        <v>18</v>
      </c>
      <c r="B23" s="150">
        <f>SUM(B19:B22)</f>
        <v>0.0</v>
      </c>
      <c r="C23" s="151">
        <f>SUM(C19:C22)</f>
        <v>0.0</v>
      </c>
      <c r="D23" s="46"/>
      <c r="E23" s="46"/>
    </row>
    <row r="24" spans="1:5" ht="15.95" customHeight="1">
      <c r="A24" s="53" t="s">
        <v>3536</v>
      </c>
      <c r="B24" s="150">
        <f>B16-B23</f>
        <v>0.0</v>
      </c>
      <c r="C24" s="151">
        <f>C16-C23</f>
        <v>0.0</v>
      </c>
      <c r="D24" s="46"/>
      <c r="E24" s="46"/>
    </row>
    <row r="25" spans="1:5" ht="15.95" customHeight="1" thickBot="1">
      <c r="A25" s="54" t="s">
        <v>15</v>
      </c>
      <c r="B25" s="152">
        <f>SUM(B19:B24)</f>
        <v>0.0</v>
      </c>
      <c r="C25" s="153">
        <f>SUM(C19:C24)</f>
        <v>0.0</v>
      </c>
      <c r="D25" s="46"/>
      <c r="E25" s="46"/>
    </row>
    <row r="26" spans="1:5" ht="15.95" customHeight="1">
      <c r="A26" s="1121"/>
      <c r="B26" s="716"/>
      <c r="C26" s="716"/>
      <c r="D26" s="46"/>
      <c r="E26" s="46"/>
    </row>
    <row r="27" spans="1:5" ht="15.95" customHeight="1" thickBot="1">
      <c r="A27" s="1117" t="s">
        <v>19</v>
      </c>
      <c r="B27" s="732"/>
      <c r="C27" s="732"/>
      <c r="D27" s="46"/>
      <c r="E27" s="46"/>
    </row>
    <row r="28" spans="1:3" ht="15.95" customHeight="1" thickBot="1">
      <c r="A28" s="48" t="s">
        <v>144</v>
      </c>
      <c r="B28" s="56"/>
      <c r="C28" s="57" t="s">
        <v>11</v>
      </c>
    </row>
    <row r="29" spans="1:3" ht="15.95" customHeight="1">
      <c r="A29" s="51" t="s">
        <v>20</v>
      </c>
      <c r="B29" s="58"/>
      <c r="C29" s="156">
        <v>0.0</v>
      </c>
    </row>
    <row r="30" spans="1:3" ht="15.95" customHeight="1">
      <c r="A30" s="52" t="s">
        <v>21</v>
      </c>
      <c r="B30" s="59"/>
      <c r="C30" s="157">
        <v>0.0</v>
      </c>
    </row>
    <row r="31" spans="1:3" ht="15.95" customHeight="1">
      <c r="A31" s="52" t="s">
        <v>22</v>
      </c>
      <c r="B31" s="59"/>
      <c r="C31" s="157">
        <v>0.0</v>
      </c>
    </row>
    <row r="32" spans="1:3" ht="15.95" customHeight="1">
      <c r="A32" s="62" t="s">
        <v>3537</v>
      </c>
      <c r="B32" s="59"/>
      <c r="C32" s="157">
        <v>0.0</v>
      </c>
    </row>
    <row r="33" spans="1:3" ht="15.95" customHeight="1">
      <c r="A33" s="52" t="s">
        <v>23</v>
      </c>
      <c r="B33" s="59"/>
      <c r="C33" s="157">
        <v>0.0</v>
      </c>
    </row>
    <row r="34" spans="1:3" ht="15.95" customHeight="1">
      <c r="A34" s="64" t="s">
        <v>24</v>
      </c>
      <c r="B34" s="63"/>
      <c r="C34" s="158">
        <f>+C29+C30+C31+C33</f>
        <v>0.0</v>
      </c>
    </row>
    <row r="35" spans="1:3" ht="15.95" customHeight="1" thickBot="1">
      <c r="A35" s="54" t="s">
        <v>15</v>
      </c>
      <c r="B35" s="60"/>
      <c r="C35" s="159">
        <f>SUM(C29:C33)</f>
        <v>0.0</v>
      </c>
    </row>
    <row r="36" spans="1:3" ht="15.95" customHeight="1" thickBot="1">
      <c r="A36" s="55" t="s">
        <v>145</v>
      </c>
      <c r="B36" s="61"/>
      <c r="C36" s="160"/>
    </row>
    <row r="37" spans="1:3" ht="15.95" customHeight="1">
      <c r="A37" s="51" t="s">
        <v>25</v>
      </c>
      <c r="B37" s="58"/>
      <c r="C37" s="156">
        <v>0.0</v>
      </c>
    </row>
    <row r="38" spans="1:3" ht="15.95" customHeight="1">
      <c r="A38" s="52" t="s">
        <v>26</v>
      </c>
      <c r="B38" s="59"/>
      <c r="C38" s="157">
        <v>0.0</v>
      </c>
    </row>
    <row r="39" spans="1:3" ht="15.95" customHeight="1">
      <c r="A39" s="52" t="s">
        <v>27</v>
      </c>
      <c r="B39" s="59"/>
      <c r="C39" s="157">
        <v>0.0</v>
      </c>
    </row>
    <row r="40" spans="1:3" ht="15.95" customHeight="1">
      <c r="A40" s="52" t="s">
        <v>328</v>
      </c>
      <c r="B40" s="59"/>
      <c r="C40" s="157">
        <v>0.0</v>
      </c>
    </row>
    <row r="41" spans="1:3" ht="15.95" customHeight="1">
      <c r="A41" s="52" t="s">
        <v>28</v>
      </c>
      <c r="B41" s="59"/>
      <c r="C41" s="157">
        <v>0.0</v>
      </c>
    </row>
    <row r="42" spans="1:3" ht="15.95" customHeight="1">
      <c r="A42" s="52" t="s">
        <v>29</v>
      </c>
      <c r="B42" s="59"/>
      <c r="C42" s="157">
        <v>0.0</v>
      </c>
    </row>
    <row r="43" spans="1:3" ht="15.95" customHeight="1">
      <c r="A43" s="62" t="s">
        <v>3538</v>
      </c>
      <c r="B43" s="59"/>
      <c r="C43" s="157">
        <v>0.0</v>
      </c>
    </row>
    <row r="44" spans="1:3" ht="15.95" customHeight="1">
      <c r="A44" s="62" t="s">
        <v>3539</v>
      </c>
      <c r="B44" s="59"/>
      <c r="C44" s="157">
        <v>0.0</v>
      </c>
    </row>
    <row r="45" spans="1:3" ht="15.95" customHeight="1">
      <c r="A45" s="62" t="s">
        <v>3540</v>
      </c>
      <c r="B45" s="59"/>
      <c r="C45" s="157">
        <v>0.0</v>
      </c>
    </row>
    <row r="46" spans="1:3" ht="15.95" customHeight="1">
      <c r="A46" s="64" t="s">
        <v>30</v>
      </c>
      <c r="B46" s="63"/>
      <c r="C46" s="158">
        <f>+SUM(C37:C42)</f>
        <v>0.0</v>
      </c>
    </row>
    <row r="47" spans="1:3" ht="15.95" customHeight="1">
      <c r="A47" s="64" t="s">
        <v>110</v>
      </c>
      <c r="B47" s="63"/>
      <c r="C47" s="158">
        <f>+C34-C46</f>
        <v>0.0</v>
      </c>
    </row>
    <row r="48" spans="1:3" ht="15.95" customHeight="1" thickBot="1">
      <c r="A48" s="54" t="s">
        <v>15</v>
      </c>
      <c r="B48" s="60"/>
      <c r="C48" s="159">
        <f>SUM(C37:C45)</f>
        <v>0.0</v>
      </c>
    </row>
    <row r="49" spans="1:3" ht="12.75">
      <c r="A49" s="1114" t="str">
        <f>+'DAP1'!A46:L46</f>
        <v>Formulář zpracovala ASPEKT HM, daňová, účetní a auditorská kancelář, www.danovapriznani.cz, business.center.cz</v>
      </c>
      <c r="B49" s="915"/>
      <c r="C49" s="915"/>
    </row>
  </sheetData>
  <sheetProtection algorithmName="SHA-512" hashValue="vgB43GfitGClP73kWgA5QHlM5CPV3AaO1qoPv7Fga5bH+1N2cpmozHR9fKOsdlJrMXDYt2vNj/E+uNPyqF5+qw==" saltValue="rfszgiU0tE6DzgAnaESfZg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A2" sqref="A2:G2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1202" t="s">
        <v>296</v>
      </c>
      <c r="B1" s="1203"/>
      <c r="C1" s="1203"/>
      <c r="D1" s="1203"/>
      <c r="E1" s="1203"/>
      <c r="F1" s="1203"/>
      <c r="G1" s="1204"/>
      <c r="H1" s="252" t="s">
        <v>37</v>
      </c>
      <c r="I1" s="1188" t="str">
        <f>'DAP1'!A9</f>
        <v/>
      </c>
      <c r="J1" s="1189"/>
      <c r="K1" s="821"/>
    </row>
    <row r="2" spans="1:11" ht="26.25" customHeight="1">
      <c r="A2" s="1201" t="s">
        <v>3930</v>
      </c>
      <c r="B2" s="1201"/>
      <c r="C2" s="1201"/>
      <c r="D2" s="1201"/>
      <c r="E2" s="1201"/>
      <c r="F2" s="1201"/>
      <c r="G2" s="676"/>
      <c r="H2" s="1207"/>
      <c r="I2" s="1207"/>
      <c r="J2" s="1207"/>
      <c r="K2" s="1207"/>
    </row>
    <row r="3" spans="1:11" ht="36" customHeight="1">
      <c r="A3" s="1192" t="s">
        <v>169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</row>
    <row r="4" spans="1:11" ht="15.95" customHeight="1">
      <c r="A4" s="1205" t="s">
        <v>3490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</row>
    <row r="5" spans="1:11" ht="15.95" customHeight="1">
      <c r="A5" s="1104" t="s">
        <v>3491</v>
      </c>
      <c r="B5" s="1206"/>
      <c r="C5" s="1206"/>
      <c r="D5" s="1206"/>
      <c r="E5" s="1206"/>
      <c r="F5" s="1206"/>
      <c r="G5" s="1206"/>
      <c r="H5" s="1206"/>
      <c r="I5" s="1206"/>
      <c r="J5" s="1206"/>
      <c r="K5" s="1206"/>
    </row>
    <row r="6" spans="1:11" ht="9.95" customHeight="1">
      <c r="A6" s="1210" t="s">
        <v>260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</row>
    <row r="7" spans="1:11" ht="8.1" customHeight="1" thickBot="1">
      <c r="A7" s="1210"/>
      <c r="B7" s="1211"/>
      <c r="C7" s="1211"/>
      <c r="D7" s="1211"/>
      <c r="E7" s="1211"/>
      <c r="F7" s="1211"/>
      <c r="G7" s="1211"/>
      <c r="H7" s="1211"/>
      <c r="I7" s="1211"/>
      <c r="J7" s="1211"/>
      <c r="K7" s="1211"/>
    </row>
    <row r="8" spans="1:50" s="107" customFormat="1" ht="24" customHeight="1" thickBot="1">
      <c r="A8" s="1190" t="s">
        <v>205</v>
      </c>
      <c r="B8" s="1191"/>
      <c r="C8" s="92" t="s">
        <v>255</v>
      </c>
      <c r="D8" s="105"/>
      <c r="E8" s="1190" t="s">
        <v>240</v>
      </c>
      <c r="F8" s="1194"/>
      <c r="G8" s="92"/>
      <c r="H8" s="105"/>
      <c r="I8" s="1190" t="s">
        <v>301</v>
      </c>
      <c r="J8" s="818"/>
      <c r="K8" s="92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s="107" customFormat="1" ht="7.5" customHeight="1" thickBot="1">
      <c r="A9" s="782"/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</row>
    <row r="10" spans="1:11" ht="12" customHeight="1">
      <c r="A10" s="1195"/>
      <c r="B10" s="1196"/>
      <c r="C10" s="1196"/>
      <c r="D10" s="1196"/>
      <c r="E10" s="1197"/>
      <c r="F10" s="1198" t="s">
        <v>147</v>
      </c>
      <c r="G10" s="1199"/>
      <c r="H10" s="1200"/>
      <c r="I10" s="1208" t="s">
        <v>155</v>
      </c>
      <c r="J10" s="1209"/>
      <c r="K10" s="875"/>
    </row>
    <row r="11" spans="1:11" ht="18" customHeight="1">
      <c r="A11" s="17">
        <v>101.0</v>
      </c>
      <c r="B11" s="885" t="s">
        <v>261</v>
      </c>
      <c r="C11" s="885"/>
      <c r="D11" s="885"/>
      <c r="E11" s="979"/>
      <c r="F11" s="851">
        <f>+CEILING(ZAV!C34,1)-ZAV!C32</f>
        <v>0.0</v>
      </c>
      <c r="G11" s="1175"/>
      <c r="H11" s="1176"/>
      <c r="I11" s="1126"/>
      <c r="J11" s="1127"/>
      <c r="K11" s="1128"/>
    </row>
    <row r="12" spans="1:11" ht="18" customHeight="1">
      <c r="A12" s="17">
        <v>102.0</v>
      </c>
      <c r="B12" s="885" t="s">
        <v>262</v>
      </c>
      <c r="C12" s="885"/>
      <c r="D12" s="885"/>
      <c r="E12" s="979"/>
      <c r="F12" s="851">
        <f>+IF(OR(EXACT(K8,"X"),EXACT(K8,"x")),FLOOR(E30*IF(E30&gt;1,'1Př1'!F11,MIN(2000000,'1Př1'!F11)),1),FLOOR(ZAV!C46,1))</f>
        <v>0.0</v>
      </c>
      <c r="G12" s="1175"/>
      <c r="H12" s="1176"/>
      <c r="I12" s="1126"/>
      <c r="J12" s="1127"/>
      <c r="K12" s="1128"/>
    </row>
    <row r="13" spans="1:11" ht="18" customHeight="1">
      <c r="A13" s="17">
        <v>103.0</v>
      </c>
      <c r="B13" s="885" t="s">
        <v>171</v>
      </c>
      <c r="C13" s="885"/>
      <c r="D13" s="885"/>
      <c r="E13" s="979"/>
      <c r="F13" s="1129"/>
      <c r="G13" s="1130"/>
      <c r="H13" s="1131"/>
      <c r="I13" s="1126"/>
      <c r="J13" s="1127"/>
      <c r="K13" s="1128"/>
    </row>
    <row r="14" spans="1:11" ht="24" customHeight="1">
      <c r="A14" s="76">
        <v>104.0</v>
      </c>
      <c r="B14" s="840" t="s">
        <v>3492</v>
      </c>
      <c r="C14" s="843"/>
      <c r="D14" s="843"/>
      <c r="E14" s="844"/>
      <c r="F14" s="851">
        <f>+F11-F12-F13</f>
        <v>0.0</v>
      </c>
      <c r="G14" s="1175"/>
      <c r="H14" s="1176"/>
      <c r="I14" s="1126"/>
      <c r="J14" s="1127"/>
      <c r="K14" s="1128"/>
    </row>
    <row r="15" spans="1:11" ht="45" customHeight="1">
      <c r="A15" s="14">
        <v>105.0</v>
      </c>
      <c r="B15" s="840" t="s">
        <v>39</v>
      </c>
      <c r="C15" s="840"/>
      <c r="D15" s="840"/>
      <c r="E15" s="980"/>
      <c r="F15" s="848">
        <f>+SUM('1Př2'!F20:G23)</f>
        <v>0.0</v>
      </c>
      <c r="G15" s="1186"/>
      <c r="H15" s="1187"/>
      <c r="I15" s="1126"/>
      <c r="J15" s="1127"/>
      <c r="K15" s="1128"/>
    </row>
    <row r="16" spans="1:11" ht="45" customHeight="1">
      <c r="A16" s="78">
        <v>106.0</v>
      </c>
      <c r="B16" s="840" t="s">
        <v>38</v>
      </c>
      <c r="C16" s="840"/>
      <c r="D16" s="840"/>
      <c r="E16" s="980"/>
      <c r="F16" s="848">
        <f>+SUM('1Př2'!F26:G29)</f>
        <v>0.0</v>
      </c>
      <c r="G16" s="1186"/>
      <c r="H16" s="1187"/>
      <c r="I16" s="1126"/>
      <c r="J16" s="1127"/>
      <c r="K16" s="1128"/>
    </row>
    <row r="17" spans="1:11" ht="48" customHeight="1">
      <c r="A17" s="14">
        <v>107.0</v>
      </c>
      <c r="B17" s="840" t="s">
        <v>3496</v>
      </c>
      <c r="C17" s="843"/>
      <c r="D17" s="843"/>
      <c r="E17" s="844"/>
      <c r="F17" s="851">
        <f>FLOOR(+F11*('1Př2'!G39+'1Př2'!G40),1)</f>
        <v>0.0</v>
      </c>
      <c r="G17" s="1175"/>
      <c r="H17" s="1176"/>
      <c r="I17" s="1126"/>
      <c r="J17" s="1127"/>
      <c r="K17" s="1128"/>
    </row>
    <row r="18" spans="1:50" s="1" customFormat="1" ht="48" customHeight="1">
      <c r="A18" s="14">
        <v>108.0</v>
      </c>
      <c r="B18" s="927" t="s">
        <v>3495</v>
      </c>
      <c r="C18" s="1173"/>
      <c r="D18" s="1173"/>
      <c r="E18" s="1174"/>
      <c r="F18" s="851">
        <f>FLOOR(+F12*('1Př2'!G39+'1Př2'!G40),1)</f>
        <v>0.0</v>
      </c>
      <c r="G18" s="1175"/>
      <c r="H18" s="1176"/>
      <c r="I18" s="1126"/>
      <c r="J18" s="1127"/>
      <c r="K18" s="112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109.0</v>
      </c>
      <c r="B19" s="927" t="s">
        <v>3493</v>
      </c>
      <c r="C19" s="1173"/>
      <c r="D19" s="1173"/>
      <c r="E19" s="1174"/>
      <c r="F19" s="851">
        <v>0.0</v>
      </c>
      <c r="G19" s="1175"/>
      <c r="H19" s="1176"/>
      <c r="I19" s="1126"/>
      <c r="J19" s="1127"/>
      <c r="K19" s="1128"/>
      <c r="L19" s="6"/>
      <c r="M19" s="142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110.0</v>
      </c>
      <c r="B20" s="927" t="s">
        <v>3494</v>
      </c>
      <c r="C20" s="1173"/>
      <c r="D20" s="1173"/>
      <c r="E20" s="1174"/>
      <c r="F20" s="851">
        <v>0.0</v>
      </c>
      <c r="G20" s="1175"/>
      <c r="H20" s="1176"/>
      <c r="I20" s="1126"/>
      <c r="J20" s="1127"/>
      <c r="K20" s="112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111.0</v>
      </c>
      <c r="B21" s="885" t="s">
        <v>171</v>
      </c>
      <c r="C21" s="885"/>
      <c r="D21" s="885"/>
      <c r="E21" s="979"/>
      <c r="F21" s="1129"/>
      <c r="G21" s="1130"/>
      <c r="H21" s="1131"/>
      <c r="I21" s="1126"/>
      <c r="J21" s="1127"/>
      <c r="K21" s="112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112.0</v>
      </c>
      <c r="B22" s="927" t="s">
        <v>170</v>
      </c>
      <c r="C22" s="1173"/>
      <c r="D22" s="1173"/>
      <c r="E22" s="1174"/>
      <c r="F22" s="851">
        <v>0.0</v>
      </c>
      <c r="G22" s="1175"/>
      <c r="H22" s="1176"/>
      <c r="I22" s="1126"/>
      <c r="J22" s="1127"/>
      <c r="K22" s="112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113.0</v>
      </c>
      <c r="B23" s="929" t="s">
        <v>3817</v>
      </c>
      <c r="C23" s="1122"/>
      <c r="D23" s="1122"/>
      <c r="E23" s="1123"/>
      <c r="F23" s="879">
        <f>+F14+F15-F16-F17+F18+F19-F20-F21+F22</f>
        <v>0.0</v>
      </c>
      <c r="G23" s="1124"/>
      <c r="H23" s="1125"/>
      <c r="I23" s="1179"/>
      <c r="J23" s="1180"/>
      <c r="K23" s="118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183" t="s">
        <v>263</v>
      </c>
      <c r="B24" s="1184"/>
      <c r="C24" s="1184"/>
      <c r="D24" s="1184"/>
      <c r="E24" s="1184"/>
      <c r="F24" s="1184"/>
      <c r="G24" s="1184"/>
      <c r="H24" s="1184"/>
      <c r="I24" s="1184"/>
      <c r="J24" s="1184"/>
      <c r="K24" s="11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161" t="s">
        <v>302</v>
      </c>
      <c r="B25" s="1185"/>
      <c r="C25" s="1185"/>
      <c r="D25" s="1185"/>
      <c r="E25" s="1185"/>
      <c r="F25" s="1185"/>
      <c r="G25" s="1185"/>
      <c r="H25" s="1185"/>
      <c r="I25" s="1185"/>
      <c r="J25" s="1185"/>
      <c r="K25" s="11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177" t="s">
        <v>242</v>
      </c>
      <c r="B26" s="1078"/>
      <c r="C26" s="1078"/>
      <c r="D26" s="1078"/>
      <c r="E26" s="1177" t="s">
        <v>151</v>
      </c>
      <c r="F26" s="1178"/>
      <c r="G26" s="1078"/>
      <c r="H26" s="1078"/>
      <c r="I26" s="1162" t="s">
        <v>78</v>
      </c>
      <c r="J26" s="1162"/>
      <c r="K26" s="116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168">
        <v>0.0</v>
      </c>
      <c r="B27" s="1182"/>
      <c r="C27" s="1170"/>
      <c r="D27" s="141"/>
      <c r="E27" s="1168">
        <f>+CEILING(ZAV!C43,1)</f>
        <v>0.0</v>
      </c>
      <c r="F27" s="1169"/>
      <c r="G27" s="1170"/>
      <c r="H27" s="141"/>
      <c r="I27" s="1168">
        <v>0.0</v>
      </c>
      <c r="J27" s="1171"/>
      <c r="K27" s="11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161" t="s">
        <v>277</v>
      </c>
      <c r="B28" s="1167"/>
      <c r="C28" s="1167"/>
      <c r="D28" s="1167"/>
      <c r="E28" s="1159" t="s">
        <v>278</v>
      </c>
      <c r="F28" s="1161"/>
      <c r="G28" s="702"/>
      <c r="H28" s="702"/>
      <c r="I28" s="702"/>
      <c r="J28" s="702"/>
      <c r="K28" s="70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162" t="s">
        <v>3497</v>
      </c>
      <c r="B29" s="1163"/>
      <c r="C29" s="1163"/>
      <c r="D29" s="1163"/>
      <c r="E29" s="1160"/>
      <c r="F29" s="1153" t="s">
        <v>144</v>
      </c>
      <c r="G29" s="1153"/>
      <c r="H29" s="1153" t="s">
        <v>145</v>
      </c>
      <c r="I29" s="1153"/>
      <c r="J29" s="1153" t="s">
        <v>173</v>
      </c>
      <c r="K29" s="115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164" t="str">
        <f>CONCATENATE(+ZAKL_DATA!B29)</f>
        <v/>
      </c>
      <c r="B30" s="1165"/>
      <c r="C30" s="1165"/>
      <c r="D30" s="1166"/>
      <c r="E30" s="385">
        <v>0.0</v>
      </c>
      <c r="F30" s="1151">
        <f>+IF(E30=0,0,F11)</f>
        <v>0.0</v>
      </c>
      <c r="G30" s="1152"/>
      <c r="H30" s="1151">
        <f>+IF(E30=0,0,+F12+F13)</f>
        <v>0.0</v>
      </c>
      <c r="I30" s="1152"/>
      <c r="J30" s="1149"/>
      <c r="K30" s="11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701" t="s">
        <v>279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157"/>
      <c r="B32" s="1158"/>
      <c r="C32" s="1158"/>
      <c r="D32" s="1158"/>
      <c r="E32" s="384">
        <v>0.0</v>
      </c>
      <c r="F32" s="1147">
        <v>0.0</v>
      </c>
      <c r="G32" s="1148"/>
      <c r="H32" s="1147">
        <v>0.0</v>
      </c>
      <c r="I32" s="1148"/>
      <c r="J32" s="1155"/>
      <c r="K32" s="115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135"/>
      <c r="B33" s="1136"/>
      <c r="C33" s="1136"/>
      <c r="D33" s="1136"/>
      <c r="E33" s="382">
        <v>0.0</v>
      </c>
      <c r="F33" s="1145">
        <v>0.0</v>
      </c>
      <c r="G33" s="1146"/>
      <c r="H33" s="1145">
        <v>0.0</v>
      </c>
      <c r="I33" s="1146"/>
      <c r="J33" s="1139"/>
      <c r="K33" s="114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135"/>
      <c r="B34" s="1136"/>
      <c r="C34" s="1136"/>
      <c r="D34" s="1136"/>
      <c r="E34" s="382">
        <v>0.0</v>
      </c>
      <c r="F34" s="1145">
        <v>0.0</v>
      </c>
      <c r="G34" s="1146"/>
      <c r="H34" s="1145">
        <v>0.0</v>
      </c>
      <c r="I34" s="1146"/>
      <c r="J34" s="1139"/>
      <c r="K34" s="11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137" t="s">
        <v>58</v>
      </c>
      <c r="B35" s="1138"/>
      <c r="C35" s="1138"/>
      <c r="D35" s="1138"/>
      <c r="E35" s="383"/>
      <c r="F35" s="1143">
        <f>SUM(F32:F34)+F30</f>
        <v>0.0</v>
      </c>
      <c r="G35" s="1144"/>
      <c r="H35" s="1143">
        <f>SUM(H32:H34)+H30</f>
        <v>0.0</v>
      </c>
      <c r="I35" s="1144"/>
      <c r="J35" s="1141"/>
      <c r="K35" s="114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133" t="str">
        <f>+'DAP1'!A46</f>
        <v>Formulář zpracovala ASPEKT HM, daňová, účetní a auditorská kancelář, www.danovapriznani.cz, business.center.cz</v>
      </c>
      <c r="B36" s="1133"/>
      <c r="C36" s="1133"/>
      <c r="D36" s="1133"/>
      <c r="E36" s="1133"/>
      <c r="F36" s="1133"/>
      <c r="G36" s="1133"/>
      <c r="H36" s="1133"/>
      <c r="I36" s="1133"/>
      <c r="J36" s="1133"/>
      <c r="K36" s="113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134" t="s">
        <v>3929</v>
      </c>
      <c r="B37" s="1134"/>
      <c r="C37" s="1134"/>
      <c r="D37" s="1134"/>
      <c r="E37" s="1134"/>
      <c r="F37" s="1134"/>
      <c r="G37" s="1134"/>
      <c r="H37" s="1134"/>
      <c r="I37" s="1134"/>
      <c r="J37" s="1134"/>
      <c r="K37" s="113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1132" t="s">
        <v>297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ibC73Tm5RbW6be/iN8ZGVv6a2A+Uvco5OlRRT0hS8PDFtwVkFbFS9poOXU/0kwwFxJAgU0T9P+ptyczS3IgGKA==" saltValue="Ua7QnqD8tM+YpC0G0cmSrA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5"/>
  </cols>
  <sheetData>
    <row r="1" spans="1:7" ht="18" customHeight="1">
      <c r="A1" s="1161" t="s">
        <v>3498</v>
      </c>
      <c r="B1" s="1227"/>
      <c r="C1" s="1227"/>
      <c r="D1" s="1227"/>
      <c r="E1" s="1227"/>
      <c r="F1" s="1227"/>
      <c r="G1" s="1227"/>
    </row>
    <row r="2" spans="1:7 51:52" ht="15.95" customHeight="1" thickBot="1">
      <c r="A2" s="1228" t="s">
        <v>40</v>
      </c>
      <c r="B2" s="732"/>
      <c r="C2" s="136" t="s">
        <v>293</v>
      </c>
      <c r="D2" s="136"/>
      <c r="E2" s="136" t="s">
        <v>294</v>
      </c>
      <c r="F2" s="135" t="s">
        <v>295</v>
      </c>
      <c r="G2" s="135" t="s">
        <v>60</v>
      </c>
      <c r="AY2"/>
      <c r="AZ2"/>
    </row>
    <row r="3" spans="1:7 51:52" ht="15.95" customHeight="1" thickBot="1">
      <c r="A3" s="1218"/>
      <c r="B3" s="1219"/>
      <c r="C3" s="1216"/>
      <c r="D3" s="1217"/>
      <c r="E3" s="134"/>
      <c r="F3" s="139"/>
      <c r="G3" s="140">
        <v>12.0</v>
      </c>
      <c r="AY3"/>
      <c r="AZ3"/>
    </row>
    <row r="4" spans="1:7" ht="18" customHeight="1">
      <c r="A4" s="1231" t="s">
        <v>3610</v>
      </c>
      <c r="B4" s="1232"/>
      <c r="C4" s="1232"/>
      <c r="D4" s="1232"/>
      <c r="E4" s="1232"/>
      <c r="F4" s="1232"/>
      <c r="G4" s="1232"/>
    </row>
    <row r="5" spans="1:7" ht="15.95" customHeight="1" thickBot="1">
      <c r="A5" s="1239" t="s">
        <v>3611</v>
      </c>
      <c r="B5" s="1240"/>
      <c r="C5" s="1240"/>
      <c r="D5" s="1240"/>
      <c r="E5" s="1240"/>
      <c r="F5" s="1240"/>
      <c r="G5" s="1240"/>
    </row>
    <row r="6" spans="1:7" ht="22.5">
      <c r="A6" s="1237"/>
      <c r="B6" s="838"/>
      <c r="C6" s="838"/>
      <c r="D6" s="838"/>
      <c r="E6" s="1238"/>
      <c r="F6" s="80" t="s">
        <v>304</v>
      </c>
      <c r="G6" s="81" t="s">
        <v>303</v>
      </c>
    </row>
    <row r="7" spans="1:7" ht="15.95" customHeight="1">
      <c r="A7" s="42" t="s">
        <v>134</v>
      </c>
      <c r="B7" s="1212" t="s">
        <v>105</v>
      </c>
      <c r="C7" s="1212"/>
      <c r="D7" s="1212"/>
      <c r="E7" s="901"/>
      <c r="F7" s="65">
        <f>+ZAV!B7</f>
        <v>0.0</v>
      </c>
      <c r="G7" s="79">
        <f>+ZAV!C7</f>
        <v>0.0</v>
      </c>
    </row>
    <row r="8" spans="1:7" ht="15.95" customHeight="1">
      <c r="A8" s="42" t="s">
        <v>135</v>
      </c>
      <c r="B8" s="1212" t="s">
        <v>282</v>
      </c>
      <c r="C8" s="1212"/>
      <c r="D8" s="1212"/>
      <c r="E8" s="901"/>
      <c r="F8" s="65">
        <f>+ZAV!B9</f>
        <v>0.0</v>
      </c>
      <c r="G8" s="79">
        <f>+ZAV!C9</f>
        <v>0.0</v>
      </c>
    </row>
    <row r="9" spans="1:7" ht="15.95" customHeight="1">
      <c r="A9" s="42" t="s">
        <v>136</v>
      </c>
      <c r="B9" s="1212" t="s">
        <v>247</v>
      </c>
      <c r="C9" s="1212"/>
      <c r="D9" s="1212"/>
      <c r="E9" s="901"/>
      <c r="F9" s="65">
        <f>+ZAV!B10</f>
        <v>0.0</v>
      </c>
      <c r="G9" s="79">
        <f>+ZAV!C10</f>
        <v>0.0</v>
      </c>
    </row>
    <row r="10" spans="1:7" ht="15.95" customHeight="1">
      <c r="A10" s="42" t="s">
        <v>314</v>
      </c>
      <c r="B10" s="1212" t="s">
        <v>141</v>
      </c>
      <c r="C10" s="1212"/>
      <c r="D10" s="1212"/>
      <c r="E10" s="901"/>
      <c r="F10" s="65">
        <f>+ZAV!B12</f>
        <v>0.0</v>
      </c>
      <c r="G10" s="79">
        <f>+ZAV!C12</f>
        <v>0.0</v>
      </c>
    </row>
    <row r="11" spans="1:7" ht="15.95" customHeight="1">
      <c r="A11" s="42" t="s">
        <v>101</v>
      </c>
      <c r="B11" s="1212" t="s">
        <v>3499</v>
      </c>
      <c r="C11" s="1212"/>
      <c r="D11" s="1212"/>
      <c r="E11" s="901"/>
      <c r="F11" s="65">
        <f>+ZAV!B13+ZAV!B14</f>
        <v>0.0</v>
      </c>
      <c r="G11" s="79">
        <f>+ZAV!C13+ZAV!C14</f>
        <v>0.0</v>
      </c>
    </row>
    <row r="12" spans="1:7" ht="15.95" customHeight="1">
      <c r="A12" s="42" t="s">
        <v>313</v>
      </c>
      <c r="B12" s="1212" t="s">
        <v>248</v>
      </c>
      <c r="C12" s="1212"/>
      <c r="D12" s="1212"/>
      <c r="E12" s="901"/>
      <c r="F12" s="65">
        <f>+ZAV!B15+ZAV!B11+ZAV!B8</f>
        <v>0.0</v>
      </c>
      <c r="G12" s="79">
        <f>+ZAV!C15+ZAV!C11+ZAV!C8</f>
        <v>0.0</v>
      </c>
    </row>
    <row r="13" spans="1:7" ht="15.95" customHeight="1">
      <c r="A13" s="42" t="s">
        <v>312</v>
      </c>
      <c r="B13" s="1212" t="s">
        <v>3500</v>
      </c>
      <c r="C13" s="1212"/>
      <c r="D13" s="1212"/>
      <c r="E13" s="901"/>
      <c r="F13" s="65">
        <f>+ZAV!B19+ZAV!B20</f>
        <v>0.0</v>
      </c>
      <c r="G13" s="79">
        <f>+ZAV!C19+ZAV!C20</f>
        <v>0.0</v>
      </c>
    </row>
    <row r="14" spans="1:7" ht="15.95" customHeight="1" thickBot="1">
      <c r="A14" s="43" t="s">
        <v>311</v>
      </c>
      <c r="B14" s="1236" t="s">
        <v>309</v>
      </c>
      <c r="C14" s="1236"/>
      <c r="D14" s="1236"/>
      <c r="E14" s="907"/>
      <c r="F14" s="66">
        <f>+ZAV!B22</f>
        <v>0.0</v>
      </c>
      <c r="G14" s="93">
        <f>+ZAV!C22</f>
        <v>0.0</v>
      </c>
    </row>
    <row r="15" spans="1:7" ht="9" customHeight="1" thickBot="1">
      <c r="A15" s="1231"/>
      <c r="B15" s="1232"/>
      <c r="C15" s="1232"/>
      <c r="D15" s="1232"/>
      <c r="E15" s="1232"/>
      <c r="F15" s="1232"/>
      <c r="G15" s="1232"/>
    </row>
    <row r="16" spans="1:7" ht="15.95" customHeight="1" thickBot="1">
      <c r="A16" s="82" t="s">
        <v>310</v>
      </c>
      <c r="B16" s="108" t="s">
        <v>27</v>
      </c>
      <c r="C16" s="1233"/>
      <c r="D16" s="1234"/>
      <c r="E16" s="1235"/>
      <c r="F16" s="1232"/>
      <c r="G16" s="1232"/>
    </row>
    <row r="17" spans="1:7" ht="15" customHeight="1">
      <c r="A17" s="1229" t="s">
        <v>249</v>
      </c>
      <c r="B17" s="1230"/>
      <c r="C17" s="1230"/>
      <c r="D17" s="1230"/>
      <c r="E17" s="1230"/>
      <c r="F17" s="1230"/>
      <c r="G17" s="1230"/>
    </row>
    <row r="18" spans="1:7" ht="18" customHeight="1" thickBot="1">
      <c r="A18" s="1220" t="s">
        <v>222</v>
      </c>
      <c r="B18" s="1221"/>
      <c r="C18" s="1221"/>
      <c r="D18" s="1221"/>
      <c r="E18" s="1221"/>
      <c r="F18" s="1221"/>
      <c r="G18" s="1221"/>
    </row>
    <row r="19" spans="1:7" ht="24" customHeight="1">
      <c r="A19" s="85" t="s">
        <v>3501</v>
      </c>
      <c r="B19" s="1222" t="s">
        <v>61</v>
      </c>
      <c r="C19" s="1223"/>
      <c r="D19" s="1223"/>
      <c r="E19" s="1224"/>
      <c r="F19" s="1225" t="s">
        <v>196</v>
      </c>
      <c r="G19" s="1226"/>
    </row>
    <row r="20" spans="1:7" ht="15.95" customHeight="1">
      <c r="A20" s="40" t="s">
        <v>134</v>
      </c>
      <c r="B20" s="1213"/>
      <c r="C20" s="1213"/>
      <c r="D20" s="1213"/>
      <c r="E20" s="1213"/>
      <c r="F20" s="1214"/>
      <c r="G20" s="1215"/>
    </row>
    <row r="21" spans="1:7" ht="15.95" customHeight="1">
      <c r="A21" s="40" t="s">
        <v>135</v>
      </c>
      <c r="B21" s="1213"/>
      <c r="C21" s="1213"/>
      <c r="D21" s="1213"/>
      <c r="E21" s="1213"/>
      <c r="F21" s="1214"/>
      <c r="G21" s="1215"/>
    </row>
    <row r="22" spans="1:7" ht="15.95" customHeight="1">
      <c r="A22" s="40" t="s">
        <v>136</v>
      </c>
      <c r="B22" s="1213"/>
      <c r="C22" s="1213"/>
      <c r="D22" s="1213"/>
      <c r="E22" s="1213"/>
      <c r="F22" s="1214"/>
      <c r="G22" s="1215"/>
    </row>
    <row r="23" spans="1:7" ht="15.95" customHeight="1" thickBot="1">
      <c r="A23" s="41" t="s">
        <v>314</v>
      </c>
      <c r="B23" s="1241"/>
      <c r="C23" s="1241"/>
      <c r="D23" s="1241"/>
      <c r="E23" s="1241"/>
      <c r="F23" s="1242"/>
      <c r="G23" s="1243"/>
    </row>
    <row r="24" spans="1:7" ht="13.5" thickBot="1">
      <c r="A24" s="1220"/>
      <c r="B24" s="1221"/>
      <c r="C24" s="1221"/>
      <c r="D24" s="1221"/>
      <c r="E24" s="1221"/>
      <c r="F24" s="1221"/>
      <c r="G24" s="1221"/>
    </row>
    <row r="25" spans="1:7" ht="24.75" customHeight="1">
      <c r="A25" s="85" t="s">
        <v>197</v>
      </c>
      <c r="B25" s="1222" t="s">
        <v>62</v>
      </c>
      <c r="C25" s="1223"/>
      <c r="D25" s="1223"/>
      <c r="E25" s="1224"/>
      <c r="F25" s="1225" t="s">
        <v>196</v>
      </c>
      <c r="G25" s="1226"/>
    </row>
    <row r="26" spans="1:7" ht="15.95" customHeight="1">
      <c r="A26" s="40" t="s">
        <v>134</v>
      </c>
      <c r="B26" s="1213"/>
      <c r="C26" s="1213"/>
      <c r="D26" s="1213"/>
      <c r="E26" s="1213"/>
      <c r="F26" s="1214"/>
      <c r="G26" s="1215"/>
    </row>
    <row r="27" spans="1:7" ht="15.95" customHeight="1">
      <c r="A27" s="40" t="s">
        <v>135</v>
      </c>
      <c r="B27" s="1213"/>
      <c r="C27" s="1213"/>
      <c r="D27" s="1213"/>
      <c r="E27" s="1213"/>
      <c r="F27" s="1214"/>
      <c r="G27" s="1215"/>
    </row>
    <row r="28" spans="1:7" ht="15.95" customHeight="1">
      <c r="A28" s="40" t="s">
        <v>136</v>
      </c>
      <c r="B28" s="1213"/>
      <c r="C28" s="1213"/>
      <c r="D28" s="1213"/>
      <c r="E28" s="1213"/>
      <c r="F28" s="1214"/>
      <c r="G28" s="1215"/>
    </row>
    <row r="29" spans="1:7" ht="15.95" customHeight="1" thickBot="1">
      <c r="A29" s="41" t="s">
        <v>314</v>
      </c>
      <c r="B29" s="1241"/>
      <c r="C29" s="1241"/>
      <c r="D29" s="1241"/>
      <c r="E29" s="1241"/>
      <c r="F29" s="1242"/>
      <c r="G29" s="1243"/>
    </row>
    <row r="30" spans="1:7" ht="18" customHeight="1" thickBot="1">
      <c r="A30" s="1220" t="s">
        <v>79</v>
      </c>
      <c r="B30" s="1221"/>
      <c r="C30" s="1221"/>
      <c r="D30" s="1221"/>
      <c r="E30" s="1221"/>
      <c r="F30" s="1221"/>
      <c r="G30" s="1221"/>
    </row>
    <row r="31" spans="1:7" ht="15.95" customHeight="1">
      <c r="A31" s="1249" t="s">
        <v>80</v>
      </c>
      <c r="B31" s="1250"/>
      <c r="C31" s="1250"/>
      <c r="D31" s="1250"/>
      <c r="E31" s="1250"/>
      <c r="F31" s="1250"/>
      <c r="G31" s="1251"/>
    </row>
    <row r="32" spans="1:7" ht="15.95" customHeight="1">
      <c r="A32" s="89"/>
      <c r="B32" s="25" t="s">
        <v>41</v>
      </c>
      <c r="C32" s="1245" t="s">
        <v>96</v>
      </c>
      <c r="D32" s="1245"/>
      <c r="E32" s="25" t="s">
        <v>148</v>
      </c>
      <c r="F32" s="25" t="s">
        <v>97</v>
      </c>
      <c r="G32" s="26" t="s">
        <v>98</v>
      </c>
    </row>
    <row r="33" spans="1:7" ht="15.95" customHeight="1">
      <c r="A33" s="27" t="s">
        <v>134</v>
      </c>
      <c r="B33" s="95"/>
      <c r="C33" s="1244"/>
      <c r="D33" s="1244"/>
      <c r="E33" s="29"/>
      <c r="F33" s="32"/>
      <c r="G33" s="31"/>
    </row>
    <row r="34" spans="1:7" ht="15.95" customHeight="1">
      <c r="A34" s="27" t="s">
        <v>135</v>
      </c>
      <c r="B34" s="30"/>
      <c r="C34" s="1244"/>
      <c r="D34" s="1244"/>
      <c r="E34" s="96"/>
      <c r="F34" s="97"/>
      <c r="G34" s="98"/>
    </row>
    <row r="35" spans="1:7" ht="15.95" customHeight="1" thickBot="1">
      <c r="A35" s="28" t="s">
        <v>136</v>
      </c>
      <c r="B35" s="99"/>
      <c r="C35" s="1248"/>
      <c r="D35" s="1248"/>
      <c r="E35" s="99"/>
      <c r="F35" s="33"/>
      <c r="G35" s="34"/>
    </row>
    <row r="36" spans="1:7" ht="18" customHeight="1" thickBot="1">
      <c r="A36" s="1252" t="s">
        <v>283</v>
      </c>
      <c r="B36" s="1253"/>
      <c r="C36" s="1253"/>
      <c r="D36" s="1253"/>
      <c r="E36" s="1253"/>
      <c r="F36" s="1253"/>
      <c r="G36" s="1253"/>
    </row>
    <row r="37" spans="1:7" ht="15.95" customHeight="1">
      <c r="A37" s="1254" t="s">
        <v>81</v>
      </c>
      <c r="B37" s="1255"/>
      <c r="C37" s="1255"/>
      <c r="D37" s="1255"/>
      <c r="E37" s="1255"/>
      <c r="F37" s="1255"/>
      <c r="G37" s="1256"/>
    </row>
    <row r="38" spans="1:7" ht="24" customHeight="1">
      <c r="A38" s="90"/>
      <c r="B38" s="1257" t="s">
        <v>41</v>
      </c>
      <c r="C38" s="1258"/>
      <c r="D38" s="1257" t="s">
        <v>96</v>
      </c>
      <c r="E38" s="1258"/>
      <c r="F38" s="35" t="s">
        <v>245</v>
      </c>
      <c r="G38" s="36" t="s">
        <v>315</v>
      </c>
    </row>
    <row r="39" spans="1:7" ht="15.95" customHeight="1">
      <c r="A39" s="27" t="s">
        <v>134</v>
      </c>
      <c r="B39" s="1269"/>
      <c r="C39" s="1270"/>
      <c r="D39" s="1269"/>
      <c r="E39" s="1270"/>
      <c r="F39" s="497"/>
      <c r="G39" s="31"/>
    </row>
    <row r="40" spans="1:7" ht="15.95" customHeight="1" thickBot="1">
      <c r="A40" s="28" t="s">
        <v>135</v>
      </c>
      <c r="B40" s="1246"/>
      <c r="C40" s="1247"/>
      <c r="D40" s="1246"/>
      <c r="E40" s="1247"/>
      <c r="F40" s="8"/>
      <c r="G40" s="34"/>
    </row>
    <row r="41" spans="1:52" s="83" customFormat="1" ht="18" customHeight="1" thickBot="1">
      <c r="A41" s="1252" t="s">
        <v>223</v>
      </c>
      <c r="B41" s="1253"/>
      <c r="C41" s="1253"/>
      <c r="D41" s="1253"/>
      <c r="E41" s="1253"/>
      <c r="F41" s="1253"/>
      <c r="G41" s="125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7" ht="15.95" customHeight="1">
      <c r="A42" s="1254" t="s">
        <v>82</v>
      </c>
      <c r="B42" s="1255"/>
      <c r="C42" s="1255"/>
      <c r="D42" s="1255"/>
      <c r="E42" s="1255"/>
      <c r="F42" s="1255"/>
      <c r="G42" s="1256"/>
    </row>
    <row r="43" spans="1:7" ht="24" customHeight="1">
      <c r="A43" s="90"/>
      <c r="B43" s="961" t="s">
        <v>41</v>
      </c>
      <c r="C43" s="1268"/>
      <c r="D43" s="961" t="s">
        <v>96</v>
      </c>
      <c r="E43" s="1268"/>
      <c r="F43" s="498" t="s">
        <v>148</v>
      </c>
      <c r="G43" s="36" t="s">
        <v>315</v>
      </c>
    </row>
    <row r="44" spans="1:7" ht="15.95" customHeight="1" thickBot="1">
      <c r="A44" s="28" t="s">
        <v>134</v>
      </c>
      <c r="B44" s="1265"/>
      <c r="C44" s="1247"/>
      <c r="D44" s="1265"/>
      <c r="E44" s="1247"/>
      <c r="F44" s="499"/>
      <c r="G44" s="34"/>
    </row>
    <row r="45" spans="1:7" ht="13.5" thickBot="1">
      <c r="A45" s="1266" t="s">
        <v>323</v>
      </c>
      <c r="B45" s="1267"/>
      <c r="C45" s="1267"/>
      <c r="D45" s="1267"/>
      <c r="E45" s="1267"/>
      <c r="F45" s="1267"/>
      <c r="G45" s="1267"/>
    </row>
    <row r="46" spans="1:7" ht="12.75">
      <c r="A46" s="1261" t="s">
        <v>224</v>
      </c>
      <c r="B46" s="1262"/>
      <c r="C46" s="1262"/>
      <c r="D46" s="1262"/>
      <c r="E46" s="1262"/>
      <c r="F46" s="37" t="s">
        <v>148</v>
      </c>
      <c r="G46" s="38" t="s">
        <v>149</v>
      </c>
    </row>
    <row r="47" spans="1:7" ht="13.5" thickBot="1">
      <c r="A47" s="1263"/>
      <c r="B47" s="1264"/>
      <c r="C47" s="1264"/>
      <c r="D47" s="1264"/>
      <c r="E47" s="1264"/>
      <c r="F47" s="94"/>
      <c r="G47" s="39"/>
    </row>
    <row r="48" spans="1:7" ht="9" customHeight="1">
      <c r="A48" s="1259" t="s">
        <v>3502</v>
      </c>
      <c r="B48" s="716"/>
      <c r="C48" s="716"/>
      <c r="D48" s="716"/>
      <c r="E48" s="716"/>
      <c r="F48" s="716"/>
      <c r="G48" s="716"/>
    </row>
    <row r="49" spans="1:7" ht="9" customHeight="1">
      <c r="A49" s="1260" t="s">
        <v>195</v>
      </c>
      <c r="B49" s="676"/>
      <c r="C49" s="676"/>
      <c r="D49" s="676"/>
      <c r="E49" s="676"/>
      <c r="F49" s="676"/>
      <c r="G49" s="676"/>
    </row>
    <row r="50" spans="1:7" ht="12.75">
      <c r="A50" s="1132" t="s">
        <v>298</v>
      </c>
      <c r="B50" s="1132"/>
      <c r="C50" s="1132"/>
      <c r="D50" s="1132"/>
      <c r="E50" s="1132"/>
      <c r="F50" s="1132"/>
      <c r="G50" s="1132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pans="1:7" ht="12.75">
      <c r="A65" s="75"/>
      <c r="B65" s="75"/>
      <c r="C65" s="75"/>
      <c r="D65" s="75"/>
      <c r="E65" s="75"/>
      <c r="F65" s="75"/>
      <c r="G65" s="75"/>
    </row>
    <row r="66" spans="1:7" ht="12.75">
      <c r="A66" s="75"/>
      <c r="B66" s="75"/>
      <c r="C66" s="75"/>
      <c r="D66" s="75"/>
      <c r="E66" s="75"/>
      <c r="F66" s="75"/>
      <c r="G66" s="75"/>
    </row>
    <row r="67" spans="1:7" ht="12.75">
      <c r="A67" s="75"/>
      <c r="B67" s="75"/>
      <c r="C67" s="75"/>
      <c r="D67" s="75"/>
      <c r="E67" s="75"/>
      <c r="F67" s="75"/>
      <c r="G67" s="75"/>
    </row>
    <row r="68" spans="1:7" ht="12.75">
      <c r="A68" s="75"/>
      <c r="B68" s="75"/>
      <c r="C68" s="75"/>
      <c r="D68" s="75"/>
      <c r="E68" s="75"/>
      <c r="F68" s="75"/>
      <c r="G68" s="75"/>
    </row>
    <row r="69" spans="1:7" ht="12.75">
      <c r="A69" s="75"/>
      <c r="B69" s="75"/>
      <c r="C69" s="75"/>
      <c r="D69" s="75"/>
      <c r="E69" s="75"/>
      <c r="F69" s="75"/>
      <c r="G69" s="75"/>
    </row>
    <row r="70" spans="1:7" ht="12.75">
      <c r="A70" s="75"/>
      <c r="B70" s="75"/>
      <c r="C70" s="75"/>
      <c r="D70" s="75"/>
      <c r="E70" s="75"/>
      <c r="F70" s="75"/>
      <c r="G70" s="75"/>
    </row>
    <row r="71" spans="1:7" ht="12.75">
      <c r="A71" s="75"/>
      <c r="B71" s="75"/>
      <c r="C71" s="75"/>
      <c r="D71" s="75"/>
      <c r="E71" s="75"/>
      <c r="F71" s="75"/>
      <c r="G71" s="75"/>
    </row>
    <row r="72" spans="1:7" ht="12.75">
      <c r="A72" s="75"/>
      <c r="B72" s="75"/>
      <c r="C72" s="75"/>
      <c r="D72" s="75"/>
      <c r="E72" s="75"/>
      <c r="F72" s="75"/>
      <c r="G72" s="75"/>
    </row>
    <row r="73" spans="1:7" ht="12.75">
      <c r="A73" s="75"/>
      <c r="B73" s="75"/>
      <c r="C73" s="75"/>
      <c r="D73" s="75"/>
      <c r="E73" s="75"/>
      <c r="F73" s="75"/>
      <c r="G73" s="75"/>
    </row>
    <row r="74" spans="1:7" ht="12.75">
      <c r="A74" s="75"/>
      <c r="B74" s="75"/>
      <c r="C74" s="75"/>
      <c r="D74" s="75"/>
      <c r="E74" s="75"/>
      <c r="F74" s="75"/>
      <c r="G74" s="75"/>
    </row>
    <row r="75" spans="1:7" ht="12.75">
      <c r="A75" s="75"/>
      <c r="B75" s="75"/>
      <c r="C75" s="75"/>
      <c r="D75" s="75"/>
      <c r="E75" s="75"/>
      <c r="F75" s="75"/>
      <c r="G75" s="75"/>
    </row>
    <row r="76" spans="1:7" ht="12.75">
      <c r="A76" s="75"/>
      <c r="B76" s="75"/>
      <c r="C76" s="75"/>
      <c r="D76" s="75"/>
      <c r="E76" s="75"/>
      <c r="F76" s="75"/>
      <c r="G76" s="75"/>
    </row>
    <row r="77" spans="1:7" ht="12.75">
      <c r="A77" s="75"/>
      <c r="B77" s="75"/>
      <c r="C77" s="75"/>
      <c r="D77" s="75"/>
      <c r="E77" s="75"/>
      <c r="F77" s="75"/>
      <c r="G77" s="75"/>
    </row>
    <row r="78" spans="1:7" ht="12.75">
      <c r="A78" s="75"/>
      <c r="B78" s="75"/>
      <c r="C78" s="75"/>
      <c r="D78" s="75"/>
      <c r="E78" s="75"/>
      <c r="F78" s="75"/>
      <c r="G78" s="75"/>
    </row>
    <row r="79" spans="1:7" ht="12.75">
      <c r="A79" s="75"/>
      <c r="B79" s="75"/>
      <c r="C79" s="75"/>
      <c r="D79" s="75"/>
      <c r="E79" s="75"/>
      <c r="F79" s="75"/>
      <c r="G79" s="75"/>
    </row>
    <row r="80" spans="1:7" ht="12.75">
      <c r="A80" s="75"/>
      <c r="B80" s="75"/>
      <c r="C80" s="75"/>
      <c r="D80" s="75"/>
      <c r="E80" s="75"/>
      <c r="F80" s="75"/>
      <c r="G80" s="75"/>
    </row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A16" sqref="A16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5"/>
  </cols>
  <sheetData>
    <row r="1" spans="1:10" ht="18" customHeight="1" thickBot="1">
      <c r="A1" s="1202" t="s">
        <v>198</v>
      </c>
      <c r="B1" s="1203"/>
      <c r="C1" s="1203"/>
      <c r="D1" s="1203"/>
      <c r="E1" s="1203"/>
      <c r="F1" s="1203"/>
      <c r="G1" s="1302" t="s">
        <v>37</v>
      </c>
      <c r="H1" s="719"/>
      <c r="I1" s="1188" t="str">
        <f>'DAP1'!A9</f>
        <v/>
      </c>
      <c r="J1" s="821"/>
    </row>
    <row r="2" spans="1:10" ht="24" customHeight="1">
      <c r="A2" s="1201" t="s">
        <v>3931</v>
      </c>
      <c r="B2" s="1201"/>
      <c r="C2" s="1201"/>
      <c r="D2" s="1201"/>
      <c r="E2" s="1201"/>
      <c r="F2" s="1201"/>
      <c r="G2" s="676"/>
      <c r="H2" s="1232"/>
      <c r="I2" s="1232"/>
      <c r="J2" s="1232"/>
    </row>
    <row r="3" spans="1:10" ht="36" customHeight="1">
      <c r="A3" s="1192" t="s">
        <v>169</v>
      </c>
      <c r="B3" s="1193"/>
      <c r="C3" s="1193"/>
      <c r="D3" s="1193"/>
      <c r="E3" s="1193"/>
      <c r="F3" s="1193"/>
      <c r="G3" s="1193"/>
      <c r="H3" s="1193"/>
      <c r="I3" s="1193"/>
      <c r="J3" s="1193"/>
    </row>
    <row r="4" spans="1:10" ht="30" customHeight="1">
      <c r="A4" s="1288" t="s">
        <v>3503</v>
      </c>
      <c r="B4" s="1289"/>
      <c r="C4" s="1289"/>
      <c r="D4" s="1289"/>
      <c r="E4" s="1289"/>
      <c r="F4" s="1289"/>
      <c r="G4" s="1289"/>
      <c r="H4" s="1289"/>
      <c r="I4" s="1289"/>
      <c r="J4" s="1289"/>
    </row>
    <row r="5" spans="1:10" ht="18" customHeight="1">
      <c r="A5" s="1104" t="s">
        <v>3504</v>
      </c>
      <c r="B5" s="1206"/>
      <c r="C5" s="1206"/>
      <c r="D5" s="1206"/>
      <c r="E5" s="1206"/>
      <c r="F5" s="1206"/>
      <c r="G5" s="1206"/>
      <c r="H5" s="1206"/>
      <c r="I5" s="1206"/>
      <c r="J5" s="1206"/>
    </row>
    <row r="6" spans="1:10" ht="18" customHeight="1" thickBot="1">
      <c r="A6" s="1271" t="s">
        <v>284</v>
      </c>
      <c r="B6" s="960"/>
      <c r="C6" s="960"/>
      <c r="D6" s="960"/>
      <c r="E6" s="960"/>
      <c r="F6" s="960"/>
      <c r="G6" s="960"/>
      <c r="H6" s="960"/>
      <c r="I6" s="960"/>
      <c r="J6" s="960"/>
    </row>
    <row r="7" spans="1:59" s="107" customFormat="1" ht="24" customHeight="1" thickBot="1">
      <c r="A7" s="1304" t="s">
        <v>3505</v>
      </c>
      <c r="B7" s="1305"/>
      <c r="C7" s="1305"/>
      <c r="D7" s="161"/>
      <c r="E7" s="162"/>
      <c r="F7" s="1297" t="s">
        <v>85</v>
      </c>
      <c r="G7" s="1298"/>
      <c r="H7" s="1298"/>
      <c r="I7" s="1298"/>
      <c r="J7" s="16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59" s="107" customFormat="1" ht="9.95" customHeight="1" thickBot="1">
      <c r="A8" s="1271"/>
      <c r="B8" s="1272"/>
      <c r="C8" s="1272"/>
      <c r="D8" s="1272"/>
      <c r="E8" s="1272"/>
      <c r="F8" s="1272"/>
      <c r="G8" s="1272"/>
      <c r="H8" s="1272"/>
      <c r="I8" s="1272"/>
      <c r="J8" s="127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 spans="1:10" ht="12" customHeight="1">
      <c r="A9" s="1237"/>
      <c r="B9" s="877"/>
      <c r="C9" s="877"/>
      <c r="D9" s="877"/>
      <c r="E9" s="877"/>
      <c r="F9" s="1299"/>
      <c r="G9" s="986" t="s">
        <v>147</v>
      </c>
      <c r="H9" s="1293"/>
      <c r="I9" s="986" t="s">
        <v>155</v>
      </c>
      <c r="J9" s="1294"/>
    </row>
    <row r="10" spans="1:10" ht="21" customHeight="1">
      <c r="A10" s="17">
        <v>201.0</v>
      </c>
      <c r="B10" s="1282" t="s">
        <v>3818</v>
      </c>
      <c r="C10" s="1282"/>
      <c r="D10" s="1282"/>
      <c r="E10" s="1282"/>
      <c r="F10" s="1283"/>
      <c r="G10" s="1286">
        <v>0.0</v>
      </c>
      <c r="H10" s="1287"/>
      <c r="I10" s="1273"/>
      <c r="J10" s="1274"/>
    </row>
    <row r="11" spans="1:10" ht="21" customHeight="1">
      <c r="A11" s="17" t="s">
        <v>83</v>
      </c>
      <c r="B11" s="1282" t="s">
        <v>3506</v>
      </c>
      <c r="C11" s="1282"/>
      <c r="D11" s="1282"/>
      <c r="E11" s="1282"/>
      <c r="F11" s="1283"/>
      <c r="G11" s="1286">
        <f>+G10</f>
        <v>0.0</v>
      </c>
      <c r="H11" s="1287"/>
      <c r="I11" s="1273"/>
      <c r="J11" s="1274"/>
    </row>
    <row r="12" spans="1:10" ht="21" customHeight="1">
      <c r="A12" s="17">
        <v>202.0</v>
      </c>
      <c r="B12" s="1282" t="s">
        <v>259</v>
      </c>
      <c r="C12" s="1282"/>
      <c r="D12" s="1282"/>
      <c r="E12" s="1282"/>
      <c r="F12" s="1283"/>
      <c r="G12" s="1286">
        <f>+MIN(600000,ROUND(G10*0.3,0))</f>
        <v>0.0</v>
      </c>
      <c r="H12" s="1287"/>
      <c r="I12" s="1273"/>
      <c r="J12" s="1274"/>
    </row>
    <row r="13" spans="1:10" ht="27.95" customHeight="1">
      <c r="A13" s="17">
        <v>203.0</v>
      </c>
      <c r="B13" s="1284" t="s">
        <v>86</v>
      </c>
      <c r="C13" s="1284"/>
      <c r="D13" s="1284"/>
      <c r="E13" s="1284"/>
      <c r="F13" s="1285"/>
      <c r="G13" s="882">
        <f>+G10-G12</f>
        <v>0.0</v>
      </c>
      <c r="H13" s="1306"/>
      <c r="I13" s="1273"/>
      <c r="J13" s="1274"/>
    </row>
    <row r="14" spans="1:10" ht="36" customHeight="1">
      <c r="A14" s="17">
        <v>204.0</v>
      </c>
      <c r="B14" s="1284" t="s">
        <v>3612</v>
      </c>
      <c r="C14" s="1284"/>
      <c r="D14" s="1284"/>
      <c r="E14" s="1284"/>
      <c r="F14" s="1285"/>
      <c r="G14" s="1286">
        <v>0.0</v>
      </c>
      <c r="H14" s="1287"/>
      <c r="I14" s="1273"/>
      <c r="J14" s="1274"/>
    </row>
    <row r="15" spans="1:10" ht="36" customHeight="1">
      <c r="A15" s="17">
        <v>205.0</v>
      </c>
      <c r="B15" s="1284" t="s">
        <v>3613</v>
      </c>
      <c r="C15" s="1284"/>
      <c r="D15" s="1284"/>
      <c r="E15" s="1284"/>
      <c r="F15" s="1285"/>
      <c r="G15" s="1286">
        <v>0.0</v>
      </c>
      <c r="H15" s="1287"/>
      <c r="I15" s="1273"/>
      <c r="J15" s="1274"/>
    </row>
    <row r="16" spans="1:10" ht="27.95" customHeight="1" thickBot="1">
      <c r="A16" s="16">
        <v>206.0</v>
      </c>
      <c r="B16" s="870" t="s">
        <v>3764</v>
      </c>
      <c r="C16" s="870"/>
      <c r="D16" s="870"/>
      <c r="E16" s="870"/>
      <c r="F16" s="1307"/>
      <c r="G16" s="879">
        <f>+G13+G14-G15</f>
        <v>0.0</v>
      </c>
      <c r="H16" s="1300"/>
      <c r="I16" s="1301"/>
      <c r="J16" s="913"/>
    </row>
    <row r="17" spans="1:10" ht="8.1" customHeight="1" thickBot="1">
      <c r="A17" s="1104"/>
      <c r="B17" s="1206"/>
      <c r="C17" s="1206"/>
      <c r="D17" s="1206"/>
      <c r="E17" s="1206"/>
      <c r="F17" s="1206"/>
      <c r="G17" s="1206"/>
      <c r="H17" s="1206"/>
      <c r="I17" s="1206"/>
      <c r="J17" s="1206"/>
    </row>
    <row r="18" spans="1:10" ht="24" customHeight="1" thickBot="1">
      <c r="A18" s="1275" t="s">
        <v>280</v>
      </c>
      <c r="B18" s="1276"/>
      <c r="C18" s="1278">
        <v>0.0</v>
      </c>
      <c r="D18" s="1279"/>
      <c r="E18" s="1280"/>
      <c r="F18" s="1277" t="s">
        <v>281</v>
      </c>
      <c r="G18" s="1276"/>
      <c r="H18" s="1278">
        <v>0.0</v>
      </c>
      <c r="I18" s="1279"/>
      <c r="J18" s="1281"/>
    </row>
    <row r="19" spans="1:10" ht="12" customHeight="1">
      <c r="A19" s="1104"/>
      <c r="B19" s="1206"/>
      <c r="C19" s="1206"/>
      <c r="D19" s="1206"/>
      <c r="E19" s="1206"/>
      <c r="F19" s="1206"/>
      <c r="G19" s="1206"/>
      <c r="H19" s="1206"/>
      <c r="I19" s="1206"/>
      <c r="J19" s="1206"/>
    </row>
    <row r="20" spans="1:10" ht="15.95" customHeight="1">
      <c r="A20" s="1104" t="s">
        <v>3507</v>
      </c>
      <c r="B20" s="1206"/>
      <c r="C20" s="1206"/>
      <c r="D20" s="1206"/>
      <c r="E20" s="1206"/>
      <c r="F20" s="1206"/>
      <c r="G20" s="1206"/>
      <c r="H20" s="1206"/>
      <c r="I20" s="1206"/>
      <c r="J20" s="1206"/>
    </row>
    <row r="21" spans="1:10" ht="15.95" customHeight="1" thickBot="1">
      <c r="A21" s="1271" t="s">
        <v>260</v>
      </c>
      <c r="B21" s="960"/>
      <c r="C21" s="960"/>
      <c r="D21" s="960"/>
      <c r="E21" s="960"/>
      <c r="F21" s="960"/>
      <c r="G21" s="960"/>
      <c r="H21" s="960"/>
      <c r="I21" s="960"/>
      <c r="J21" s="960"/>
    </row>
    <row r="22" spans="1:10" ht="24" customHeight="1">
      <c r="A22" s="1321" t="s">
        <v>150</v>
      </c>
      <c r="B22" s="838"/>
      <c r="C22" s="1238"/>
      <c r="D22" s="1208" t="s">
        <v>144</v>
      </c>
      <c r="E22" s="1310"/>
      <c r="F22" s="1208" t="s">
        <v>145</v>
      </c>
      <c r="G22" s="1310"/>
      <c r="H22" s="1314" t="s">
        <v>3508</v>
      </c>
      <c r="I22" s="977"/>
      <c r="J22" s="119" t="s">
        <v>94</v>
      </c>
    </row>
    <row r="23" spans="1:10" ht="12.75">
      <c r="A23" s="1322">
        <v>1.0</v>
      </c>
      <c r="B23" s="794"/>
      <c r="C23" s="886"/>
      <c r="D23" s="945">
        <v>2.0</v>
      </c>
      <c r="E23" s="1311"/>
      <c r="F23" s="945">
        <v>3.0</v>
      </c>
      <c r="G23" s="1311"/>
      <c r="H23" s="945">
        <v>4.0</v>
      </c>
      <c r="I23" s="1315"/>
      <c r="J23" s="7">
        <v>5.0</v>
      </c>
    </row>
    <row r="24" spans="1:10" ht="21" customHeight="1">
      <c r="A24" s="17">
        <v>1.0</v>
      </c>
      <c r="B24" s="1325"/>
      <c r="C24" s="806"/>
      <c r="D24" s="1308">
        <v>0.0</v>
      </c>
      <c r="E24" s="1309"/>
      <c r="F24" s="1308">
        <v>0.0</v>
      </c>
      <c r="G24" s="1309"/>
      <c r="H24" s="1312">
        <f>+D24-F24</f>
        <v>0.0</v>
      </c>
      <c r="I24" s="1313"/>
      <c r="J24" s="100"/>
    </row>
    <row r="25" spans="1:10" ht="21" customHeight="1">
      <c r="A25" s="17">
        <v>2.0</v>
      </c>
      <c r="B25" s="1325"/>
      <c r="C25" s="806"/>
      <c r="D25" s="1308">
        <v>0.0</v>
      </c>
      <c r="E25" s="1309"/>
      <c r="F25" s="1308">
        <v>0.0</v>
      </c>
      <c r="G25" s="1309"/>
      <c r="H25" s="1312">
        <f t="shared" si="0" ref="H25:H27">+D25-F25</f>
        <v>0.0</v>
      </c>
      <c r="I25" s="1313"/>
      <c r="J25" s="100"/>
    </row>
    <row r="26" spans="1:10" ht="21" customHeight="1">
      <c r="A26" s="17">
        <v>3.0</v>
      </c>
      <c r="B26" s="1325"/>
      <c r="C26" s="806"/>
      <c r="D26" s="1308">
        <v>0.0</v>
      </c>
      <c r="E26" s="1309"/>
      <c r="F26" s="1308">
        <v>0.0</v>
      </c>
      <c r="G26" s="1309"/>
      <c r="H26" s="1312">
        <f t="shared" si="0"/>
        <v>0.0</v>
      </c>
      <c r="I26" s="1313"/>
      <c r="J26" s="100"/>
    </row>
    <row r="27" spans="1:10" ht="21" customHeight="1">
      <c r="A27" s="17">
        <v>4.0</v>
      </c>
      <c r="B27" s="1325"/>
      <c r="C27" s="806"/>
      <c r="D27" s="1308">
        <v>0.0</v>
      </c>
      <c r="E27" s="1309"/>
      <c r="F27" s="1308">
        <v>0.0</v>
      </c>
      <c r="G27" s="1309"/>
      <c r="H27" s="1312">
        <f t="shared" si="0"/>
        <v>0.0</v>
      </c>
      <c r="I27" s="1313"/>
      <c r="J27" s="100"/>
    </row>
    <row r="28" spans="1:10" ht="21" customHeight="1" thickBot="1">
      <c r="A28" s="1323" t="s">
        <v>112</v>
      </c>
      <c r="B28" s="1324"/>
      <c r="C28" s="907"/>
      <c r="D28" s="1316">
        <f>SUM(D24:D27)</f>
        <v>0.0</v>
      </c>
      <c r="E28" s="1317"/>
      <c r="F28" s="1316">
        <f>SUM(F24:F27)</f>
        <v>0.0</v>
      </c>
      <c r="G28" s="1317"/>
      <c r="H28" s="1316">
        <f>+MAX(H24,0)+MAX(H25,0)+MAX(H26,0)+MAX(H27,0)</f>
        <v>0.0</v>
      </c>
      <c r="I28" s="1317"/>
      <c r="J28" s="18" t="s">
        <v>140</v>
      </c>
    </row>
    <row r="29" spans="1:10" ht="5.1" customHeight="1" thickBot="1">
      <c r="A29" s="1326"/>
      <c r="B29" s="716"/>
      <c r="C29" s="716"/>
      <c r="D29" s="716"/>
      <c r="E29" s="716"/>
      <c r="F29" s="716"/>
      <c r="G29" s="716"/>
      <c r="H29" s="716"/>
      <c r="I29" s="716"/>
      <c r="J29" s="716"/>
    </row>
    <row r="30" spans="1:10" ht="24" customHeight="1" thickBot="1">
      <c r="A30" s="817" t="s">
        <v>84</v>
      </c>
      <c r="B30" s="1327"/>
      <c r="C30" s="1328"/>
      <c r="D30" s="1329"/>
      <c r="E30" s="1330"/>
      <c r="F30" s="1331"/>
      <c r="G30" s="1331"/>
      <c r="H30" s="1331"/>
      <c r="I30" s="1331"/>
      <c r="J30" s="1331"/>
    </row>
    <row r="31" spans="1:10" ht="5.1" customHeight="1" thickBot="1">
      <c r="A31" s="1319"/>
      <c r="B31" s="732"/>
      <c r="C31" s="732"/>
      <c r="D31" s="732"/>
      <c r="E31" s="732"/>
      <c r="F31" s="732"/>
      <c r="G31" s="732"/>
      <c r="H31" s="732"/>
      <c r="I31" s="732"/>
      <c r="J31" s="732"/>
    </row>
    <row r="32" spans="1:10" ht="15.95" customHeight="1">
      <c r="A32" s="1237"/>
      <c r="B32" s="877"/>
      <c r="C32" s="877"/>
      <c r="D32" s="877"/>
      <c r="E32" s="877"/>
      <c r="F32" s="1299"/>
      <c r="G32" s="986" t="s">
        <v>147</v>
      </c>
      <c r="H32" s="1293"/>
      <c r="I32" s="986" t="s">
        <v>155</v>
      </c>
      <c r="J32" s="1294"/>
    </row>
    <row r="33" spans="1:10" ht="21" customHeight="1">
      <c r="A33" s="17">
        <v>207.0</v>
      </c>
      <c r="B33" s="885" t="s">
        <v>7</v>
      </c>
      <c r="C33" s="885"/>
      <c r="D33" s="885"/>
      <c r="E33" s="885"/>
      <c r="F33" s="979"/>
      <c r="G33" s="848">
        <f>+SUM(D24:E27)</f>
        <v>0.0</v>
      </c>
      <c r="H33" s="850"/>
      <c r="I33" s="1303"/>
      <c r="J33" s="816"/>
    </row>
    <row r="34" spans="1:10" ht="21" customHeight="1">
      <c r="A34" s="17">
        <v>208.0</v>
      </c>
      <c r="B34" s="885" t="s">
        <v>3509</v>
      </c>
      <c r="C34" s="885"/>
      <c r="D34" s="885"/>
      <c r="E34" s="885"/>
      <c r="F34" s="979"/>
      <c r="G34" s="848">
        <f>+G33-H28</f>
        <v>0.0</v>
      </c>
      <c r="H34" s="850"/>
      <c r="I34" s="1303"/>
      <c r="J34" s="816"/>
    </row>
    <row r="35" spans="1:10" ht="21" customHeight="1" thickBot="1">
      <c r="A35" s="16">
        <v>209.0</v>
      </c>
      <c r="B35" s="1320" t="s">
        <v>115</v>
      </c>
      <c r="C35" s="1320"/>
      <c r="D35" s="1320"/>
      <c r="E35" s="1320"/>
      <c r="F35" s="1004"/>
      <c r="G35" s="879">
        <f>+G33-G34</f>
        <v>0.0</v>
      </c>
      <c r="H35" s="881"/>
      <c r="I35" s="1318"/>
      <c r="J35" s="913"/>
    </row>
    <row r="36" spans="1:10" ht="10.5" customHeight="1">
      <c r="A36" s="1290" t="s">
        <v>87</v>
      </c>
      <c r="B36" s="1207"/>
      <c r="C36" s="1207"/>
      <c r="D36" s="1207"/>
      <c r="E36" s="1207"/>
      <c r="F36" s="1207"/>
      <c r="G36" s="1207"/>
      <c r="H36" s="1207"/>
      <c r="I36" s="1207"/>
      <c r="J36" s="1207"/>
    </row>
    <row r="37" spans="1:10" ht="30" customHeight="1">
      <c r="A37" s="1291" t="s">
        <v>3510</v>
      </c>
      <c r="B37" s="1292"/>
      <c r="C37" s="1292"/>
      <c r="D37" s="1292"/>
      <c r="E37" s="1292"/>
      <c r="F37" s="1292"/>
      <c r="G37" s="1292"/>
      <c r="H37" s="1292"/>
      <c r="I37" s="1292"/>
      <c r="J37" s="1292"/>
    </row>
    <row r="38" spans="1:10" ht="12.75" customHeight="1">
      <c r="A38" s="1295" t="str">
        <f>+'DAP1'!A46</f>
        <v>Formulář zpracovala ASPEKT HM, daňová, účetní a auditorská kancelář, www.danovapriznani.cz, business.center.cz</v>
      </c>
      <c r="B38" s="1296"/>
      <c r="C38" s="1296"/>
      <c r="D38" s="1296"/>
      <c r="E38" s="1296"/>
      <c r="F38" s="1296"/>
      <c r="G38" s="1296"/>
      <c r="H38" s="1296"/>
      <c r="I38" s="1296"/>
      <c r="J38" s="1296"/>
    </row>
    <row r="39" spans="1:10" ht="12.75" customHeight="1">
      <c r="A39" s="1134" t="s">
        <v>3932</v>
      </c>
      <c r="B39" s="1134"/>
      <c r="C39" s="1134"/>
      <c r="D39" s="1134"/>
      <c r="E39" s="1134"/>
      <c r="F39" s="1134"/>
      <c r="G39" s="1134"/>
      <c r="H39" s="1134"/>
      <c r="I39" s="1134"/>
      <c r="J39" s="1134"/>
    </row>
    <row r="40" spans="1:10" ht="12" customHeight="1">
      <c r="A40" s="1132" t="s">
        <v>297</v>
      </c>
      <c r="B40" s="1132"/>
      <c r="C40" s="1132"/>
      <c r="D40" s="1132"/>
      <c r="E40" s="1132"/>
      <c r="F40" s="1132"/>
      <c r="G40" s="1132"/>
      <c r="H40" s="676"/>
      <c r="I40" s="676"/>
      <c r="J40" s="676"/>
    </row>
    <row r="41" spans="1:10" ht="12.75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12.7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2.7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2.7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ht="12.75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ht="12.75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 ht="12.75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ht="12.75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2.7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ht="12.7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ht="12.7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12.75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ht="12.75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12.7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2.75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ht="12.75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12.7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ht="12.7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ht="12.75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ht="12.7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ht="12.75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12.7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ht="12.75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ht="12.75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ht="12.75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ht="12.75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2.7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ht="12.7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ht="12.7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2.7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2.7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12.7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ht="12.7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ht="12.7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ht="12.75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2.75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12.75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12.75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ht="12.75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ht="12.7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ht="12.7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12.75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ht="12.75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ht="12.7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ht="12.75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ht="12.75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ht="12.75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ht="12.75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ht="12.7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12.75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12.75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12.7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2.7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2.75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2.75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2.75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2.75">
      <c r="A97" s="75"/>
      <c r="B97" s="75"/>
      <c r="C97" s="75"/>
      <c r="D97" s="75"/>
      <c r="E97" s="75"/>
      <c r="F97" s="75"/>
      <c r="G97" s="75"/>
      <c r="H97" s="75"/>
      <c r="I97" s="75"/>
      <c r="J97" s="75"/>
    </row>
    <row r="98" spans="1:10" ht="12.75">
      <c r="A98" s="75"/>
      <c r="B98" s="75"/>
      <c r="C98" s="75"/>
      <c r="D98" s="75"/>
      <c r="E98" s="75"/>
      <c r="F98" s="75"/>
      <c r="G98" s="75"/>
      <c r="H98" s="75"/>
      <c r="I98" s="75"/>
      <c r="J98" s="75"/>
    </row>
    <row r="99" spans="1:10" ht="12.75">
      <c r="A99" s="75"/>
      <c r="B99" s="75"/>
      <c r="C99" s="75"/>
      <c r="D99" s="75"/>
      <c r="E99" s="75"/>
      <c r="F99" s="75"/>
      <c r="G99" s="75"/>
      <c r="H99" s="75"/>
      <c r="I99" s="75"/>
      <c r="J99" s="75"/>
    </row>
    <row r="100" spans="1:10" ht="12.75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ht="12.75">
      <c r="A101" s="75"/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12.75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 ht="12.75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ht="12.75">
      <c r="A104" s="75"/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1:10" ht="12.75">
      <c r="A105" s="75"/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ht="12.75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ht="12.75">
      <c r="A107" s="75"/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1:10" ht="12.75">
      <c r="A108" s="75"/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 ht="12.75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 ht="12.75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ht="12.75">
      <c r="A111" s="75"/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12.75">
      <c r="A112" s="75"/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ht="12.75">
      <c r="A113" s="75"/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ht="12.75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ht="12.75">
      <c r="A115" s="75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0" ht="12.75">
      <c r="A116" s="75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0" ht="12.75">
      <c r="A117" s="75"/>
      <c r="B117" s="75"/>
      <c r="C117" s="75"/>
      <c r="D117" s="75"/>
      <c r="E117" s="75"/>
      <c r="F117" s="75"/>
      <c r="G117" s="75"/>
      <c r="H117" s="75"/>
      <c r="I117" s="75"/>
      <c r="J117" s="75"/>
    </row>
    <row r="118" spans="1:10" ht="12.75">
      <c r="A118" s="75"/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1:10" ht="12.75">
      <c r="A119" s="75"/>
      <c r="B119" s="75"/>
      <c r="C119" s="75"/>
      <c r="D119" s="75"/>
      <c r="E119" s="75"/>
      <c r="F119" s="75"/>
      <c r="G119" s="75"/>
      <c r="H119" s="75"/>
      <c r="I119" s="75"/>
      <c r="J119" s="75"/>
    </row>
    <row r="120" spans="1:10" ht="12.75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ht="12.75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12.75">
      <c r="A122" s="75"/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 ht="12.75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0" ht="12.75">
      <c r="A124" s="75"/>
      <c r="B124" s="75"/>
      <c r="C124" s="75"/>
      <c r="D124" s="75"/>
      <c r="E124" s="75"/>
      <c r="F124" s="75"/>
      <c r="G124" s="75"/>
      <c r="H124" s="75"/>
      <c r="I124" s="75"/>
      <c r="J124" s="75"/>
    </row>
    <row r="125" spans="1:10" ht="12.75">
      <c r="A125" s="75"/>
      <c r="B125" s="75"/>
      <c r="C125" s="75"/>
      <c r="D125" s="75"/>
      <c r="E125" s="75"/>
      <c r="F125" s="75"/>
      <c r="G125" s="75"/>
      <c r="H125" s="75"/>
      <c r="I125" s="75"/>
      <c r="J125" s="75"/>
    </row>
    <row r="126" spans="1:10" ht="12.75">
      <c r="A126" s="75"/>
      <c r="B126" s="75"/>
      <c r="C126" s="75"/>
      <c r="D126" s="75"/>
      <c r="E126" s="75"/>
      <c r="F126" s="75"/>
      <c r="G126" s="75"/>
      <c r="H126" s="75"/>
      <c r="I126" s="75"/>
      <c r="J126" s="75"/>
    </row>
    <row r="127" spans="1:10" ht="12.75">
      <c r="A127" s="75"/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1:10" ht="12.75">
      <c r="A128" s="75"/>
      <c r="B128" s="75"/>
      <c r="C128" s="75"/>
      <c r="D128" s="75"/>
      <c r="E128" s="75"/>
      <c r="F128" s="75"/>
      <c r="G128" s="75"/>
      <c r="H128" s="75"/>
      <c r="I128" s="75"/>
      <c r="J128" s="75"/>
    </row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/>
    <row r="202" s="75" customFormat="1" ht="12.75"/>
    <row r="203" s="75" customFormat="1" ht="12.75"/>
    <row r="204" s="75" customFormat="1" ht="12.75"/>
    <row r="205" s="75" customFormat="1" ht="12.75"/>
    <row r="206" s="75" customFormat="1" ht="12.75"/>
    <row r="207" s="75" customFormat="1" ht="12.75"/>
    <row r="208" s="75" customFormat="1" ht="12.75"/>
    <row r="209" s="75" customFormat="1" ht="12.75"/>
    <row r="210" s="75" customFormat="1" ht="12.75"/>
    <row r="211" s="75" customFormat="1" ht="12.75"/>
    <row r="212" s="75" customFormat="1" ht="12.75"/>
    <row r="213" s="75" customFormat="1" ht="12.75"/>
    <row r="214" s="75" customFormat="1" ht="12.75"/>
    <row r="215" s="75" customFormat="1" ht="12.75"/>
    <row r="216" s="75" customFormat="1" ht="12.75"/>
    <row r="217" s="75" customFormat="1" ht="12.75"/>
    <row r="218" s="75" customFormat="1" ht="12.75"/>
    <row r="219" s="75" customFormat="1" ht="12.75"/>
    <row r="220" s="75" customFormat="1" ht="12.75"/>
    <row r="221" s="75" customFormat="1" ht="12.75"/>
    <row r="222" s="75" customFormat="1" ht="12.75"/>
    <row r="223" s="75" customFormat="1" ht="12.75"/>
  </sheetData>
  <sheetProtection algorithmName="SHA-512" hashValue="1K8IgB4R22dJkStWZRn6FcuX+cA2MYjR7AxfExa3psh0TdPlgnCJF50Ma9S1K6w4rVcnp04mtFg7UnDB055LxA==" saltValue="IHL7xZEH8y1ratInjAznZw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10" sqref="F10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5"/>
    <col min="9" max="9" width="35.714285714285715" style="75" customWidth="1"/>
    <col min="10" max="10" width="4.142857142857143" style="75" customWidth="1"/>
    <col min="11" max="60" width="9.142857142857142" style="75"/>
  </cols>
  <sheetData>
    <row r="1" spans="1:58" s="107" customFormat="1" ht="16.5" thickBot="1">
      <c r="A1" s="1202" t="s">
        <v>93</v>
      </c>
      <c r="B1" s="676"/>
      <c r="C1" s="676"/>
      <c r="D1" s="1302" t="s">
        <v>37</v>
      </c>
      <c r="E1" s="755"/>
      <c r="F1" s="1078"/>
      <c r="G1" s="171" t="str">
        <f>+'2Př'!I1</f>
        <v/>
      </c>
      <c r="H1" s="75"/>
      <c r="I1" s="106"/>
      <c r="J1" s="10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10" ht="24" customHeight="1" thickBot="1">
      <c r="A2" s="1201" t="s">
        <v>3933</v>
      </c>
      <c r="B2" s="1201"/>
      <c r="C2" s="1201"/>
      <c r="D2" s="1201"/>
      <c r="E2" s="1201"/>
      <c r="F2" s="1201"/>
      <c r="G2" s="115"/>
      <c r="I2" s="649" t="s">
        <v>3981</v>
      </c>
      <c r="J2" s="650"/>
    </row>
    <row r="3" spans="1:7" ht="36" customHeight="1">
      <c r="A3" s="1192" t="s">
        <v>169</v>
      </c>
      <c r="B3" s="703"/>
      <c r="C3" s="703"/>
      <c r="D3" s="703"/>
      <c r="E3" s="703"/>
      <c r="F3" s="703"/>
      <c r="G3" s="703"/>
    </row>
    <row r="4" spans="1:60" s="107" customFormat="1" ht="24" customHeight="1">
      <c r="A4" s="1348" t="s">
        <v>3511</v>
      </c>
      <c r="B4" s="1289"/>
      <c r="C4" s="1289"/>
      <c r="D4" s="1289"/>
      <c r="E4" s="1289"/>
      <c r="F4" s="1289"/>
      <c r="G4" s="1289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24" customHeight="1" thickBot="1">
      <c r="A5" s="1332" t="s">
        <v>3820</v>
      </c>
      <c r="B5" s="1167"/>
      <c r="C5" s="1167"/>
      <c r="D5" s="1167"/>
      <c r="E5" s="1167"/>
      <c r="F5" s="1167"/>
      <c r="G5" s="1167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42"/>
      <c r="B6" s="716"/>
      <c r="C6" s="716"/>
      <c r="D6" s="716"/>
      <c r="E6" s="716"/>
      <c r="F6" s="873" t="s">
        <v>258</v>
      </c>
      <c r="G6" s="1345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15" customHeight="1">
      <c r="A7" s="1343"/>
      <c r="B7" s="1344"/>
      <c r="C7" s="1344"/>
      <c r="D7" s="1344"/>
      <c r="E7" s="1344"/>
      <c r="F7" s="549" t="s">
        <v>147</v>
      </c>
      <c r="G7" s="548" t="s">
        <v>155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24" customHeight="1">
      <c r="A8" s="42">
        <v>311.0</v>
      </c>
      <c r="B8" s="1333" t="s">
        <v>3821</v>
      </c>
      <c r="C8" s="1333"/>
      <c r="D8" s="1333"/>
      <c r="E8" s="1334"/>
      <c r="F8" s="550">
        <f>+IF(EXACT(J2,"X"),'DAP2'!E7-'DAP2'!E8,0)</f>
        <v>0.0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4" customHeight="1">
      <c r="A9" s="42">
        <v>312.0</v>
      </c>
      <c r="B9" s="1333" t="s">
        <v>3822</v>
      </c>
      <c r="C9" s="1333"/>
      <c r="D9" s="1333"/>
      <c r="E9" s="1334"/>
      <c r="F9" s="550">
        <f>+IF(EXACT(J2,"X"),+'DAP2'!E11+'DAP2'!E12+'DAP2'!E13+'DAP2'!E14,0)</f>
        <v>0.0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4" customHeight="1">
      <c r="A10" s="42">
        <v>313.0</v>
      </c>
      <c r="B10" s="1333" t="s">
        <v>3823</v>
      </c>
      <c r="C10" s="1333"/>
      <c r="D10" s="1333"/>
      <c r="E10" s="1334"/>
      <c r="F10" s="551">
        <f>+F8+MAX(F9,0)</f>
        <v>0.0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33.95" customHeight="1">
      <c r="A11" s="42">
        <v>314.0</v>
      </c>
      <c r="B11" s="1333" t="s">
        <v>3828</v>
      </c>
      <c r="C11" s="1333"/>
      <c r="D11" s="1333"/>
      <c r="E11" s="1334"/>
      <c r="F11" s="551">
        <f>IF(F10=0,0,FLOOR(+F10-'DAP2'!E18-'DAP2'!F31,100))</f>
        <v>0.0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4" customHeight="1" thickBot="1">
      <c r="A12" s="42">
        <v>315.0</v>
      </c>
      <c r="B12" s="1333" t="s">
        <v>3824</v>
      </c>
      <c r="C12" s="1333"/>
      <c r="D12" s="1333"/>
      <c r="E12" s="1334"/>
      <c r="F12" s="552">
        <f>ROUND(IF(F11=0,0,+'DAP2'!F34/'DAP2'!F33),4)</f>
        <v>0.0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24" customHeight="1" thickBot="1">
      <c r="A13" s="82">
        <v>316.0</v>
      </c>
      <c r="B13" s="1346" t="s">
        <v>3825</v>
      </c>
      <c r="C13" s="1346"/>
      <c r="D13" s="1346"/>
      <c r="E13" s="1347"/>
      <c r="F13" s="276">
        <f>+F11*F12</f>
        <v>0.0</v>
      </c>
      <c r="G13" s="8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15" customHeight="1">
      <c r="A14" s="1332"/>
      <c r="B14" s="1167"/>
      <c r="C14" s="1167"/>
      <c r="D14" s="1167"/>
      <c r="E14" s="1167"/>
      <c r="F14" s="1167"/>
      <c r="G14" s="1167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7" ht="24" customHeight="1">
      <c r="A15" s="1332" t="s">
        <v>3819</v>
      </c>
      <c r="B15" s="1167"/>
      <c r="C15" s="1167"/>
      <c r="D15" s="1167"/>
      <c r="E15" s="1167"/>
      <c r="F15" s="1167"/>
      <c r="G15" s="1167"/>
    </row>
    <row r="16" spans="1:7" ht="36" customHeight="1">
      <c r="A16" s="1338" t="s">
        <v>3512</v>
      </c>
      <c r="B16" s="718"/>
      <c r="C16" s="718"/>
      <c r="D16" s="718"/>
      <c r="E16" s="718"/>
      <c r="F16" s="718"/>
      <c r="G16" s="718"/>
    </row>
    <row r="17" spans="1:7" ht="15" customHeight="1">
      <c r="A17" s="1338" t="s">
        <v>250</v>
      </c>
      <c r="B17" s="1078"/>
      <c r="C17" s="143"/>
      <c r="D17" s="1339"/>
      <c r="E17" s="718"/>
      <c r="F17" s="718"/>
      <c r="G17" s="718"/>
    </row>
    <row r="18" spans="1:7" ht="8.1" customHeight="1" thickBot="1">
      <c r="A18" s="1340"/>
      <c r="B18" s="1341"/>
      <c r="C18" s="1341"/>
      <c r="D18" s="1341"/>
      <c r="E18" s="1341"/>
      <c r="F18" s="1341"/>
      <c r="G18" s="1341"/>
    </row>
    <row r="19" spans="1:60" s="107" customFormat="1" ht="15" customHeight="1">
      <c r="A19" s="1335"/>
      <c r="B19" s="1336"/>
      <c r="C19" s="1336"/>
      <c r="D19" s="1336"/>
      <c r="E19" s="1337"/>
      <c r="F19" s="547" t="s">
        <v>147</v>
      </c>
      <c r="G19" s="548" t="s">
        <v>155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7" ht="24" customHeight="1">
      <c r="A20" s="42">
        <v>321.0</v>
      </c>
      <c r="B20" s="1349" t="s">
        <v>251</v>
      </c>
      <c r="C20" s="1349"/>
      <c r="D20" s="1349"/>
      <c r="E20" s="1350"/>
      <c r="F20" s="109">
        <v>0.0</v>
      </c>
      <c r="G20" s="67"/>
    </row>
    <row r="21" spans="1:7" ht="24" customHeight="1">
      <c r="A21" s="42">
        <v>322.0</v>
      </c>
      <c r="B21" s="1349" t="s">
        <v>252</v>
      </c>
      <c r="C21" s="1349"/>
      <c r="D21" s="1349"/>
      <c r="E21" s="1350"/>
      <c r="F21" s="109">
        <v>0.0</v>
      </c>
      <c r="G21" s="67"/>
    </row>
    <row r="22" spans="1:7" ht="24" customHeight="1">
      <c r="A22" s="42">
        <v>323.0</v>
      </c>
      <c r="B22" s="1349" t="s">
        <v>111</v>
      </c>
      <c r="C22" s="1349"/>
      <c r="D22" s="1349"/>
      <c r="E22" s="1350"/>
      <c r="F22" s="109">
        <v>0.0</v>
      </c>
      <c r="G22" s="67"/>
    </row>
    <row r="23" spans="1:7" ht="24" customHeight="1">
      <c r="A23" s="42">
        <v>324.0</v>
      </c>
      <c r="B23" s="1349" t="s">
        <v>3942</v>
      </c>
      <c r="C23" s="1349"/>
      <c r="D23" s="1349"/>
      <c r="E23" s="1350"/>
      <c r="F23" s="263">
        <f>ROUND(+IF(+IF(IF('DAP2'!E16=0,0,(F20-F21)/'DAP2'!E16)&lt;0,0,IF('DAP2'!E16=0,0,(F20-F21)/'DAP2'!E16))&gt;1,1,+IF(IF('DAP2'!E16=0,0,(F20-F21)/'DAP2'!E16)&lt;0,0,IF('DAP2'!E16=0,0,(F20-F21)/'DAP2'!E16))),4)</f>
        <v>0.0</v>
      </c>
      <c r="G23" s="67"/>
    </row>
    <row r="24" spans="1:7" ht="24" customHeight="1">
      <c r="A24" s="42">
        <v>325.0</v>
      </c>
      <c r="B24" s="1349" t="s">
        <v>3826</v>
      </c>
      <c r="C24" s="1349"/>
      <c r="D24" s="1349"/>
      <c r="E24" s="1350"/>
      <c r="F24" s="274">
        <f>ROUND((IF(F13=0,+'DAP2'!F34,F13))*'3Př'!F23,2)</f>
        <v>0.0</v>
      </c>
      <c r="G24" s="67"/>
    </row>
    <row r="25" spans="1:7" ht="24" customHeight="1" thickBot="1">
      <c r="A25" s="44">
        <v>326.0</v>
      </c>
      <c r="B25" s="1353" t="s">
        <v>142</v>
      </c>
      <c r="C25" s="1353"/>
      <c r="D25" s="1353"/>
      <c r="E25" s="1354"/>
      <c r="F25" s="275">
        <f>+MIN(F22,F24)</f>
        <v>0.0</v>
      </c>
      <c r="G25" s="86"/>
    </row>
    <row r="26" spans="1:7" ht="24" customHeight="1" thickBot="1">
      <c r="A26" s="82">
        <v>327.0</v>
      </c>
      <c r="B26" s="1346" t="s">
        <v>143</v>
      </c>
      <c r="C26" s="1346"/>
      <c r="D26" s="1346"/>
      <c r="E26" s="1347"/>
      <c r="F26" s="276">
        <f>+F22-F25</f>
        <v>0.0</v>
      </c>
      <c r="G26" s="87"/>
    </row>
    <row r="27" spans="1:7" ht="24" customHeight="1" thickBot="1">
      <c r="A27" s="82">
        <v>328.0</v>
      </c>
      <c r="B27" s="1346" t="s">
        <v>3513</v>
      </c>
      <c r="C27" s="1346"/>
      <c r="D27" s="1346"/>
      <c r="E27" s="1347"/>
      <c r="F27" s="277">
        <f>+F25+'3Př_a'!F17</f>
        <v>0.0</v>
      </c>
      <c r="G27" s="87"/>
    </row>
    <row r="28" spans="1:7" ht="24" customHeight="1" thickBot="1">
      <c r="A28" s="82">
        <v>329.0</v>
      </c>
      <c r="B28" s="1346" t="s">
        <v>3514</v>
      </c>
      <c r="C28" s="1346"/>
      <c r="D28" s="1346"/>
      <c r="E28" s="1347"/>
      <c r="F28" s="277">
        <f>+F26+'3Př_a'!F18</f>
        <v>0.0</v>
      </c>
      <c r="G28" s="87"/>
    </row>
    <row r="29" spans="1:7" ht="12" customHeight="1" thickBot="1">
      <c r="A29" s="1338"/>
      <c r="B29" s="718"/>
      <c r="C29" s="718"/>
      <c r="D29" s="718"/>
      <c r="E29" s="718"/>
      <c r="F29" s="718"/>
      <c r="G29" s="718"/>
    </row>
    <row r="30" spans="1:7" ht="24" customHeight="1" thickBot="1">
      <c r="A30" s="82">
        <v>330.0</v>
      </c>
      <c r="B30" s="1357" t="s">
        <v>3827</v>
      </c>
      <c r="C30" s="1346"/>
      <c r="D30" s="1346"/>
      <c r="E30" s="1347"/>
      <c r="F30" s="276">
        <f>+IF(F20+F8+F9=0,0,IF(OR(F20&gt;0,F13=0),'DAP2'!F34-F27,F13-F27))</f>
        <v>0.0</v>
      </c>
      <c r="G30" s="87"/>
    </row>
    <row r="31" spans="1:7" ht="50.1" customHeight="1">
      <c r="A31" s="894"/>
      <c r="B31" s="716"/>
      <c r="C31" s="716"/>
      <c r="D31" s="716"/>
      <c r="E31" s="716"/>
      <c r="F31" s="716"/>
      <c r="G31" s="716"/>
    </row>
    <row r="32" spans="1:7" ht="15.95" customHeight="1">
      <c r="A32" s="1356" t="str">
        <f>+'DAP1'!A46</f>
        <v>Formulář zpracovala ASPEKT HM, daňová, účetní a auditorská kancelář, www.danovapriznani.cz, business.center.cz</v>
      </c>
      <c r="B32" s="1356"/>
      <c r="C32" s="1356"/>
      <c r="D32" s="1356"/>
      <c r="E32" s="1356"/>
      <c r="F32" s="1356"/>
      <c r="G32" s="1356"/>
    </row>
    <row r="33" spans="1:60" s="164" customFormat="1" ht="12" customHeight="1">
      <c r="A33" s="1355" t="s">
        <v>3934</v>
      </c>
      <c r="B33" s="1355"/>
      <c r="C33" s="1355"/>
      <c r="D33" s="1355"/>
      <c r="E33" s="1355"/>
      <c r="F33" s="1355"/>
      <c r="G33" s="1355"/>
      <c r="H33" s="163"/>
      <c r="I33" s="648"/>
      <c r="J33" s="648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7" ht="12.75">
      <c r="A34" s="1351" t="s">
        <v>297</v>
      </c>
      <c r="B34" s="1351"/>
      <c r="C34" s="1351"/>
      <c r="D34" s="1351"/>
      <c r="E34" s="1352"/>
      <c r="F34" s="1352"/>
      <c r="G34" s="1352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pans="1:7" ht="12.75">
      <c r="A65" s="75"/>
      <c r="B65" s="75"/>
      <c r="C65" s="75"/>
      <c r="D65" s="75"/>
      <c r="E65" s="75"/>
      <c r="F65" s="75"/>
      <c r="G65" s="75"/>
    </row>
    <row r="66" spans="1:7" ht="12.75">
      <c r="A66" s="75"/>
      <c r="B66" s="75"/>
      <c r="C66" s="75"/>
      <c r="D66" s="75"/>
      <c r="E66" s="75"/>
      <c r="F66" s="75"/>
      <c r="G66" s="75"/>
    </row>
    <row r="67" spans="1:7" ht="12.75">
      <c r="A67" s="75"/>
      <c r="B67" s="75"/>
      <c r="C67" s="75"/>
      <c r="D67" s="75"/>
      <c r="E67" s="75"/>
      <c r="F67" s="75"/>
      <c r="G67" s="75"/>
    </row>
    <row r="68" spans="1:7" ht="12.75">
      <c r="A68" s="75"/>
      <c r="B68" s="75"/>
      <c r="C68" s="75"/>
      <c r="D68" s="75"/>
      <c r="E68" s="75"/>
      <c r="F68" s="75"/>
      <c r="G68" s="75"/>
    </row>
    <row r="69" spans="1:7" ht="12.75">
      <c r="A69" s="75"/>
      <c r="B69" s="75"/>
      <c r="C69" s="75"/>
      <c r="D69" s="75"/>
      <c r="E69" s="75"/>
      <c r="F69" s="75"/>
      <c r="G69" s="75"/>
    </row>
    <row r="70" spans="1:7" ht="12.75">
      <c r="A70" s="75"/>
      <c r="B70" s="75"/>
      <c r="C70" s="75"/>
      <c r="D70" s="75"/>
      <c r="E70" s="75"/>
      <c r="F70" s="75"/>
      <c r="G70" s="75"/>
    </row>
    <row r="71" spans="1:7" ht="12.75">
      <c r="A71" s="75"/>
      <c r="B71" s="75"/>
      <c r="C71" s="75"/>
      <c r="D71" s="75"/>
      <c r="E71" s="75"/>
      <c r="F71" s="75"/>
      <c r="G71" s="75"/>
    </row>
    <row r="72" spans="1:7" ht="12.75">
      <c r="A72" s="75"/>
      <c r="B72" s="75"/>
      <c r="C72" s="75"/>
      <c r="D72" s="75"/>
      <c r="E72" s="75"/>
      <c r="F72" s="75"/>
      <c r="G72" s="75"/>
    </row>
    <row r="73" spans="1:7" ht="12.75">
      <c r="A73" s="75"/>
      <c r="B73" s="75"/>
      <c r="C73" s="75"/>
      <c r="D73" s="75"/>
      <c r="E73" s="75"/>
      <c r="F73" s="75"/>
      <c r="G73" s="75"/>
    </row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 thickBot="1"/>
  </sheetData>
  <sheetProtection algorithmName="SHA-512" hashValue="VwUeJH4jHCvu6Wo7nrYBtvJj7ulLRdSGTtES4vUdrw+bLWcgHDdeVZWOWFPt7azKljg+7RDl9QRrqvnP/ZkKGg==" saltValue="q8ghlIz+lndO5AxK1G2Fng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>
    <tabColor rgb="FFFFCCFF"/>
    <pageSetUpPr fitToPage="1"/>
  </sheetPr>
  <dimension ref="A1:BH63"/>
  <sheetViews>
    <sheetView workbookViewId="0" topLeftCell="A1">
      <selection pane="topLeft" activeCell="F7" sqref="F7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5"/>
  </cols>
  <sheetData>
    <row r="1" spans="1:58" s="107" customFormat="1" ht="16.5" thickBot="1">
      <c r="A1" s="1202" t="s">
        <v>3834</v>
      </c>
      <c r="B1" s="676"/>
      <c r="C1" s="676"/>
      <c r="D1" s="1302" t="s">
        <v>37</v>
      </c>
      <c r="E1" s="755"/>
      <c r="F1" s="1078"/>
      <c r="G1" s="171" t="str">
        <f>+'2Př'!I1</f>
        <v/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7" ht="24" customHeight="1">
      <c r="A2" s="1362" t="s">
        <v>3933</v>
      </c>
      <c r="B2" s="1362"/>
      <c r="C2" s="1362"/>
      <c r="D2" s="1362"/>
      <c r="E2" s="1362"/>
      <c r="F2" s="1362"/>
      <c r="G2" s="115"/>
    </row>
    <row r="3" spans="1:7" ht="36" customHeight="1">
      <c r="A3" s="1177" t="s">
        <v>169</v>
      </c>
      <c r="B3" s="1363"/>
      <c r="C3" s="1363"/>
      <c r="D3" s="1363"/>
      <c r="E3" s="1363"/>
      <c r="F3" s="1363"/>
      <c r="G3" s="1363"/>
    </row>
    <row r="4" spans="1:60" s="107" customFormat="1" ht="24" customHeight="1" thickBot="1">
      <c r="A4" s="1348" t="s">
        <v>3835</v>
      </c>
      <c r="B4" s="1289"/>
      <c r="C4" s="1289"/>
      <c r="D4" s="1289"/>
      <c r="E4" s="1289"/>
      <c r="F4" s="1289"/>
      <c r="G4" s="1289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15" customHeight="1">
      <c r="A5" s="1342"/>
      <c r="B5" s="716"/>
      <c r="C5" s="716"/>
      <c r="D5" s="716"/>
      <c r="E5" s="716"/>
      <c r="F5" s="873" t="s">
        <v>258</v>
      </c>
      <c r="G5" s="1345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43"/>
      <c r="B6" s="1344"/>
      <c r="C6" s="1344"/>
      <c r="D6" s="1344"/>
      <c r="E6" s="1344"/>
      <c r="F6" s="549" t="s">
        <v>147</v>
      </c>
      <c r="G6" s="548" t="s">
        <v>155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48" customHeight="1">
      <c r="A7" s="42">
        <v>401.0</v>
      </c>
      <c r="B7" s="1333" t="s">
        <v>3837</v>
      </c>
      <c r="C7" s="1333"/>
      <c r="D7" s="1333"/>
      <c r="E7" s="1334"/>
      <c r="F7" s="550">
        <v>0.0</v>
      </c>
      <c r="G7" s="67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27.95" customHeight="1">
      <c r="A8" s="42">
        <v>402.0</v>
      </c>
      <c r="B8" s="1333" t="s">
        <v>3838</v>
      </c>
      <c r="C8" s="1333"/>
      <c r="D8" s="1333"/>
      <c r="E8" s="1334"/>
      <c r="F8" s="550">
        <v>0.0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7.95" customHeight="1">
      <c r="A9" s="42">
        <v>403.0</v>
      </c>
      <c r="B9" s="1333" t="s">
        <v>3839</v>
      </c>
      <c r="C9" s="1333"/>
      <c r="D9" s="1333"/>
      <c r="E9" s="1334"/>
      <c r="F9" s="550">
        <v>0.0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7.95" customHeight="1">
      <c r="A10" s="42">
        <v>404.0</v>
      </c>
      <c r="B10" s="1333" t="s">
        <v>3840</v>
      </c>
      <c r="C10" s="1333"/>
      <c r="D10" s="1333"/>
      <c r="E10" s="1334"/>
      <c r="F10" s="550">
        <v>0.0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27.95" customHeight="1">
      <c r="A11" s="42">
        <v>405.0</v>
      </c>
      <c r="B11" s="1333" t="s">
        <v>3841</v>
      </c>
      <c r="C11" s="1333"/>
      <c r="D11" s="1333"/>
      <c r="E11" s="1334"/>
      <c r="F11" s="550">
        <v>0.0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7.95" customHeight="1">
      <c r="A12" s="42">
        <v>406.0</v>
      </c>
      <c r="B12" s="1333" t="s">
        <v>3842</v>
      </c>
      <c r="C12" s="1333"/>
      <c r="D12" s="1333"/>
      <c r="E12" s="1334"/>
      <c r="F12" s="550">
        <v>0.0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27.95" customHeight="1">
      <c r="A13" s="42">
        <v>407.0</v>
      </c>
      <c r="B13" s="1333" t="s">
        <v>3843</v>
      </c>
      <c r="C13" s="1333"/>
      <c r="D13" s="1333"/>
      <c r="E13" s="1334"/>
      <c r="F13" s="551">
        <f>+F8-F9</f>
        <v>0.0</v>
      </c>
      <c r="G13" s="6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27.95" customHeight="1">
      <c r="A14" s="42">
        <v>408.0</v>
      </c>
      <c r="B14" s="1333" t="s">
        <v>3844</v>
      </c>
      <c r="C14" s="1333"/>
      <c r="D14" s="1333"/>
      <c r="E14" s="1334"/>
      <c r="F14" s="551">
        <f>+F10-F11</f>
        <v>0.0</v>
      </c>
      <c r="G14" s="67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s="107" customFormat="1" ht="27.95" customHeight="1">
      <c r="A15" s="42">
        <v>409.0</v>
      </c>
      <c r="B15" s="1360" t="s">
        <v>3935</v>
      </c>
      <c r="C15" s="1360"/>
      <c r="D15" s="1360"/>
      <c r="E15" s="1361"/>
      <c r="F15" s="625">
        <f>+FLOOR(F12+F13+F14,100)</f>
        <v>0.0</v>
      </c>
      <c r="G15" s="67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s="107" customFormat="1" ht="27.95" customHeight="1">
      <c r="A16" s="42">
        <v>410.0</v>
      </c>
      <c r="B16" s="1359" t="s">
        <v>3936</v>
      </c>
      <c r="C16" s="1360"/>
      <c r="D16" s="1360"/>
      <c r="E16" s="1361"/>
      <c r="F16" s="625">
        <f>+F15*0.15</f>
        <v>0.0</v>
      </c>
      <c r="G16" s="67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s="107" customFormat="1" ht="27.95" customHeight="1">
      <c r="A17" s="42">
        <v>411.0</v>
      </c>
      <c r="B17" s="1360" t="s">
        <v>3845</v>
      </c>
      <c r="C17" s="1360"/>
      <c r="D17" s="1360"/>
      <c r="E17" s="1361"/>
      <c r="F17" s="550">
        <v>0.0</v>
      </c>
      <c r="G17" s="67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s="107" customFormat="1" ht="27.95" customHeight="1">
      <c r="A18" s="42">
        <v>412.0</v>
      </c>
      <c r="B18" s="1360" t="s">
        <v>3937</v>
      </c>
      <c r="C18" s="1360"/>
      <c r="D18" s="1360"/>
      <c r="E18" s="1361"/>
      <c r="F18" s="550">
        <v>0.0</v>
      </c>
      <c r="G18" s="67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s="107" customFormat="1" ht="27.95" customHeight="1">
      <c r="A19" s="42">
        <v>413.0</v>
      </c>
      <c r="B19" s="1360" t="s">
        <v>3938</v>
      </c>
      <c r="C19" s="1360"/>
      <c r="D19" s="1360"/>
      <c r="E19" s="1361"/>
      <c r="F19" s="551">
        <f>+ROUND(MIN(F18,0.15*F17),0)</f>
        <v>0.0</v>
      </c>
      <c r="G19" s="67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s="107" customFormat="1" ht="27.95" customHeight="1" thickBot="1">
      <c r="A20" s="42">
        <v>414.0</v>
      </c>
      <c r="B20" s="1360" t="s">
        <v>3939</v>
      </c>
      <c r="C20" s="1360"/>
      <c r="D20" s="1360"/>
      <c r="E20" s="1361"/>
      <c r="F20" s="551">
        <f>+F16-F19</f>
        <v>0.0</v>
      </c>
      <c r="G20" s="67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7" ht="222" customHeight="1">
      <c r="A21" s="894"/>
      <c r="B21" s="716"/>
      <c r="C21" s="716"/>
      <c r="D21" s="716"/>
      <c r="E21" s="716"/>
      <c r="F21" s="716"/>
      <c r="G21" s="716"/>
    </row>
    <row r="22" spans="1:7" ht="15.95" customHeight="1">
      <c r="A22" s="1356" t="str">
        <f>+'DAP1'!A46</f>
        <v>Formulář zpracovala ASPEKT HM, daňová, účetní a auditorská kancelář, www.danovapriznani.cz, business.center.cz</v>
      </c>
      <c r="B22" s="1356"/>
      <c r="C22" s="1356"/>
      <c r="D22" s="1356"/>
      <c r="E22" s="1356"/>
      <c r="F22" s="1356"/>
      <c r="G22" s="1356"/>
    </row>
    <row r="23" spans="1:60" s="164" customFormat="1" ht="12" customHeight="1">
      <c r="A23" s="1355" t="s">
        <v>3836</v>
      </c>
      <c r="B23" s="1358"/>
      <c r="C23" s="1358"/>
      <c r="D23" s="1358"/>
      <c r="E23" s="1358"/>
      <c r="F23" s="1358"/>
      <c r="G23" s="13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7" ht="12.75">
      <c r="A24" s="1351" t="s">
        <v>297</v>
      </c>
      <c r="B24" s="1351"/>
      <c r="C24" s="1351"/>
      <c r="D24" s="1351"/>
      <c r="E24" s="1352"/>
      <c r="F24" s="1352"/>
      <c r="G24" s="1352"/>
    </row>
    <row r="25" spans="1:7" ht="12.75">
      <c r="A25" s="75"/>
      <c r="B25" s="75"/>
      <c r="C25" s="75"/>
      <c r="D25" s="75"/>
      <c r="E25" s="75"/>
      <c r="F25" s="75"/>
      <c r="G25" s="75"/>
    </row>
    <row r="26" spans="1:7" ht="12.75">
      <c r="A26" s="75"/>
      <c r="B26" s="75"/>
      <c r="C26" s="75"/>
      <c r="D26" s="75"/>
      <c r="E26" s="75"/>
      <c r="F26" s="75"/>
      <c r="G26" s="75"/>
    </row>
    <row r="27" spans="1:7" ht="12.75">
      <c r="A27" s="75"/>
      <c r="B27" s="75"/>
      <c r="C27" s="75"/>
      <c r="D27" s="75"/>
      <c r="E27" s="75"/>
      <c r="F27" s="75"/>
      <c r="G27" s="75"/>
    </row>
    <row r="28" spans="1:7" ht="12.75">
      <c r="A28" s="75"/>
      <c r="B28" s="75"/>
      <c r="C28" s="75"/>
      <c r="D28" s="75"/>
      <c r="E28" s="75"/>
      <c r="F28" s="75"/>
      <c r="G28" s="75"/>
    </row>
    <row r="29" spans="1:7" ht="12.75">
      <c r="A29" s="75"/>
      <c r="B29" s="75"/>
      <c r="C29" s="75"/>
      <c r="D29" s="75"/>
      <c r="E29" s="75"/>
      <c r="F29" s="75"/>
      <c r="G29" s="75"/>
    </row>
    <row r="30" spans="1:7" ht="12.75">
      <c r="A30" s="75"/>
      <c r="B30" s="75"/>
      <c r="C30" s="75"/>
      <c r="D30" s="75"/>
      <c r="E30" s="75"/>
      <c r="F30" s="75"/>
      <c r="G30" s="75"/>
    </row>
    <row r="31" spans="1:7" ht="12.75">
      <c r="A31" s="75"/>
      <c r="B31" s="75"/>
      <c r="C31" s="75"/>
      <c r="D31" s="75"/>
      <c r="E31" s="75"/>
      <c r="F31" s="75"/>
      <c r="G31" s="75"/>
    </row>
    <row r="32" spans="1:7" ht="12.75">
      <c r="A32" s="75"/>
      <c r="B32" s="75"/>
      <c r="C32" s="75"/>
      <c r="D32" s="75"/>
      <c r="E32" s="75"/>
      <c r="F32" s="75"/>
      <c r="G32" s="75"/>
    </row>
    <row r="33" spans="1:7" ht="12.75">
      <c r="A33" s="75"/>
      <c r="B33" s="75"/>
      <c r="C33" s="75"/>
      <c r="D33" s="75"/>
      <c r="E33" s="75"/>
      <c r="F33" s="75"/>
      <c r="G33" s="75"/>
    </row>
    <row r="34" spans="1:7" ht="12.75">
      <c r="A34" s="75"/>
      <c r="B34" s="75"/>
      <c r="C34" s="75"/>
      <c r="D34" s="75"/>
      <c r="E34" s="75"/>
      <c r="F34" s="75"/>
      <c r="G34" s="75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="75" customFormat="1" ht="12.75"/>
    <row r="65" s="75" customFormat="1" ht="12.75"/>
    <row r="66" s="75" customFormat="1" ht="12.75"/>
    <row r="67" s="75" customFormat="1" ht="12.75"/>
    <row r="68" s="75" customFormat="1" ht="12.75"/>
    <row r="69" s="75" customFormat="1" ht="12.75"/>
    <row r="70" s="75" customFormat="1" ht="12.75"/>
    <row r="71" s="75" customFormat="1" ht="12.75"/>
    <row r="72" s="75" customFormat="1" ht="12.75"/>
    <row r="73" s="75" customFormat="1" ht="12.75"/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 thickBot="1"/>
  </sheetData>
  <sheetProtection algorithmName="SHA-512" hashValue="ySZgL89Zxl2mNJE1UuBmp71Wh5fYts8YCtVLkK6io4ksk49ZyRzmWomNZuJLziYLj+F6gHGhLpPgOLCVVDMifg==" saltValue="xj339uLnyY6MQ5Dymv+2Cg==" spinCount="100000" sheet="1" objects="1" scenarios="1"/>
  <mergeCells count="25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2:G22"/>
    <mergeCell ref="A23:G23"/>
    <mergeCell ref="A24:G24"/>
    <mergeCell ref="B11:E11"/>
    <mergeCell ref="B12:E12"/>
    <mergeCell ref="B13:E13"/>
    <mergeCell ref="B14:E14"/>
    <mergeCell ref="B16:E16"/>
    <mergeCell ref="B17:E17"/>
    <mergeCell ref="B18:E18"/>
    <mergeCell ref="B19:E19"/>
    <mergeCell ref="B20:E20"/>
    <mergeCell ref="A21:G21"/>
    <mergeCell ref="B15:E15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5"/>
  </cols>
  <sheetData>
    <row r="1" spans="1:58" s="107" customFormat="1" ht="16.5" thickBot="1">
      <c r="A1" s="1202"/>
      <c r="B1" s="676"/>
      <c r="C1" s="676"/>
      <c r="D1" s="1302" t="s">
        <v>183</v>
      </c>
      <c r="E1" s="755"/>
      <c r="F1" s="1078"/>
      <c r="G1" s="256">
        <v>1.0</v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7" ht="24" customHeight="1">
      <c r="A2" s="1201"/>
      <c r="B2" s="1201"/>
      <c r="C2" s="1201"/>
      <c r="D2" s="1201"/>
      <c r="E2" s="1201"/>
      <c r="F2" s="1201"/>
      <c r="G2" s="115"/>
    </row>
    <row r="3" spans="1:7" ht="36" customHeight="1">
      <c r="A3" s="1364" t="s">
        <v>184</v>
      </c>
      <c r="B3" s="1365"/>
      <c r="C3" s="1365"/>
      <c r="D3" s="1365"/>
      <c r="E3" s="1365"/>
      <c r="F3" s="1365"/>
      <c r="G3" s="1365"/>
    </row>
    <row r="4" spans="1:60" s="107" customFormat="1" ht="18" customHeight="1">
      <c r="A4" s="1366" t="s">
        <v>186</v>
      </c>
      <c r="B4" s="1367"/>
      <c r="C4" s="1367"/>
      <c r="D4" s="1367"/>
      <c r="E4" s="1367"/>
      <c r="F4" s="1367"/>
      <c r="G4" s="1367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7" ht="18" customHeight="1">
      <c r="A5" s="1368" t="s">
        <v>3653</v>
      </c>
      <c r="B5" s="1369"/>
      <c r="C5" s="1369"/>
      <c r="D5" s="1369"/>
      <c r="E5" s="1369"/>
      <c r="F5" s="1369"/>
      <c r="G5" s="1369"/>
    </row>
    <row r="6" spans="1:7" ht="18" customHeight="1">
      <c r="A6" s="1370" t="s">
        <v>106</v>
      </c>
      <c r="B6" s="1371"/>
      <c r="C6" s="1371"/>
      <c r="D6" s="1371"/>
      <c r="E6" s="1371"/>
      <c r="F6" s="1371"/>
      <c r="G6" s="1371"/>
    </row>
    <row r="7" spans="1:7" ht="18" customHeight="1">
      <c r="A7" s="1372"/>
      <c r="B7" s="1373"/>
      <c r="C7" s="1373"/>
      <c r="D7" s="1373"/>
      <c r="E7" s="1373"/>
      <c r="F7" s="1373"/>
      <c r="G7" s="1373"/>
    </row>
    <row r="8" spans="1:7" ht="24" customHeight="1">
      <c r="A8" s="1338" t="s">
        <v>3652</v>
      </c>
      <c r="B8" s="1078"/>
      <c r="C8" s="143"/>
      <c r="D8" s="1339"/>
      <c r="E8" s="718"/>
      <c r="F8" s="718"/>
      <c r="G8" s="718"/>
    </row>
    <row r="9" spans="1:7" ht="8.1" customHeight="1" thickBot="1">
      <c r="A9" s="1340"/>
      <c r="B9" s="1341"/>
      <c r="C9" s="1341"/>
      <c r="D9" s="1341"/>
      <c r="E9" s="1341"/>
      <c r="F9" s="1341"/>
      <c r="G9" s="1341"/>
    </row>
    <row r="10" spans="1:7" ht="15" customHeight="1">
      <c r="A10" s="1379"/>
      <c r="B10" s="716"/>
      <c r="C10" s="716"/>
      <c r="D10" s="716"/>
      <c r="E10" s="1380"/>
      <c r="F10" s="1381" t="s">
        <v>258</v>
      </c>
      <c r="G10" s="1382"/>
    </row>
    <row r="11" spans="1:7" ht="15" customHeight="1">
      <c r="A11" s="1343"/>
      <c r="B11" s="801"/>
      <c r="C11" s="801"/>
      <c r="D11" s="801"/>
      <c r="E11" s="802"/>
      <c r="F11" s="77" t="s">
        <v>147</v>
      </c>
      <c r="G11" s="88" t="s">
        <v>155</v>
      </c>
    </row>
    <row r="12" spans="1:7" ht="24" customHeight="1">
      <c r="A12" s="253">
        <v>321.0</v>
      </c>
      <c r="B12" s="1349" t="s">
        <v>251</v>
      </c>
      <c r="C12" s="1349"/>
      <c r="D12" s="1349"/>
      <c r="E12" s="1350"/>
      <c r="F12" s="109">
        <v>0.0</v>
      </c>
      <c r="G12" s="67"/>
    </row>
    <row r="13" spans="1:7" ht="24" customHeight="1">
      <c r="A13" s="253">
        <v>322.0</v>
      </c>
      <c r="B13" s="1349" t="s">
        <v>252</v>
      </c>
      <c r="C13" s="1349"/>
      <c r="D13" s="1349"/>
      <c r="E13" s="1350"/>
      <c r="F13" s="109">
        <v>0.0</v>
      </c>
      <c r="G13" s="67"/>
    </row>
    <row r="14" spans="1:7" ht="24" customHeight="1">
      <c r="A14" s="253">
        <v>323.0</v>
      </c>
      <c r="B14" s="1349" t="s">
        <v>111</v>
      </c>
      <c r="C14" s="1349"/>
      <c r="D14" s="1349"/>
      <c r="E14" s="1350"/>
      <c r="F14" s="109">
        <v>0.0</v>
      </c>
      <c r="G14" s="67"/>
    </row>
    <row r="15" spans="1:7" ht="24" customHeight="1">
      <c r="A15" s="253">
        <v>324.0</v>
      </c>
      <c r="B15" s="1349" t="s">
        <v>3830</v>
      </c>
      <c r="C15" s="1349"/>
      <c r="D15" s="1349"/>
      <c r="E15" s="1350"/>
      <c r="F15" s="165">
        <f>ROUND(+IF(+IF(IF('DAP2'!E16=0,0,(F12-F13)/'DAP2'!E16)&lt;0,0,IF('DAP2'!E16=0,0,(F12-F13)/'DAP2'!E16))&gt;1,1,+IF(IF('DAP2'!E16=0,0,(F12-F13)/'DAP2'!E16)&lt;0,0,IF('DAP2'!E16=0,0,(F12-F13)/'DAP2'!E16))),4)</f>
        <v>0.0</v>
      </c>
      <c r="G15" s="67"/>
    </row>
    <row r="16" spans="1:7" ht="24" customHeight="1">
      <c r="A16" s="253">
        <v>325.0</v>
      </c>
      <c r="B16" s="1349" t="s">
        <v>3831</v>
      </c>
      <c r="C16" s="1349"/>
      <c r="D16" s="1349"/>
      <c r="E16" s="1350"/>
      <c r="F16" s="274">
        <f>ROUND((+'DAP2'!F34+'DAP2'!F37)*F15,2)</f>
        <v>0.0</v>
      </c>
      <c r="G16" s="67"/>
    </row>
    <row r="17" spans="1:7" ht="24" customHeight="1" thickBot="1">
      <c r="A17" s="254">
        <v>326.0</v>
      </c>
      <c r="B17" s="1353" t="s">
        <v>142</v>
      </c>
      <c r="C17" s="1353"/>
      <c r="D17" s="1353"/>
      <c r="E17" s="1354"/>
      <c r="F17" s="275">
        <f>+MIN(F14,F16)</f>
        <v>0.0</v>
      </c>
      <c r="G17" s="86"/>
    </row>
    <row r="18" spans="1:7" ht="24" customHeight="1" thickBot="1">
      <c r="A18" s="255">
        <v>327.0</v>
      </c>
      <c r="B18" s="1377" t="s">
        <v>3654</v>
      </c>
      <c r="C18" s="1377"/>
      <c r="D18" s="1377"/>
      <c r="E18" s="1378"/>
      <c r="F18" s="276">
        <f>+F14-F17</f>
        <v>0.0</v>
      </c>
      <c r="G18" s="87"/>
    </row>
    <row r="19" spans="1:7" ht="24" customHeight="1">
      <c r="A19" s="1374" t="s">
        <v>3515</v>
      </c>
      <c r="B19" s="1375"/>
      <c r="C19" s="1375"/>
      <c r="D19" s="1375"/>
      <c r="E19" s="1375"/>
      <c r="F19" s="1375"/>
      <c r="G19" s="1375"/>
    </row>
    <row r="20" spans="1:7" ht="330" customHeight="1">
      <c r="A20" s="1376"/>
      <c r="B20" s="676"/>
      <c r="C20" s="676"/>
      <c r="D20" s="676"/>
      <c r="E20" s="676"/>
      <c r="F20" s="676"/>
      <c r="G20" s="676"/>
    </row>
    <row r="21" spans="1:7" ht="15.95" customHeight="1">
      <c r="A21" s="1356" t="str">
        <f>+'DAP1'!A46</f>
        <v>Formulář zpracovala ASPEKT HM, daňová, účetní a auditorská kancelář, www.danovapriznani.cz, business.center.cz</v>
      </c>
      <c r="B21" s="1356"/>
      <c r="C21" s="1356"/>
      <c r="D21" s="1356"/>
      <c r="E21" s="1356"/>
      <c r="F21" s="1356"/>
      <c r="G21" s="1356"/>
    </row>
    <row r="22" spans="1:60" s="164" customFormat="1" ht="12" customHeight="1">
      <c r="A22" s="1355" t="s">
        <v>3829</v>
      </c>
      <c r="B22" s="1358"/>
      <c r="C22" s="1358"/>
      <c r="D22" s="1358"/>
      <c r="E22" s="1358"/>
      <c r="F22" s="1358"/>
      <c r="G22" s="1358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7" ht="12.75">
      <c r="A23" s="1351" t="s">
        <v>297</v>
      </c>
      <c r="B23" s="1351"/>
      <c r="C23" s="1351"/>
      <c r="D23" s="1351"/>
      <c r="E23" s="1352"/>
      <c r="F23" s="1352"/>
      <c r="G23" s="1352"/>
    </row>
    <row r="24" spans="1:7" ht="12.75">
      <c r="A24" s="75"/>
      <c r="B24" s="75"/>
      <c r="C24" s="75"/>
      <c r="D24" s="75"/>
      <c r="E24" s="75"/>
      <c r="F24" s="75"/>
      <c r="G24" s="75"/>
    </row>
    <row r="25" spans="1:7" ht="12.75">
      <c r="A25" s="75"/>
      <c r="B25" s="75"/>
      <c r="C25" s="75"/>
      <c r="D25" s="75"/>
      <c r="E25" s="75"/>
      <c r="F25" s="75"/>
      <c r="G25" s="75"/>
    </row>
    <row r="26" spans="1:7" ht="12.75">
      <c r="A26" s="75"/>
      <c r="B26" s="75"/>
      <c r="C26" s="75"/>
      <c r="D26" s="75"/>
      <c r="E26" s="75"/>
      <c r="F26" s="75"/>
      <c r="G26" s="75"/>
    </row>
    <row r="27" spans="1:7" ht="12.75">
      <c r="A27" s="75"/>
      <c r="B27" s="75"/>
      <c r="C27" s="75"/>
      <c r="D27" s="75"/>
      <c r="E27" s="75"/>
      <c r="F27" s="75"/>
      <c r="G27" s="75"/>
    </row>
    <row r="28" spans="1:7" ht="12.75">
      <c r="A28" s="75"/>
      <c r="B28" s="75"/>
      <c r="C28" s="75"/>
      <c r="D28" s="75"/>
      <c r="E28" s="75"/>
      <c r="F28" s="75"/>
      <c r="G28" s="75"/>
    </row>
    <row r="29" spans="1:7" ht="12.75">
      <c r="A29" s="75"/>
      <c r="B29" s="75"/>
      <c r="C29" s="75"/>
      <c r="D29" s="75"/>
      <c r="E29" s="75"/>
      <c r="F29" s="75"/>
      <c r="G29" s="75"/>
    </row>
    <row r="30" spans="1:7" ht="12.75">
      <c r="A30" s="75"/>
      <c r="B30" s="75"/>
      <c r="C30" s="75"/>
      <c r="D30" s="75"/>
      <c r="E30" s="75"/>
      <c r="F30" s="75"/>
      <c r="G30" s="75"/>
    </row>
    <row r="31" spans="1:7" ht="12.75">
      <c r="A31" s="75"/>
      <c r="B31" s="75"/>
      <c r="C31" s="75"/>
      <c r="D31" s="75"/>
      <c r="E31" s="75"/>
      <c r="F31" s="75"/>
      <c r="G31" s="75"/>
    </row>
    <row r="32" spans="1:7" ht="12.75">
      <c r="A32" s="75"/>
      <c r="B32" s="75"/>
      <c r="C32" s="75"/>
      <c r="D32" s="75"/>
      <c r="E32" s="75"/>
      <c r="F32" s="75"/>
      <c r="G32" s="75"/>
    </row>
    <row r="33" spans="1:7" ht="12.75">
      <c r="A33" s="75"/>
      <c r="B33" s="75"/>
      <c r="C33" s="75"/>
      <c r="D33" s="75"/>
      <c r="E33" s="75"/>
      <c r="F33" s="75"/>
      <c r="G33" s="75"/>
    </row>
    <row r="34" spans="1:7" ht="12.75">
      <c r="A34" s="75"/>
      <c r="B34" s="75"/>
      <c r="C34" s="75"/>
      <c r="D34" s="75"/>
      <c r="E34" s="75"/>
      <c r="F34" s="75"/>
      <c r="G34" s="75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="75" customFormat="1" ht="12.75"/>
    <row r="66" s="75" customFormat="1" ht="12.75"/>
    <row r="67" s="75" customFormat="1" ht="12.75"/>
    <row r="68" s="75" customFormat="1" ht="12.75"/>
    <row r="69" s="75" customFormat="1" ht="12.75"/>
    <row r="70" s="75" customFormat="1" ht="12.75"/>
    <row r="71" s="75" customFormat="1" ht="12.75"/>
    <row r="72" s="75" customFormat="1" ht="12.75"/>
    <row r="73" s="75" customFormat="1" ht="12.75"/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1"/>
  </cols>
  <sheetData>
    <row r="1" spans="1:6" ht="20.1" customHeight="1" thickBot="1">
      <c r="A1" s="1047"/>
      <c r="B1" s="1047"/>
      <c r="C1" s="1392" t="s">
        <v>37</v>
      </c>
      <c r="D1" s="1393"/>
      <c r="E1" s="1394"/>
      <c r="F1" s="174" t="str">
        <f>+'2Př'!I1</f>
        <v/>
      </c>
    </row>
    <row r="2" spans="1:6" ht="27.95" customHeight="1">
      <c r="A2" s="1047"/>
      <c r="B2" s="1047"/>
      <c r="C2" s="1047"/>
      <c r="D2" s="1047"/>
      <c r="E2" s="1047"/>
      <c r="F2" s="1047"/>
    </row>
    <row r="3" spans="1:6" ht="27.95" customHeight="1">
      <c r="A3" s="1395" t="s">
        <v>181</v>
      </c>
      <c r="B3" s="1395"/>
      <c r="C3" s="1395"/>
      <c r="D3" s="1395"/>
      <c r="E3" s="1395"/>
      <c r="F3" s="1395"/>
    </row>
    <row r="4" spans="1:6" ht="27.95" customHeight="1" thickBot="1">
      <c r="A4" s="1047"/>
      <c r="B4" s="1047"/>
      <c r="C4" s="1047"/>
      <c r="D4" s="1047"/>
      <c r="E4" s="1047"/>
      <c r="F4" s="1047"/>
    </row>
    <row r="5" spans="1:38" s="169" customFormat="1" ht="18.75" thickBot="1">
      <c r="A5" s="1396" t="s">
        <v>123</v>
      </c>
      <c r="B5" s="1396"/>
      <c r="C5" s="1396"/>
      <c r="D5" s="1396"/>
      <c r="E5" s="1397"/>
      <c r="F5" s="170">
        <f>+'DAP1'!F24</f>
        <v>2022.0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</row>
    <row r="6" spans="1:6" ht="18">
      <c r="A6" s="1387" t="s">
        <v>182</v>
      </c>
      <c r="B6" s="1387"/>
      <c r="C6" s="1387"/>
      <c r="D6" s="1387"/>
      <c r="E6" s="1387"/>
      <c r="F6" s="1387"/>
    </row>
    <row r="7" spans="1:6" ht="15">
      <c r="A7" s="1388" t="s">
        <v>45</v>
      </c>
      <c r="B7" s="1388"/>
      <c r="C7" s="1388"/>
      <c r="D7" s="1388"/>
      <c r="E7" s="1388"/>
      <c r="F7" s="1388"/>
    </row>
    <row r="8" spans="1:6" ht="13.5" thickBot="1">
      <c r="A8" s="1047"/>
      <c r="B8" s="1047"/>
      <c r="C8" s="1047"/>
      <c r="D8" s="1047"/>
      <c r="E8" s="1047"/>
      <c r="F8" s="1047"/>
    </row>
    <row r="9" spans="1:6" ht="12.75">
      <c r="A9" s="210" t="s">
        <v>175</v>
      </c>
      <c r="B9" s="211" t="s">
        <v>180</v>
      </c>
      <c r="C9" s="211" t="s">
        <v>179</v>
      </c>
      <c r="D9" s="211" t="s">
        <v>178</v>
      </c>
      <c r="E9" s="211" t="s">
        <v>177</v>
      </c>
      <c r="F9" s="212" t="s">
        <v>176</v>
      </c>
    </row>
    <row r="10" spans="1:6" ht="12.75" customHeight="1">
      <c r="A10" s="1389" t="s">
        <v>6</v>
      </c>
      <c r="B10" s="1385" t="s">
        <v>3765</v>
      </c>
      <c r="C10" s="1385" t="s">
        <v>3766</v>
      </c>
      <c r="D10" s="1385" t="s">
        <v>3767</v>
      </c>
      <c r="E10" s="1385" t="s">
        <v>3768</v>
      </c>
      <c r="F10" s="1390" t="s">
        <v>3769</v>
      </c>
    </row>
    <row r="11" spans="1:6" ht="45.75" customHeight="1">
      <c r="A11" s="1389"/>
      <c r="B11" s="1385"/>
      <c r="C11" s="1385"/>
      <c r="D11" s="1386"/>
      <c r="E11" s="1386"/>
      <c r="F11" s="1391"/>
    </row>
    <row r="12" spans="1:6" ht="18" customHeight="1">
      <c r="A12" s="175">
        <v>1.0</v>
      </c>
      <c r="B12" s="213">
        <v>2021.0</v>
      </c>
      <c r="C12" s="214">
        <v>0.0</v>
      </c>
      <c r="D12" s="214">
        <v>0.0</v>
      </c>
      <c r="E12" s="214">
        <v>0.0</v>
      </c>
      <c r="F12" s="215">
        <f t="shared" si="0" ref="F12:F19">+C12-D12-E12</f>
        <v>0.0</v>
      </c>
    </row>
    <row r="13" spans="1:6" ht="18" customHeight="1">
      <c r="A13" s="175">
        <v>2.0</v>
      </c>
      <c r="B13" s="216"/>
      <c r="C13" s="214"/>
      <c r="D13" s="214"/>
      <c r="E13" s="214"/>
      <c r="F13" s="215">
        <f t="shared" si="0"/>
        <v>0.0</v>
      </c>
    </row>
    <row r="14" spans="1:6" ht="18" customHeight="1">
      <c r="A14" s="175">
        <v>3.0</v>
      </c>
      <c r="B14" s="216"/>
      <c r="C14" s="214"/>
      <c r="D14" s="214"/>
      <c r="E14" s="214"/>
      <c r="F14" s="215">
        <f t="shared" si="0"/>
        <v>0.0</v>
      </c>
    </row>
    <row r="15" spans="1:6" ht="18" customHeight="1">
      <c r="A15" s="175">
        <v>4.0</v>
      </c>
      <c r="B15" s="216"/>
      <c r="C15" s="214"/>
      <c r="D15" s="214"/>
      <c r="E15" s="214"/>
      <c r="F15" s="215">
        <f t="shared" si="0"/>
        <v>0.0</v>
      </c>
    </row>
    <row r="16" spans="1:6" ht="18" customHeight="1">
      <c r="A16" s="175">
        <v>5.0</v>
      </c>
      <c r="B16" s="216"/>
      <c r="C16" s="214"/>
      <c r="D16" s="214"/>
      <c r="E16" s="214"/>
      <c r="F16" s="215">
        <f t="shared" si="0"/>
        <v>0.0</v>
      </c>
    </row>
    <row r="17" spans="1:6" ht="18" customHeight="1">
      <c r="A17" s="175">
        <v>6.0</v>
      </c>
      <c r="B17" s="216"/>
      <c r="C17" s="214"/>
      <c r="D17" s="214"/>
      <c r="E17" s="214"/>
      <c r="F17" s="215">
        <f t="shared" si="0"/>
        <v>0.0</v>
      </c>
    </row>
    <row r="18" spans="1:6" ht="18" customHeight="1">
      <c r="A18" s="175">
        <v>7.0</v>
      </c>
      <c r="B18" s="216"/>
      <c r="C18" s="214"/>
      <c r="D18" s="214"/>
      <c r="E18" s="214"/>
      <c r="F18" s="215">
        <f t="shared" si="0"/>
        <v>0.0</v>
      </c>
    </row>
    <row r="19" spans="1:6" ht="18" customHeight="1">
      <c r="A19" s="175">
        <v>8.0</v>
      </c>
      <c r="B19" s="216"/>
      <c r="C19" s="214"/>
      <c r="D19" s="214"/>
      <c r="E19" s="214"/>
      <c r="F19" s="215">
        <f t="shared" si="0"/>
        <v>0.0</v>
      </c>
    </row>
    <row r="20" spans="1:6" ht="18" customHeight="1" thickBot="1">
      <c r="A20" s="217">
        <v>9.0</v>
      </c>
      <c r="B20" s="1383" t="s">
        <v>58</v>
      </c>
      <c r="C20" s="1384"/>
      <c r="D20" s="1384"/>
      <c r="E20" s="218">
        <f>SUM(E12:E19)</f>
        <v>0.0</v>
      </c>
      <c r="F20" s="219">
        <f>SUM(F12:F19)</f>
        <v>0.0</v>
      </c>
    </row>
    <row r="21" spans="1:6" ht="24" customHeight="1">
      <c r="A21" s="1398" t="s">
        <v>3770</v>
      </c>
      <c r="B21" s="1398"/>
      <c r="C21" s="1398"/>
      <c r="D21" s="1398"/>
      <c r="E21" s="1398"/>
      <c r="F21" s="1398"/>
    </row>
    <row r="22" spans="1:6" ht="24" customHeight="1">
      <c r="A22" s="1047"/>
      <c r="B22" s="1047"/>
      <c r="C22" s="1047"/>
      <c r="D22" s="1047"/>
      <c r="E22" s="1047"/>
      <c r="F22" s="1047"/>
    </row>
    <row r="23" spans="1:6" ht="24" customHeight="1">
      <c r="A23" s="1047"/>
      <c r="B23" s="1047"/>
      <c r="C23" s="1047"/>
      <c r="D23" s="1047"/>
      <c r="E23" s="1047"/>
      <c r="F23" s="1047"/>
    </row>
    <row r="24" spans="1:6" ht="24" customHeight="1">
      <c r="A24" s="1047"/>
      <c r="B24" s="1047"/>
      <c r="C24" s="1047"/>
      <c r="D24" s="1047"/>
      <c r="E24" s="1047"/>
      <c r="F24" s="1047"/>
    </row>
    <row r="25" spans="1:6" ht="24" customHeight="1">
      <c r="A25" s="1047"/>
      <c r="B25" s="1047"/>
      <c r="C25" s="1047"/>
      <c r="D25" s="1047"/>
      <c r="E25" s="1047"/>
      <c r="F25" s="1047"/>
    </row>
    <row r="26" spans="1:6" ht="24" customHeight="1">
      <c r="A26" s="1047"/>
      <c r="B26" s="1047"/>
      <c r="C26" s="1047"/>
      <c r="D26" s="1047"/>
      <c r="E26" s="1047"/>
      <c r="F26" s="1047"/>
    </row>
    <row r="27" spans="1:6" ht="24" customHeight="1">
      <c r="A27" s="1047"/>
      <c r="B27" s="1047"/>
      <c r="C27" s="1047"/>
      <c r="D27" s="1047"/>
      <c r="E27" s="1047"/>
      <c r="F27" s="1047"/>
    </row>
    <row r="28" spans="1:6" ht="24" customHeight="1">
      <c r="A28" s="1047"/>
      <c r="B28" s="1047"/>
      <c r="C28" s="1047"/>
      <c r="D28" s="1047"/>
      <c r="E28" s="1047"/>
      <c r="F28" s="1047"/>
    </row>
    <row r="29" spans="1:6" ht="24" customHeight="1">
      <c r="A29" s="1047"/>
      <c r="B29" s="1047"/>
      <c r="C29" s="1047"/>
      <c r="D29" s="1047"/>
      <c r="E29" s="1047"/>
      <c r="F29" s="1047"/>
    </row>
    <row r="30" spans="1:6" ht="24" customHeight="1">
      <c r="A30" s="1047"/>
      <c r="B30" s="1047"/>
      <c r="C30" s="1047"/>
      <c r="D30" s="1047"/>
      <c r="E30" s="1047"/>
      <c r="F30" s="1047"/>
    </row>
    <row r="31" spans="1:6" ht="24" customHeight="1">
      <c r="A31" s="1047"/>
      <c r="B31" s="1047"/>
      <c r="C31" s="1047"/>
      <c r="D31" s="1047"/>
      <c r="E31" s="1047"/>
      <c r="F31" s="1047"/>
    </row>
    <row r="32" spans="1:6" ht="24" customHeight="1">
      <c r="A32" s="1047"/>
      <c r="B32" s="1047"/>
      <c r="C32" s="1047"/>
      <c r="D32" s="1047"/>
      <c r="E32" s="1047"/>
      <c r="F32" s="1047"/>
    </row>
    <row r="33" spans="1:6" ht="24" customHeight="1">
      <c r="A33" s="1047"/>
      <c r="B33" s="1047"/>
      <c r="C33" s="1047"/>
      <c r="D33" s="1047"/>
      <c r="E33" s="1047"/>
      <c r="F33" s="1047"/>
    </row>
    <row r="34" spans="1:6" ht="12.75">
      <c r="A34" s="1401" t="str">
        <f>+'DAP1'!A46</f>
        <v>Formulář zpracovala ASPEKT HM, daňová, účetní a auditorská kancelář, www.danovapriznani.cz, business.center.cz</v>
      </c>
      <c r="B34" s="1402"/>
      <c r="C34" s="1402"/>
      <c r="D34" s="1402"/>
      <c r="E34" s="1402"/>
      <c r="F34" s="1402"/>
    </row>
    <row r="35" spans="1:6" ht="12.75">
      <c r="A35" s="1399" t="s">
        <v>3771</v>
      </c>
      <c r="B35" s="1399"/>
      <c r="C35" s="1399"/>
      <c r="D35" s="1399"/>
      <c r="E35" s="1399"/>
      <c r="F35" s="1399"/>
    </row>
    <row r="36" spans="1:6" ht="12.75">
      <c r="A36" s="1400" t="s">
        <v>297</v>
      </c>
      <c r="B36" s="1400"/>
      <c r="C36" s="1400"/>
      <c r="D36" s="1400"/>
      <c r="E36" s="1400"/>
      <c r="F36" s="1400"/>
    </row>
    <row r="37" spans="1:6" ht="12.75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1"/>
  </cols>
  <sheetData>
    <row r="1" spans="1:6" ht="18" customHeight="1">
      <c r="A1" s="1392" t="s">
        <v>37</v>
      </c>
      <c r="B1" s="1047"/>
      <c r="C1" s="1047"/>
      <c r="D1" s="1412"/>
      <c r="E1" s="1410" t="str">
        <f>+'6Př'!F1</f>
        <v/>
      </c>
      <c r="F1" s="1411"/>
    </row>
    <row r="2" spans="1:6" ht="12.75">
      <c r="A2" s="1047"/>
      <c r="B2" s="1047"/>
      <c r="C2" s="1047"/>
      <c r="D2" s="1047"/>
      <c r="E2" s="1047"/>
      <c r="F2" s="1047"/>
    </row>
    <row r="3" spans="1:21" s="107" customFormat="1" ht="27.75">
      <c r="A3" s="1413" t="s">
        <v>116</v>
      </c>
      <c r="B3" s="1413"/>
      <c r="C3" s="1413"/>
      <c r="D3" s="1413"/>
      <c r="E3" s="1413"/>
      <c r="F3" s="1413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07" customFormat="1" ht="18">
      <c r="A4" s="680" t="s">
        <v>46</v>
      </c>
      <c r="B4" s="680"/>
      <c r="C4" s="680"/>
      <c r="D4" s="680"/>
      <c r="E4" s="680"/>
      <c r="F4" s="68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s="107" customFormat="1" ht="18">
      <c r="A5" s="680" t="s">
        <v>3516</v>
      </c>
      <c r="B5" s="680"/>
      <c r="C5" s="680"/>
      <c r="D5" s="680"/>
      <c r="E5" s="680"/>
      <c r="F5" s="68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1" s="107" customFormat="1" ht="18">
      <c r="A6" s="1405" t="s">
        <v>123</v>
      </c>
      <c r="B6" s="1405"/>
      <c r="C6" s="1405"/>
      <c r="D6" s="1406"/>
      <c r="E6" s="172">
        <f>+'DAP1'!F24</f>
        <v>2022.0</v>
      </c>
      <c r="F6" s="14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6" ht="13.5" thickBot="1">
      <c r="A7" s="1047"/>
      <c r="B7" s="1047"/>
      <c r="C7" s="1047"/>
      <c r="D7" s="1047"/>
      <c r="E7" s="1047"/>
      <c r="F7" s="1047"/>
    </row>
    <row r="8" spans="1:6" ht="18" customHeight="1">
      <c r="A8" s="220" t="s">
        <v>6</v>
      </c>
      <c r="B8" s="221" t="s">
        <v>47</v>
      </c>
      <c r="C8" s="221" t="s">
        <v>48</v>
      </c>
      <c r="D8" s="221" t="s">
        <v>49</v>
      </c>
      <c r="E8" s="221" t="s">
        <v>50</v>
      </c>
      <c r="F8" s="222" t="s">
        <v>51</v>
      </c>
    </row>
    <row r="9" spans="1:6" ht="18" customHeight="1" thickBot="1">
      <c r="A9" s="223" t="s">
        <v>124</v>
      </c>
      <c r="B9" s="224" t="s">
        <v>3517</v>
      </c>
      <c r="C9" s="224" t="s">
        <v>125</v>
      </c>
      <c r="D9" s="224" t="s">
        <v>126</v>
      </c>
      <c r="E9" s="224" t="s">
        <v>127</v>
      </c>
      <c r="F9" s="225" t="s">
        <v>128</v>
      </c>
    </row>
    <row r="10" spans="1:6" ht="18" customHeight="1">
      <c r="A10" s="226">
        <v>1.0</v>
      </c>
      <c r="B10" s="227"/>
      <c r="C10" s="228"/>
      <c r="D10" s="228"/>
      <c r="E10" s="228"/>
      <c r="F10" s="229"/>
    </row>
    <row r="11" spans="1:6" ht="18" customHeight="1">
      <c r="A11" s="230"/>
      <c r="B11" s="143"/>
      <c r="C11" s="231"/>
      <c r="D11" s="231"/>
      <c r="E11" s="231"/>
      <c r="F11" s="232"/>
    </row>
    <row r="12" spans="1:6" ht="18" customHeight="1">
      <c r="A12" s="230"/>
      <c r="B12" s="143"/>
      <c r="C12" s="231"/>
      <c r="D12" s="231"/>
      <c r="E12" s="231"/>
      <c r="F12" s="232"/>
    </row>
    <row r="13" spans="1:6" ht="18" customHeight="1">
      <c r="A13" s="230"/>
      <c r="B13" s="143"/>
      <c r="C13" s="231"/>
      <c r="D13" s="231"/>
      <c r="E13" s="231"/>
      <c r="F13" s="232"/>
    </row>
    <row r="14" spans="1:6" ht="18" customHeight="1">
      <c r="A14" s="230"/>
      <c r="B14" s="143"/>
      <c r="C14" s="231"/>
      <c r="D14" s="231"/>
      <c r="E14" s="231"/>
      <c r="F14" s="232"/>
    </row>
    <row r="15" spans="1:6" ht="18" customHeight="1">
      <c r="A15" s="230"/>
      <c r="B15" s="143"/>
      <c r="C15" s="231"/>
      <c r="D15" s="231"/>
      <c r="E15" s="231"/>
      <c r="F15" s="232"/>
    </row>
    <row r="16" spans="1:6" ht="18" customHeight="1">
      <c r="A16" s="230"/>
      <c r="B16" s="143"/>
      <c r="C16" s="231"/>
      <c r="D16" s="231"/>
      <c r="E16" s="231"/>
      <c r="F16" s="232"/>
    </row>
    <row r="17" spans="1:6" ht="18" customHeight="1">
      <c r="A17" s="230"/>
      <c r="B17" s="143"/>
      <c r="C17" s="231"/>
      <c r="D17" s="231"/>
      <c r="E17" s="231"/>
      <c r="F17" s="232"/>
    </row>
    <row r="18" spans="1:6" ht="18" customHeight="1">
      <c r="A18" s="230"/>
      <c r="B18" s="143"/>
      <c r="C18" s="231"/>
      <c r="D18" s="231"/>
      <c r="E18" s="231"/>
      <c r="F18" s="232"/>
    </row>
    <row r="19" spans="1:6" ht="18" customHeight="1">
      <c r="A19" s="230"/>
      <c r="B19" s="143"/>
      <c r="C19" s="231"/>
      <c r="D19" s="231"/>
      <c r="E19" s="231"/>
      <c r="F19" s="232"/>
    </row>
    <row r="20" spans="1:6" ht="18" customHeight="1">
      <c r="A20" s="230"/>
      <c r="B20" s="143"/>
      <c r="C20" s="231"/>
      <c r="D20" s="231"/>
      <c r="E20" s="231"/>
      <c r="F20" s="232"/>
    </row>
    <row r="21" spans="1:6" ht="18" customHeight="1">
      <c r="A21" s="230"/>
      <c r="B21" s="143"/>
      <c r="C21" s="231"/>
      <c r="D21" s="231"/>
      <c r="E21" s="231"/>
      <c r="F21" s="232"/>
    </row>
    <row r="22" spans="1:6" ht="18" customHeight="1">
      <c r="A22" s="230"/>
      <c r="B22" s="143"/>
      <c r="C22" s="231"/>
      <c r="D22" s="231"/>
      <c r="E22" s="231"/>
      <c r="F22" s="232"/>
    </row>
    <row r="23" spans="1:6" ht="18" customHeight="1">
      <c r="A23" s="230"/>
      <c r="B23" s="143"/>
      <c r="C23" s="231"/>
      <c r="D23" s="231"/>
      <c r="E23" s="231"/>
      <c r="F23" s="232"/>
    </row>
    <row r="24" spans="1:6" ht="18" customHeight="1">
      <c r="A24" s="230"/>
      <c r="B24" s="143"/>
      <c r="C24" s="231"/>
      <c r="D24" s="231"/>
      <c r="E24" s="231"/>
      <c r="F24" s="232"/>
    </row>
    <row r="25" spans="1:6" ht="18" customHeight="1" thickBot="1">
      <c r="A25" s="233"/>
      <c r="B25" s="234"/>
      <c r="C25" s="235"/>
      <c r="D25" s="235"/>
      <c r="E25" s="235"/>
      <c r="F25" s="236"/>
    </row>
    <row r="26" spans="1:6" ht="12.75">
      <c r="A26" s="1407"/>
      <c r="B26" s="1407"/>
      <c r="C26" s="1407"/>
      <c r="D26" s="1407"/>
      <c r="E26" s="1407"/>
      <c r="F26" s="1407"/>
    </row>
    <row r="27" spans="1:21" s="107" customFormat="1" ht="12.75">
      <c r="A27" s="1408" t="s">
        <v>3530</v>
      </c>
      <c r="B27" s="1078"/>
      <c r="C27" s="1078"/>
      <c r="D27" s="1078"/>
      <c r="E27" s="1078"/>
      <c r="F27" s="1078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s="107" customFormat="1" ht="24" customHeight="1">
      <c r="A28" s="1409" t="s">
        <v>3518</v>
      </c>
      <c r="B28" s="703"/>
      <c r="C28" s="703"/>
      <c r="D28" s="703"/>
      <c r="E28" s="703"/>
      <c r="F28" s="703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s="107" customFormat="1" ht="12.75">
      <c r="A29" s="1408" t="s">
        <v>129</v>
      </c>
      <c r="B29" s="1078"/>
      <c r="C29" s="1078"/>
      <c r="D29" s="1078"/>
      <c r="E29" s="1078"/>
      <c r="F29" s="1078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s="107" customFormat="1" ht="12" customHeight="1">
      <c r="A30" s="1408" t="s">
        <v>130</v>
      </c>
      <c r="B30" s="1078"/>
      <c r="C30" s="1078"/>
      <c r="D30" s="1078"/>
      <c r="E30" s="1078"/>
      <c r="F30" s="1078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s="107" customFormat="1" ht="24" customHeight="1">
      <c r="A31" s="1409" t="s">
        <v>131</v>
      </c>
      <c r="B31" s="703"/>
      <c r="C31" s="703"/>
      <c r="D31" s="703"/>
      <c r="E31" s="703"/>
      <c r="F31" s="703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s="107" customFormat="1" ht="12.75" customHeight="1">
      <c r="A32" s="1409" t="s">
        <v>3832</v>
      </c>
      <c r="B32" s="703"/>
      <c r="C32" s="703"/>
      <c r="D32" s="703"/>
      <c r="E32" s="703"/>
      <c r="F32" s="703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6" ht="12.75">
      <c r="A33" s="75"/>
      <c r="B33" s="75"/>
      <c r="C33" s="75"/>
      <c r="D33" s="75"/>
      <c r="E33" s="75"/>
      <c r="F33" s="75"/>
    </row>
    <row r="34" spans="1:6" ht="12.75">
      <c r="A34" s="1401" t="str">
        <f>+'DAP1'!A46</f>
        <v>Formulář zpracovala ASPEKT HM, daňová, účetní a auditorská kancelář, www.danovapriznani.cz, business.center.cz</v>
      </c>
      <c r="B34" s="1403"/>
      <c r="C34" s="1403"/>
      <c r="D34" s="1403"/>
      <c r="E34" s="1403"/>
      <c r="F34" s="1403"/>
    </row>
    <row r="35" spans="1:6" ht="12.75">
      <c r="A35" s="1404" t="s">
        <v>3833</v>
      </c>
      <c r="B35" s="1404"/>
      <c r="C35" s="1404"/>
      <c r="D35" s="1404"/>
      <c r="E35" s="1404"/>
      <c r="F35" s="1404"/>
    </row>
    <row r="36" spans="1:6" ht="12.75">
      <c r="A36" s="1400" t="s">
        <v>297</v>
      </c>
      <c r="B36" s="1400"/>
      <c r="C36" s="1400"/>
      <c r="D36" s="1400"/>
      <c r="E36" s="1400"/>
      <c r="F36" s="1400"/>
    </row>
    <row r="37" spans="1:6" ht="13.5" customHeight="1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611" bestFit="1" customWidth="1"/>
    <col min="2" max="2" width="10" style="611" customWidth="1"/>
    <col min="3" max="3" width="36.142857142857146" style="611" customWidth="1"/>
    <col min="4" max="11" width="7.714285714285714" style="611" customWidth="1"/>
    <col min="12" max="73" width="9.142857142857142" style="610"/>
    <col min="74" max="16384" width="9.142857142857142" style="611"/>
  </cols>
  <sheetData>
    <row r="1" spans="1:11" ht="30" customHeight="1" thickBot="1">
      <c r="A1" s="1414" t="s">
        <v>3897</v>
      </c>
      <c r="B1" s="1414"/>
      <c r="C1" s="1415"/>
      <c r="D1" s="1415"/>
      <c r="E1" s="1415"/>
      <c r="F1" s="1415"/>
      <c r="G1" s="1415"/>
      <c r="H1" s="1415"/>
      <c r="I1" s="1415"/>
      <c r="J1" s="1415"/>
      <c r="K1" s="1415"/>
    </row>
    <row r="2" spans="1:11 69:73" ht="22.5" customHeight="1">
      <c r="A2" s="1416"/>
      <c r="B2" s="1419" t="s">
        <v>3469</v>
      </c>
      <c r="C2" s="1420"/>
      <c r="D2" s="1419" t="s">
        <v>146</v>
      </c>
      <c r="E2" s="1423"/>
      <c r="F2" s="1424" t="s">
        <v>3467</v>
      </c>
      <c r="G2" s="1425"/>
      <c r="H2" s="1424" t="s">
        <v>3468</v>
      </c>
      <c r="I2" s="1425"/>
      <c r="J2" s="1424" t="s">
        <v>3556</v>
      </c>
      <c r="K2" s="1426"/>
      <c r="BQ2" s="611"/>
      <c r="BR2" s="611"/>
      <c r="BS2" s="611"/>
      <c r="BT2" s="611"/>
      <c r="BU2" s="611"/>
    </row>
    <row r="3" spans="1:11 69:73" ht="21.95" customHeight="1">
      <c r="A3" s="1417"/>
      <c r="B3" s="1421"/>
      <c r="C3" s="1422"/>
      <c r="D3" s="1421"/>
      <c r="E3" s="1422"/>
      <c r="F3" s="612" t="s">
        <v>3554</v>
      </c>
      <c r="G3" s="612" t="s">
        <v>3555</v>
      </c>
      <c r="H3" s="612" t="s">
        <v>3554</v>
      </c>
      <c r="I3" s="612" t="s">
        <v>3555</v>
      </c>
      <c r="J3" s="612" t="s">
        <v>3554</v>
      </c>
      <c r="K3" s="613" t="s">
        <v>3555</v>
      </c>
      <c r="BQ3" s="611"/>
      <c r="BR3" s="611"/>
      <c r="BS3" s="611"/>
      <c r="BT3" s="611"/>
      <c r="BU3" s="611"/>
    </row>
    <row r="4" spans="1:11 69:73" ht="12" customHeight="1">
      <c r="A4" s="1418"/>
      <c r="B4" s="1427">
        <v>1.0</v>
      </c>
      <c r="C4" s="1428"/>
      <c r="D4" s="1427">
        <v>2.0</v>
      </c>
      <c r="E4" s="1427"/>
      <c r="F4" s="1429">
        <v>3.0</v>
      </c>
      <c r="G4" s="1430"/>
      <c r="H4" s="1429">
        <v>4.0</v>
      </c>
      <c r="I4" s="1430"/>
      <c r="J4" s="1429">
        <v>5.0</v>
      </c>
      <c r="K4" s="1431"/>
      <c r="BQ4" s="611"/>
      <c r="BR4" s="611"/>
      <c r="BS4" s="611"/>
      <c r="BT4" s="611"/>
      <c r="BU4" s="611"/>
    </row>
    <row r="5" spans="1:11 69:73" ht="18" customHeight="1">
      <c r="A5" s="614">
        <v>5.0</v>
      </c>
      <c r="B5" s="1432" t="s">
        <v>140</v>
      </c>
      <c r="C5" s="1433"/>
      <c r="D5" s="1434"/>
      <c r="E5" s="1435"/>
      <c r="F5" s="615"/>
      <c r="G5" s="615"/>
      <c r="H5" s="615"/>
      <c r="I5" s="615"/>
      <c r="J5" s="616"/>
      <c r="K5" s="617"/>
      <c r="BQ5" s="611"/>
      <c r="BR5" s="611"/>
      <c r="BS5" s="611"/>
      <c r="BT5" s="611"/>
      <c r="BU5" s="611"/>
    </row>
    <row r="6" spans="1:11 69:73" ht="18" customHeight="1">
      <c r="A6" s="614">
        <v>6.0</v>
      </c>
      <c r="B6" s="1432" t="s">
        <v>140</v>
      </c>
      <c r="C6" s="1433"/>
      <c r="D6" s="1434"/>
      <c r="E6" s="1434"/>
      <c r="F6" s="615"/>
      <c r="G6" s="615"/>
      <c r="H6" s="615"/>
      <c r="I6" s="615"/>
      <c r="J6" s="616"/>
      <c r="K6" s="617"/>
      <c r="BQ6" s="611"/>
      <c r="BR6" s="611"/>
      <c r="BS6" s="611"/>
      <c r="BT6" s="611"/>
      <c r="BU6" s="611"/>
    </row>
    <row r="7" spans="1:11 69:73" ht="18" customHeight="1">
      <c r="A7" s="614">
        <v>7.0</v>
      </c>
      <c r="B7" s="1432" t="s">
        <v>140</v>
      </c>
      <c r="C7" s="1433"/>
      <c r="D7" s="1434"/>
      <c r="E7" s="1434"/>
      <c r="F7" s="615"/>
      <c r="G7" s="615"/>
      <c r="H7" s="615"/>
      <c r="I7" s="615"/>
      <c r="J7" s="616"/>
      <c r="K7" s="617"/>
      <c r="BQ7" s="611"/>
      <c r="BR7" s="611"/>
      <c r="BS7" s="611"/>
      <c r="BT7" s="611"/>
      <c r="BU7" s="611"/>
    </row>
    <row r="8" spans="1:11 69:73" ht="18" customHeight="1">
      <c r="A8" s="614">
        <v>8.0</v>
      </c>
      <c r="B8" s="1432" t="s">
        <v>140</v>
      </c>
      <c r="C8" s="1433"/>
      <c r="D8" s="1434"/>
      <c r="E8" s="1434"/>
      <c r="F8" s="615"/>
      <c r="G8" s="615"/>
      <c r="H8" s="615"/>
      <c r="I8" s="615"/>
      <c r="J8" s="616"/>
      <c r="K8" s="617"/>
      <c r="BQ8" s="611"/>
      <c r="BR8" s="611"/>
      <c r="BS8" s="611"/>
      <c r="BT8" s="611"/>
      <c r="BU8" s="611"/>
    </row>
    <row r="9" spans="1:11 69:73" ht="18" customHeight="1">
      <c r="A9" s="614">
        <v>9.0</v>
      </c>
      <c r="B9" s="1432" t="s">
        <v>140</v>
      </c>
      <c r="C9" s="1433"/>
      <c r="D9" s="1434"/>
      <c r="E9" s="1434"/>
      <c r="F9" s="615"/>
      <c r="G9" s="615"/>
      <c r="H9" s="615"/>
      <c r="I9" s="615"/>
      <c r="J9" s="616"/>
      <c r="K9" s="617"/>
      <c r="BQ9" s="611"/>
      <c r="BR9" s="611"/>
      <c r="BS9" s="611"/>
      <c r="BT9" s="611"/>
      <c r="BU9" s="611"/>
    </row>
    <row r="10" spans="1:11 69:73" ht="18" customHeight="1">
      <c r="A10" s="614">
        <v>10.0</v>
      </c>
      <c r="B10" s="1432" t="s">
        <v>140</v>
      </c>
      <c r="C10" s="1433"/>
      <c r="D10" s="1434"/>
      <c r="E10" s="1434"/>
      <c r="F10" s="615"/>
      <c r="G10" s="615"/>
      <c r="H10" s="615"/>
      <c r="I10" s="615"/>
      <c r="J10" s="616"/>
      <c r="K10" s="617"/>
      <c r="BQ10" s="611"/>
      <c r="BR10" s="611"/>
      <c r="BS10" s="611"/>
      <c r="BT10" s="611"/>
      <c r="BU10" s="611"/>
    </row>
    <row r="11" spans="1:11 69:73" ht="18" customHeight="1">
      <c r="A11" s="614">
        <v>11.0</v>
      </c>
      <c r="B11" s="1432" t="s">
        <v>140</v>
      </c>
      <c r="C11" s="1433"/>
      <c r="D11" s="1434"/>
      <c r="E11" s="1434"/>
      <c r="F11" s="615"/>
      <c r="G11" s="615"/>
      <c r="H11" s="615"/>
      <c r="I11" s="615"/>
      <c r="J11" s="616"/>
      <c r="K11" s="617"/>
      <c r="BQ11" s="611"/>
      <c r="BR11" s="611"/>
      <c r="BS11" s="611"/>
      <c r="BT11" s="611"/>
      <c r="BU11" s="611"/>
    </row>
    <row r="12" spans="1:11 69:73" ht="18" customHeight="1">
      <c r="A12" s="614">
        <v>12.0</v>
      </c>
      <c r="B12" s="1432" t="s">
        <v>140</v>
      </c>
      <c r="C12" s="1433"/>
      <c r="D12" s="1434"/>
      <c r="E12" s="1434"/>
      <c r="F12" s="615"/>
      <c r="G12" s="615"/>
      <c r="H12" s="615"/>
      <c r="I12" s="615"/>
      <c r="J12" s="616"/>
      <c r="K12" s="617"/>
      <c r="BQ12" s="611"/>
      <c r="BR12" s="611"/>
      <c r="BS12" s="611"/>
      <c r="BT12" s="611"/>
      <c r="BU12" s="611"/>
    </row>
    <row r="13" spans="1:11 73:73" ht="15.95" customHeight="1" thickBot="1">
      <c r="A13" s="618"/>
      <c r="B13" s="1436" t="s">
        <v>58</v>
      </c>
      <c r="C13" s="1437"/>
      <c r="D13" s="1438"/>
      <c r="E13" s="1438"/>
      <c r="F13" s="619">
        <f t="shared" si="0" ref="F13:K13">+SUM(F5:F12)</f>
        <v>0.0</v>
      </c>
      <c r="G13" s="619">
        <f t="shared" si="0"/>
        <v>0.0</v>
      </c>
      <c r="H13" s="619">
        <f t="shared" si="0"/>
        <v>0.0</v>
      </c>
      <c r="I13" s="619">
        <f t="shared" si="0"/>
        <v>0.0</v>
      </c>
      <c r="J13" s="619">
        <f t="shared" si="0"/>
        <v>0.0</v>
      </c>
      <c r="K13" s="620">
        <f t="shared" si="0"/>
        <v>0.0</v>
      </c>
      <c r="BU13" s="611"/>
    </row>
    <row r="14" spans="1:11" s="610" customFormat="1" ht="99.95" customHeight="1">
      <c r="A14" s="1439"/>
      <c r="B14" s="1439"/>
      <c r="C14" s="1440"/>
      <c r="D14" s="1440"/>
      <c r="E14" s="1440"/>
      <c r="F14" s="1440"/>
      <c r="G14" s="1440"/>
      <c r="H14" s="1440"/>
      <c r="I14" s="1440"/>
      <c r="J14" s="1440"/>
      <c r="K14" s="1440"/>
    </row>
    <row r="15" spans="1:11" s="610" customFormat="1" ht="99.95" customHeight="1">
      <c r="A15" s="1441"/>
      <c r="B15" s="1441"/>
      <c r="C15" s="1441"/>
      <c r="D15" s="1441"/>
      <c r="E15" s="1441"/>
      <c r="F15" s="1441"/>
      <c r="G15" s="1441"/>
      <c r="H15" s="1441"/>
      <c r="I15" s="1441"/>
      <c r="J15" s="1441"/>
      <c r="K15" s="1441"/>
    </row>
    <row r="16" s="610" customFormat="1" ht="12.75"/>
    <row r="17" s="610" customFormat="1" ht="12.75"/>
    <row r="18" s="610" customFormat="1" ht="12.75"/>
    <row r="19" s="610" customFormat="1" ht="12.75"/>
    <row r="20" s="610" customFormat="1" ht="12.75"/>
    <row r="21" s="610" customFormat="1" ht="12.75"/>
    <row r="22" s="610" customFormat="1" ht="12.75"/>
    <row r="23" s="610" customFormat="1" ht="12.75"/>
    <row r="24" s="610" customFormat="1" ht="12.75"/>
    <row r="25" s="610" customFormat="1" ht="12.75"/>
    <row r="26" s="610" customFormat="1" ht="12.75"/>
    <row r="27" s="610" customFormat="1" ht="12.75"/>
    <row r="28" s="610" customFormat="1" ht="12.75"/>
    <row r="29" s="610" customFormat="1" ht="12.75"/>
    <row r="30" s="610" customFormat="1" ht="12.75"/>
    <row r="31" s="610" customFormat="1" ht="12.75"/>
    <row r="32" s="610" customFormat="1" ht="12.75"/>
    <row r="33" s="610" customFormat="1" ht="12.75"/>
    <row r="34" s="610" customFormat="1" ht="12.75"/>
    <row r="35" s="610" customFormat="1" ht="12.75"/>
    <row r="36" s="610" customFormat="1" ht="12.75"/>
    <row r="37" s="610" customFormat="1" ht="12.75"/>
    <row r="38" s="610" customFormat="1" ht="12.75"/>
    <row r="39" s="610" customFormat="1" ht="12.75"/>
    <row r="40" s="610" customFormat="1" ht="12.75"/>
    <row r="41" s="610" customFormat="1" ht="12.75"/>
    <row r="42" s="610" customFormat="1" ht="12.75"/>
    <row r="43" s="610" customFormat="1" ht="12.75"/>
    <row r="44" s="610" customFormat="1" ht="12.75"/>
    <row r="45" s="610" customFormat="1" ht="12.75"/>
    <row r="46" s="610" customFormat="1" ht="12.75"/>
    <row r="47" s="610" customFormat="1" ht="12.75"/>
    <row r="48" s="610" customFormat="1" ht="12.75"/>
    <row r="49" s="610" customFormat="1" ht="12.75"/>
    <row r="50" s="610" customFormat="1" ht="12.75"/>
    <row r="51" s="610" customFormat="1" ht="12.75"/>
    <row r="52" s="610" customFormat="1" ht="12.75"/>
    <row r="53" s="610" customFormat="1" ht="12.75"/>
    <row r="54" s="610" customFormat="1" ht="12.75"/>
    <row r="55" s="610" customFormat="1" ht="12.75"/>
    <row r="56" s="610" customFormat="1" ht="12.75"/>
    <row r="57" s="610" customFormat="1" ht="12.75"/>
    <row r="58" s="610" customFormat="1" ht="12.75"/>
    <row r="59" s="610" customFormat="1" ht="12.75"/>
    <row r="60" s="610" customFormat="1" ht="12.75"/>
    <row r="61" s="610" customFormat="1" ht="12.75"/>
    <row r="62" s="610" customFormat="1" ht="12.75"/>
    <row r="63" s="610" customFormat="1" ht="12.75"/>
    <row r="64" s="610" customFormat="1" ht="12.75"/>
    <row r="65" s="610" customFormat="1" ht="12.75"/>
    <row r="66" s="610" customFormat="1" ht="12.75"/>
    <row r="67" s="610" customFormat="1" ht="12.75"/>
    <row r="68" s="610" customFormat="1" ht="12.75"/>
    <row r="69" s="610" customFormat="1" ht="12.75"/>
    <row r="70" s="610" customFormat="1" ht="12.75"/>
    <row r="71" s="610" customFormat="1" ht="12.75"/>
    <row r="72" s="610" customFormat="1" ht="12.75"/>
    <row r="73" s="610" customFormat="1" ht="12.75"/>
    <row r="74" s="610" customFormat="1" ht="12.75"/>
    <row r="75" s="610" customFormat="1" ht="12.75"/>
    <row r="76" s="610" customFormat="1" ht="12.75"/>
    <row r="77" s="610" customFormat="1" ht="12.75"/>
    <row r="78" s="610" customFormat="1" ht="12.75"/>
    <row r="79" s="610" customFormat="1" ht="12.75"/>
    <row r="80" s="610" customFormat="1" ht="12.75"/>
    <row r="81" s="610" customFormat="1" ht="12.75"/>
    <row r="82" s="610" customFormat="1" ht="12.75"/>
    <row r="83" s="610" customFormat="1" ht="12.75"/>
    <row r="84" s="610" customFormat="1" ht="12.75"/>
    <row r="85" s="610" customFormat="1" ht="12.75"/>
    <row r="86" s="610" customFormat="1" ht="12.75"/>
    <row r="87" s="610" customFormat="1" ht="12.75"/>
    <row r="88" s="610" customFormat="1" ht="12.75"/>
    <row r="89" s="610" customFormat="1" ht="12.75"/>
    <row r="90" s="610" customFormat="1" ht="12.75"/>
    <row r="91" s="610" customFormat="1" ht="12.75"/>
    <row r="92" s="610" customFormat="1" ht="12.75"/>
    <row r="93" s="610" customFormat="1" ht="12.75"/>
    <row r="94" s="610" customFormat="1" ht="12.75"/>
    <row r="95" s="610" customFormat="1" ht="12.75"/>
    <row r="96" s="610" customFormat="1" ht="12.75"/>
    <row r="97" s="610" customFormat="1" ht="12.75"/>
    <row r="98" s="610" customFormat="1" ht="12.75"/>
    <row r="99" s="610" customFormat="1" ht="12.75"/>
    <row r="100" s="610" customFormat="1" ht="12.75"/>
    <row r="101" s="610" customFormat="1" ht="12.75"/>
    <row r="102" s="610" customFormat="1" ht="12.75"/>
    <row r="103" s="610" customFormat="1" ht="12.75"/>
    <row r="104" s="610" customFormat="1" ht="12.75"/>
    <row r="105" s="610" customFormat="1" ht="12.75"/>
    <row r="106" s="610" customFormat="1" ht="12.75"/>
    <row r="107" s="610" customFormat="1" ht="12.75"/>
    <row r="108" s="610" customFormat="1" ht="12.75"/>
    <row r="109" s="610" customFormat="1" ht="12.75"/>
    <row r="110" s="610" customFormat="1" ht="12.75"/>
    <row r="111" s="610" customFormat="1" ht="12.75"/>
    <row r="112" s="610" customFormat="1" ht="12.75"/>
    <row r="113" s="610" customFormat="1" ht="12.75"/>
    <row r="114" s="610" customFormat="1" ht="12.75"/>
    <row r="115" s="610" customFormat="1" ht="12.75"/>
    <row r="116" s="610" customFormat="1" ht="12.75"/>
    <row r="117" s="610" customFormat="1" ht="12.75"/>
    <row r="118" s="610" customFormat="1" ht="12.75"/>
    <row r="119" s="610" customFormat="1" ht="12.75"/>
    <row r="120" s="610" customFormat="1" ht="12.75"/>
    <row r="121" s="610" customFormat="1" ht="12.75"/>
    <row r="122" s="610" customFormat="1" ht="12.75"/>
    <row r="123" s="610" customFormat="1" ht="12.75"/>
    <row r="124" s="610" customFormat="1" ht="12.75"/>
    <row r="125" s="610" customFormat="1" ht="12.75"/>
    <row r="126" s="610" customFormat="1" ht="12.75"/>
    <row r="127" s="610" customFormat="1" ht="12.75"/>
    <row r="128" s="610" customFormat="1" ht="12.75"/>
    <row r="129" s="610" customFormat="1" ht="12.75"/>
    <row r="130" s="610" customFormat="1" ht="12.75"/>
    <row r="131" s="610" customFormat="1" ht="12.75"/>
    <row r="132" s="610" customFormat="1" ht="12.75"/>
    <row r="133" s="610" customFormat="1" ht="12.75"/>
    <row r="134" s="610" customFormat="1" ht="12.75"/>
    <row r="135" s="610" customFormat="1" ht="12.75"/>
    <row r="136" s="610" customFormat="1" ht="12.75"/>
    <row r="137" s="610" customFormat="1" ht="12.75"/>
    <row r="138" s="610" customFormat="1" ht="12.75"/>
    <row r="139" s="610" customFormat="1" ht="12.75"/>
    <row r="140" s="610" customFormat="1" ht="12.75"/>
    <row r="141" s="610" customFormat="1" ht="12.75"/>
    <row r="142" s="610" customFormat="1" ht="12.75"/>
    <row r="143" s="610" customFormat="1" ht="12.75"/>
    <row r="144" s="610" customFormat="1" ht="12.75"/>
    <row r="145" s="610" customFormat="1" ht="12.75"/>
    <row r="146" s="610" customFormat="1" ht="12.75"/>
    <row r="147" s="610" customFormat="1" ht="12.75"/>
    <row r="148" s="610" customFormat="1" ht="12.75"/>
    <row r="149" s="610" customFormat="1" ht="12.75"/>
    <row r="150" s="610" customFormat="1" ht="12.75"/>
    <row r="151" s="610" customFormat="1" ht="12.75"/>
    <row r="152" s="610" customFormat="1" ht="12.75"/>
    <row r="153" s="610" customFormat="1" ht="12.75"/>
    <row r="154" s="610" customFormat="1" ht="12.75"/>
    <row r="155" s="610" customFormat="1" ht="12.75"/>
    <row r="156" s="610" customFormat="1" ht="12.75"/>
    <row r="157" s="610" customFormat="1" ht="12.75"/>
    <row r="158" s="610" customFormat="1" ht="12.75"/>
    <row r="159" s="610" customFormat="1" ht="12.75"/>
    <row r="160" s="610" customFormat="1" ht="12.75"/>
    <row r="161" s="610" customFormat="1" ht="12.75"/>
    <row r="162" s="610" customFormat="1" ht="12.75"/>
    <row r="163" s="610" customFormat="1" ht="12.75"/>
    <row r="164" s="610" customFormat="1" ht="12.75"/>
    <row r="165" s="610" customFormat="1" ht="12.75"/>
    <row r="166" s="610" customFormat="1" ht="12.75"/>
    <row r="167" s="610" customFormat="1" ht="12.75"/>
    <row r="168" s="610" customFormat="1" ht="12.75"/>
    <row r="169" s="610" customFormat="1" ht="12.75"/>
    <row r="170" s="610" customFormat="1" ht="12.75"/>
    <row r="171" s="610" customFormat="1" ht="12.75"/>
    <row r="172" s="610" customFormat="1" ht="12.75"/>
    <row r="173" s="610" customFormat="1" ht="12.75"/>
    <row r="174" s="610" customFormat="1" ht="12.75"/>
    <row r="175" s="610" customFormat="1" ht="12.75"/>
    <row r="176" s="610" customFormat="1" ht="12.75"/>
    <row r="177" s="610" customFormat="1" ht="12.75"/>
    <row r="178" s="610" customFormat="1" ht="12.75"/>
    <row r="179" s="610" customFormat="1" ht="12.75"/>
    <row r="180" s="610" customFormat="1" ht="12.75"/>
    <row r="181" s="610" customFormat="1" ht="12.75"/>
    <row r="182" s="610" customFormat="1" ht="12.75"/>
    <row r="183" s="610" customFormat="1" ht="12.75"/>
    <row r="184" s="610" customFormat="1" ht="12.75"/>
    <row r="185" s="610" customFormat="1" ht="12.75"/>
    <row r="186" s="610" customFormat="1" ht="12.75"/>
    <row r="187" s="610" customFormat="1" ht="12.75"/>
    <row r="188" s="610" customFormat="1" ht="12.75"/>
    <row r="189" s="610" customFormat="1" ht="12.75"/>
    <row r="190" s="610" customFormat="1" ht="12.75"/>
    <row r="191" s="610" customFormat="1" ht="12.75"/>
    <row r="192" s="610" customFormat="1" ht="12.75"/>
    <row r="193" s="610" customFormat="1" ht="12.75"/>
    <row r="194" s="610" customFormat="1" ht="12.75"/>
    <row r="195" s="610" customFormat="1" ht="12.75"/>
    <row r="196" s="610" customFormat="1" ht="12.75"/>
    <row r="197" s="610" customFormat="1" ht="12.75"/>
    <row r="198" s="610" customFormat="1" ht="12.75"/>
    <row r="199" s="610" customFormat="1" ht="12.75"/>
    <row r="200" s="610" customFormat="1" ht="12.75"/>
    <row r="201" s="610" customFormat="1" ht="12.75"/>
    <row r="202" s="610" customFormat="1" ht="12.75"/>
    <row r="203" s="610" customFormat="1" ht="12.75"/>
    <row r="204" s="610" customFormat="1" ht="12.75"/>
    <row r="205" s="610" customFormat="1" ht="12.75"/>
    <row r="206" s="610" customFormat="1" ht="12.75"/>
    <row r="207" s="610" customFormat="1" ht="12.75"/>
    <row r="208" s="610" customFormat="1" ht="12.75"/>
    <row r="209" s="610" customFormat="1" ht="12.75"/>
    <row r="210" s="610" customFormat="1" ht="12.75"/>
    <row r="211" s="610" customFormat="1" ht="12.75"/>
    <row r="212" s="610" customFormat="1" ht="12.75"/>
    <row r="213" s="610" customFormat="1" ht="12.75"/>
    <row r="214" s="610" customFormat="1" ht="12.75"/>
    <row r="215" s="610" customFormat="1" ht="12.75"/>
    <row r="216" s="610" customFormat="1" ht="12.75"/>
    <row r="217" s="610" customFormat="1" ht="12.75"/>
    <row r="218" s="610" customFormat="1" ht="12.75"/>
    <row r="219" s="610" customFormat="1" ht="12.75"/>
    <row r="220" s="610" customFormat="1" ht="12.75"/>
    <row r="221" s="610" customFormat="1" ht="12.75"/>
    <row r="222" s="610" customFormat="1" ht="12.75"/>
    <row r="223" s="610" customFormat="1" ht="12.75"/>
    <row r="224" s="610" customFormat="1" ht="12.75"/>
    <row r="225" s="610" customFormat="1" ht="12.75"/>
    <row r="226" s="610" customFormat="1" ht="12.75"/>
    <row r="227" s="610" customFormat="1" ht="12.75"/>
    <row r="228" s="610" customFormat="1" ht="12.75"/>
    <row r="229" s="610" customFormat="1" ht="12.75"/>
    <row r="230" s="610" customFormat="1" ht="12.75"/>
    <row r="231" s="610" customFormat="1" ht="12.75"/>
    <row r="232" s="610" customFormat="1" ht="12.75"/>
    <row r="233" s="610" customFormat="1" ht="12.75"/>
    <row r="234" s="610" customFormat="1" ht="12.75"/>
    <row r="235" s="610" customFormat="1" ht="12.75"/>
    <row r="236" s="610" customFormat="1" ht="12.75"/>
    <row r="237" s="610" customFormat="1" ht="12.75"/>
    <row r="238" s="610" customFormat="1" ht="12.75"/>
    <row r="239" s="610" customFormat="1" ht="12.75"/>
    <row r="240" s="610" customFormat="1" ht="12.75"/>
    <row r="241" s="610" customFormat="1" ht="12.75"/>
    <row r="242" s="610" customFormat="1" ht="12.75"/>
    <row r="243" s="610" customFormat="1" ht="12.75"/>
    <row r="244" s="610" customFormat="1" ht="12.75"/>
    <row r="245" s="610" customFormat="1" ht="12.75"/>
    <row r="246" s="610" customFormat="1" ht="12.75"/>
    <row r="247" s="610" customFormat="1" ht="12.75"/>
    <row r="248" s="610" customFormat="1" ht="12.75"/>
    <row r="249" s="610" customFormat="1" ht="12.75"/>
    <row r="250" s="610" customFormat="1" ht="12.75"/>
    <row r="251" s="610" customFormat="1" ht="12.75"/>
    <row r="252" s="610" customFormat="1" ht="12.75"/>
    <row r="253" s="610" customFormat="1" ht="12.75"/>
    <row r="254" s="610" customFormat="1" ht="12.75"/>
    <row r="255" s="610" customFormat="1" ht="12.75"/>
    <row r="256" s="610" customFormat="1" ht="12.75"/>
    <row r="257" s="610" customFormat="1" ht="12.75"/>
    <row r="258" s="610" customFormat="1" ht="12.75"/>
    <row r="259" s="610" customFormat="1" ht="12.75"/>
    <row r="260" s="610" customFormat="1" ht="12.75"/>
    <row r="261" s="610" customFormat="1" ht="12.75"/>
    <row r="262" s="610" customFormat="1" ht="12.75"/>
    <row r="263" s="610" customFormat="1" ht="12.75"/>
    <row r="264" s="610" customFormat="1" ht="12.75"/>
    <row r="265" s="610" customFormat="1" ht="12.75"/>
    <row r="266" s="610" customFormat="1" ht="12.75"/>
    <row r="267" s="610" customFormat="1" ht="12.75"/>
    <row r="268" s="610" customFormat="1" ht="12.75"/>
    <row r="269" s="610" customFormat="1" ht="12.75"/>
    <row r="270" s="610" customFormat="1" ht="12.75"/>
    <row r="271" s="610" customFormat="1" ht="12.75"/>
    <row r="272" s="610" customFormat="1" ht="12.75"/>
    <row r="273" s="610" customFormat="1" ht="12.75"/>
    <row r="274" s="610" customFormat="1" ht="12.75"/>
    <row r="275" s="610" customFormat="1" ht="12.75"/>
    <row r="276" s="610" customFormat="1" ht="12.75"/>
    <row r="277" s="610" customFormat="1" ht="12.75"/>
    <row r="278" s="610" customFormat="1" ht="12.75"/>
    <row r="279" s="610" customFormat="1" ht="12.75"/>
    <row r="280" s="610" customFormat="1" ht="12.75"/>
    <row r="281" s="610" customFormat="1" ht="12.75"/>
    <row r="282" s="610" customFormat="1" ht="12.75"/>
    <row r="283" s="610" customFormat="1" ht="12.75"/>
    <row r="284" s="610" customFormat="1" ht="12.75"/>
    <row r="285" s="610" customFormat="1" ht="12.75"/>
    <row r="286" s="610" customFormat="1" ht="12.75"/>
    <row r="287" s="610" customFormat="1" ht="12.75"/>
    <row r="288" s="610" customFormat="1" ht="12.75"/>
    <row r="289" s="610" customFormat="1" ht="12.75"/>
    <row r="290" s="610" customFormat="1" ht="12.75"/>
    <row r="291" s="610" customFormat="1" ht="12.75"/>
    <row r="292" s="610" customFormat="1" ht="12.75"/>
    <row r="293" s="610" customFormat="1" ht="12.75"/>
    <row r="294" s="610" customFormat="1" ht="12.75"/>
    <row r="295" s="610" customFormat="1" ht="12.75"/>
    <row r="296" s="610" customFormat="1" ht="12.75"/>
    <row r="297" s="610" customFormat="1" ht="12.75"/>
    <row r="298" s="610" customFormat="1" ht="12.75"/>
    <row r="299" s="610" customFormat="1" ht="12.75"/>
    <row r="300" s="610" customFormat="1" ht="12.75"/>
    <row r="301" s="610" customFormat="1" ht="12.75"/>
    <row r="302" s="610" customFormat="1" ht="12.75"/>
    <row r="303" s="610" customFormat="1" ht="12.75"/>
    <row r="304" s="610" customFormat="1" ht="12.75"/>
    <row r="305" s="610" customFormat="1" ht="12.75"/>
    <row r="306" s="610" customFormat="1" ht="12.75"/>
    <row r="307" s="610" customFormat="1" ht="12.75"/>
    <row r="308" s="610" customFormat="1" ht="12.75"/>
    <row r="309" s="610" customFormat="1" ht="12.75"/>
    <row r="310" s="610" customFormat="1" ht="12.75"/>
    <row r="311" s="610" customFormat="1" ht="12.75"/>
    <row r="312" s="610" customFormat="1" ht="12.75"/>
    <row r="313" s="610" customFormat="1" ht="12.75"/>
    <row r="314" s="610" customFormat="1" ht="12.75"/>
    <row r="315" s="610" customFormat="1" ht="12.75"/>
    <row r="316" s="610" customFormat="1" ht="12.75"/>
    <row r="317" s="610" customFormat="1" ht="12.75"/>
    <row r="318" s="610" customFormat="1" ht="12.75"/>
    <row r="319" s="610" customFormat="1" ht="12.75"/>
    <row r="320" s="610" customFormat="1" ht="12.75"/>
    <row r="321" s="610" customFormat="1" ht="12.75"/>
    <row r="322" s="610" customFormat="1" ht="12.75"/>
    <row r="323" s="610" customFormat="1" ht="12.75"/>
    <row r="324" s="610" customFormat="1" ht="12.75"/>
    <row r="325" s="610" customFormat="1" ht="12.75"/>
    <row r="326" s="610" customFormat="1" ht="12.75"/>
    <row r="327" s="610" customFormat="1" ht="12.75"/>
    <row r="328" s="610" customFormat="1" ht="12.75"/>
    <row r="329" s="610" customFormat="1" ht="12.75"/>
    <row r="330" s="610" customFormat="1" ht="12.75"/>
    <row r="331" s="610" customFormat="1" ht="12.75"/>
    <row r="332" s="610" customFormat="1" ht="12.75"/>
    <row r="333" s="610" customFormat="1" ht="12.75"/>
    <row r="334" s="610" customFormat="1" ht="12.75"/>
    <row r="335" s="610" customFormat="1" ht="12.75"/>
    <row r="336" s="610" customFormat="1" ht="12.75"/>
    <row r="337" s="610" customFormat="1" ht="12.75"/>
    <row r="338" s="610" customFormat="1" ht="12.75"/>
    <row r="339" s="610" customFormat="1" ht="12.75"/>
    <row r="340" s="610" customFormat="1" ht="12.75"/>
    <row r="341" s="610" customFormat="1" ht="12.75"/>
    <row r="342" s="610" customFormat="1" ht="12.75"/>
    <row r="343" s="610" customFormat="1" ht="12.75"/>
    <row r="344" s="610" customFormat="1" ht="12.75"/>
    <row r="345" s="610" customFormat="1" ht="12.75"/>
    <row r="346" s="610" customFormat="1" ht="12.75"/>
    <row r="347" s="610" customFormat="1" ht="12.75"/>
    <row r="348" s="610" customFormat="1" ht="12.75"/>
    <row r="349" s="610" customFormat="1" ht="12.75"/>
    <row r="350" s="610" customFormat="1" ht="12.75"/>
    <row r="351" s="610" customFormat="1" ht="12.75"/>
    <row r="352" s="610" customFormat="1" ht="12.75"/>
    <row r="353" s="610" customFormat="1" ht="12.75"/>
    <row r="354" s="610" customFormat="1" ht="12.75"/>
    <row r="355" s="610" customFormat="1" ht="12.75"/>
    <row r="356" s="610" customFormat="1" ht="12.75"/>
    <row r="357" s="610" customFormat="1" ht="12.75"/>
    <row r="358" s="610" customFormat="1" ht="12.75"/>
    <row r="359" s="610" customFormat="1" ht="12.75"/>
    <row r="360" s="610" customFormat="1" ht="12.75"/>
    <row r="361" s="610" customFormat="1" ht="12.75"/>
    <row r="362" s="610" customFormat="1" ht="12.75"/>
    <row r="363" s="610" customFormat="1" ht="12.75"/>
    <row r="364" s="610" customFormat="1" ht="12.75"/>
    <row r="365" s="610" customFormat="1" ht="12.75"/>
    <row r="366" s="610" customFormat="1" ht="12.75"/>
    <row r="367" s="610" customFormat="1" ht="12.75"/>
    <row r="368" s="610" customFormat="1" ht="12.75"/>
    <row r="369" s="610" customFormat="1" ht="12.75"/>
    <row r="370" s="610" customFormat="1" ht="12.75"/>
    <row r="371" s="610" customFormat="1" ht="12.75"/>
    <row r="372" s="610" customFormat="1" ht="12.75"/>
    <row r="373" s="610" customFormat="1" ht="12.75"/>
    <row r="374" s="610" customFormat="1" ht="12.75"/>
    <row r="375" s="610" customFormat="1" ht="12.75"/>
    <row r="376" s="610" customFormat="1" ht="12.75"/>
    <row r="377" s="610" customFormat="1" ht="12.75"/>
    <row r="378" s="610" customFormat="1" ht="12.75"/>
    <row r="379" s="610" customFormat="1" ht="12.75"/>
    <row r="380" s="610" customFormat="1" ht="12.75"/>
    <row r="381" s="610" customFormat="1" ht="12.75"/>
    <row r="382" s="610" customFormat="1" ht="12.75"/>
    <row r="383" s="610" customFormat="1" ht="12.75"/>
    <row r="384" s="610" customFormat="1" ht="12.75"/>
    <row r="385" s="610" customFormat="1" ht="12.75"/>
    <row r="386" s="610" customFormat="1" ht="12.75"/>
    <row r="387" s="610" customFormat="1" ht="12.75"/>
    <row r="388" s="610" customFormat="1" ht="12.75"/>
    <row r="389" s="610" customFormat="1" ht="12.75"/>
    <row r="390" s="610" customFormat="1" ht="12.75"/>
    <row r="391" s="610" customFormat="1" ht="12.75"/>
    <row r="392" s="610" customFormat="1" ht="12.75"/>
    <row r="393" s="610" customFormat="1" ht="12.75"/>
    <row r="394" s="610" customFormat="1" ht="12.75"/>
    <row r="395" s="610" customFormat="1" ht="12.75"/>
    <row r="396" s="610" customFormat="1" ht="12.75"/>
    <row r="397" s="610" customFormat="1" ht="12.75"/>
    <row r="398" s="610" customFormat="1" ht="12.75"/>
    <row r="399" s="610" customFormat="1" ht="12.75"/>
    <row r="400" s="610" customFormat="1" ht="12.75"/>
    <row r="401" s="610" customFormat="1" ht="12.75"/>
    <row r="402" s="610" customFormat="1" ht="12.75"/>
    <row r="403" s="610" customFormat="1" ht="12.75"/>
    <row r="404" s="610" customFormat="1" ht="12.75"/>
    <row r="405" s="610" customFormat="1" ht="12.75"/>
    <row r="406" s="610" customFormat="1" ht="12.75"/>
    <row r="407" s="610" customFormat="1" ht="12.75"/>
    <row r="408" s="610" customFormat="1" ht="12.75"/>
    <row r="409" s="610" customFormat="1" ht="12.75"/>
    <row r="410" s="610" customFormat="1" ht="12.75"/>
    <row r="411" s="610" customFormat="1" ht="12.75"/>
    <row r="412" s="610" customFormat="1" ht="12.75"/>
    <row r="413" s="610" customFormat="1" ht="12.75"/>
    <row r="414" s="610" customFormat="1" ht="12.75"/>
    <row r="415" s="610" customFormat="1" ht="12.75"/>
    <row r="416" s="610" customFormat="1" ht="12.75"/>
    <row r="417" s="610" customFormat="1" ht="12.75"/>
    <row r="418" s="610" customFormat="1" ht="12.75"/>
    <row r="419" s="610" customFormat="1" ht="12.75"/>
    <row r="420" s="610" customFormat="1" ht="12.75"/>
    <row r="421" s="610" customFormat="1" ht="12.75"/>
    <row r="422" s="610" customFormat="1" ht="12.75"/>
    <row r="423" s="610" customFormat="1" ht="12.75"/>
    <row r="424" s="610" customFormat="1" ht="12.75"/>
    <row r="425" s="610" customFormat="1" ht="12.75"/>
    <row r="426" s="610" customFormat="1" ht="12.75"/>
    <row r="427" s="610" customFormat="1" ht="12.75"/>
    <row r="428" s="610" customFormat="1" ht="12.75"/>
    <row r="429" s="610" customFormat="1" ht="12.75"/>
    <row r="430" s="610" customFormat="1" ht="12.75"/>
    <row r="431" s="610" customFormat="1" ht="12.75"/>
    <row r="432" s="610" customFormat="1" ht="12.75"/>
    <row r="433" s="610" customFormat="1" ht="12.75"/>
    <row r="434" s="610" customFormat="1" ht="12.75"/>
    <row r="435" s="610" customFormat="1" ht="12.75"/>
    <row r="436" s="610" customFormat="1" ht="12.75"/>
    <row r="437" s="610" customFormat="1" ht="12.75"/>
    <row r="438" s="610" customFormat="1" ht="12.75"/>
    <row r="439" s="610" customFormat="1" ht="12.75"/>
    <row r="440" s="610" customFormat="1" ht="12.75"/>
    <row r="441" s="610" customFormat="1" ht="12.75"/>
    <row r="442" s="610" customFormat="1" ht="12.75"/>
    <row r="443" s="610" customFormat="1" ht="12.75"/>
    <row r="444" s="610" customFormat="1" ht="12.75"/>
    <row r="445" s="610" customFormat="1" ht="12.75"/>
    <row r="446" s="610" customFormat="1" ht="12.75"/>
    <row r="447" s="610" customFormat="1" ht="12.75"/>
    <row r="448" s="610" customFormat="1" ht="12.75"/>
    <row r="449" s="610" customFormat="1" ht="12.75"/>
    <row r="450" s="610" customFormat="1" ht="12.75"/>
    <row r="451" s="610" customFormat="1" ht="12.75"/>
    <row r="452" s="610" customFormat="1" ht="12.75"/>
    <row r="453" s="610" customFormat="1" ht="12.75"/>
    <row r="454" s="610" customFormat="1" ht="12.75"/>
    <row r="455" s="610" customFormat="1" ht="12.75"/>
    <row r="456" s="610" customFormat="1" ht="12.75"/>
    <row r="457" s="610" customFormat="1" ht="12.75"/>
    <row r="458" s="610" customFormat="1" ht="12.75"/>
    <row r="459" s="610" customFormat="1" ht="12.75"/>
    <row r="460" s="610" customFormat="1" ht="12.75"/>
    <row r="461" s="610" customFormat="1" ht="12.75"/>
    <row r="462" s="610" customFormat="1" ht="12.75"/>
    <row r="463" s="610" customFormat="1" ht="12.75"/>
    <row r="464" s="610" customFormat="1" ht="12.75"/>
    <row r="465" s="610" customFormat="1" ht="12.75"/>
    <row r="466" s="610" customFormat="1" ht="12.75"/>
    <row r="467" s="610" customFormat="1" ht="12.75"/>
    <row r="468" s="610" customFormat="1" ht="12.75"/>
    <row r="469" s="610" customFormat="1" ht="12.75"/>
    <row r="470" s="610" customFormat="1" ht="12.75"/>
    <row r="471" s="610" customFormat="1" ht="12.75"/>
    <row r="472" s="610" customFormat="1" ht="12.75"/>
    <row r="473" s="610" customFormat="1" ht="12.75"/>
    <row r="474" s="610" customFormat="1" ht="12.75"/>
    <row r="475" s="610" customFormat="1" ht="12.75"/>
    <row r="476" s="610" customFormat="1" ht="12.75"/>
    <row r="477" s="610" customFormat="1" ht="12.75"/>
    <row r="478" s="610" customFormat="1" ht="12.75"/>
    <row r="479" s="610" customFormat="1" ht="12.75"/>
    <row r="480" s="610" customFormat="1" ht="12.75"/>
    <row r="481" s="610" customFormat="1" ht="12.75"/>
    <row r="482" s="610" customFormat="1" ht="12.75"/>
    <row r="483" s="610" customFormat="1" ht="12.75"/>
    <row r="484" s="610" customFormat="1" ht="12.75"/>
    <row r="485" s="610" customFormat="1" ht="12.75"/>
    <row r="486" s="610" customFormat="1" ht="12.75"/>
    <row r="487" s="610" customFormat="1" ht="12.75"/>
    <row r="488" s="610" customFormat="1" ht="12.75"/>
    <row r="489" s="610" customFormat="1" ht="12.75"/>
    <row r="490" s="610" customFormat="1" ht="12.75"/>
    <row r="491" s="610" customFormat="1" ht="12.75"/>
    <row r="492" s="610" customFormat="1" ht="12.75"/>
    <row r="493" s="610" customFormat="1" ht="12.75"/>
    <row r="494" s="610" customFormat="1" ht="12.75"/>
    <row r="495" s="610" customFormat="1" ht="12.75"/>
    <row r="496" s="610" customFormat="1" ht="12.75"/>
    <row r="497" s="610" customFormat="1" ht="12.75"/>
    <row r="498" s="610" customFormat="1" ht="12.75"/>
    <row r="499" s="610" customFormat="1" ht="12.75"/>
    <row r="500" s="610" customFormat="1" ht="12.75"/>
    <row r="501" s="610" customFormat="1" ht="12.75"/>
    <row r="502" s="610" customFormat="1" ht="12.75"/>
    <row r="503" s="610" customFormat="1" ht="12.75"/>
    <row r="504" s="610" customFormat="1" ht="12.75"/>
    <row r="505" s="610" customFormat="1" ht="12.75"/>
    <row r="506" s="610" customFormat="1" ht="12.75"/>
    <row r="507" s="610" customFormat="1" ht="12.75"/>
    <row r="508" s="610" customFormat="1" ht="12.75"/>
    <row r="509" s="610" customFormat="1" ht="12.75"/>
    <row r="510" s="610" customFormat="1" ht="12.75"/>
    <row r="511" s="610" customFormat="1" ht="12.75"/>
    <row r="512" s="610" customFormat="1" ht="12.75"/>
    <row r="513" s="610" customFormat="1" ht="12.75"/>
    <row r="514" s="610" customFormat="1" ht="12.75"/>
    <row r="515" s="610" customFormat="1" ht="12.75"/>
    <row r="516" s="610" customFormat="1" ht="12.75"/>
    <row r="517" s="610" customFormat="1" ht="12.75"/>
    <row r="518" s="610" customFormat="1" ht="12.75"/>
    <row r="519" s="610" customFormat="1" ht="12.75"/>
    <row r="520" s="610" customFormat="1" ht="12.75"/>
    <row r="521" s="610" customFormat="1" ht="12.75"/>
    <row r="522" s="610" customFormat="1" ht="12.75"/>
    <row r="523" s="610" customFormat="1" ht="12.75"/>
    <row r="524" s="610" customFormat="1" ht="12.75"/>
    <row r="525" s="610" customFormat="1" ht="12.75"/>
    <row r="526" s="610" customFormat="1" ht="12.75"/>
    <row r="527" s="610" customFormat="1" ht="12.75"/>
    <row r="528" s="610" customFormat="1" ht="12.75"/>
    <row r="529" s="610" customFormat="1" ht="12.75"/>
    <row r="530" s="610" customFormat="1" ht="12.75"/>
    <row r="531" s="610" customFormat="1" ht="12.75"/>
    <row r="532" s="610" customFormat="1" ht="12.75"/>
    <row r="533" s="610" customFormat="1" ht="12.75"/>
    <row r="534" s="610" customFormat="1" ht="12.75"/>
    <row r="535" s="610" customFormat="1" ht="12.75"/>
    <row r="536" s="610" customFormat="1" ht="12.75"/>
    <row r="537" s="610" customFormat="1" ht="12.75"/>
    <row r="538" s="610" customFormat="1" ht="12.75"/>
    <row r="539" s="610" customFormat="1" ht="12.75"/>
    <row r="540" s="610" customFormat="1" ht="12.75"/>
    <row r="541" s="610" customFormat="1" ht="12.75"/>
    <row r="542" s="610" customFormat="1" ht="12.75"/>
    <row r="543" s="610" customFormat="1" ht="12.75"/>
    <row r="544" s="610" customFormat="1" ht="12.75"/>
    <row r="545" s="610" customFormat="1" ht="12.75"/>
    <row r="546" s="610" customFormat="1" ht="12.75"/>
    <row r="547" s="610" customFormat="1" ht="12.75"/>
    <row r="548" s="610" customFormat="1" ht="12.75"/>
    <row r="549" s="610" customFormat="1" ht="12.75"/>
    <row r="550" s="610" customFormat="1" ht="12.75"/>
    <row r="551" s="610" customFormat="1" ht="12.75"/>
    <row r="552" s="610" customFormat="1" ht="12.75"/>
    <row r="553" s="610" customFormat="1" ht="12.75"/>
    <row r="554" s="610" customFormat="1" ht="12.75"/>
    <row r="555" s="610" customFormat="1" ht="12.75"/>
    <row r="556" s="610" customFormat="1" ht="12.75"/>
    <row r="557" s="610" customFormat="1" ht="12.75"/>
    <row r="558" s="610" customFormat="1" ht="12.75"/>
    <row r="559" s="610" customFormat="1" ht="12.75"/>
    <row r="560" s="610" customFormat="1" ht="12.75"/>
    <row r="561" s="610" customFormat="1" ht="12.75"/>
    <row r="562" s="610" customFormat="1" ht="12.75"/>
    <row r="563" s="610" customFormat="1" ht="12.75"/>
    <row r="564" s="610" customFormat="1" ht="12.75"/>
    <row r="565" s="610" customFormat="1" ht="12.75"/>
    <row r="566" s="610" customFormat="1" ht="12.75"/>
    <row r="567" s="610" customFormat="1" ht="12.75"/>
    <row r="568" s="610" customFormat="1" ht="12.75"/>
    <row r="569" s="610" customFormat="1" ht="12.75"/>
    <row r="570" s="610" customFormat="1" ht="12.75"/>
    <row r="571" s="610" customFormat="1" ht="12.75"/>
    <row r="572" s="610" customFormat="1" ht="12.75"/>
    <row r="573" s="610" customFormat="1" ht="12.75"/>
    <row r="574" s="610" customFormat="1" ht="12.75"/>
    <row r="575" s="610" customFormat="1" ht="12.75"/>
    <row r="576" s="610" customFormat="1" ht="12.75"/>
    <row r="577" s="610" customFormat="1" ht="12.75"/>
    <row r="578" s="610" customFormat="1" ht="12.75"/>
    <row r="579" s="610" customFormat="1" ht="12.75"/>
    <row r="580" s="610" customFormat="1" ht="12.75"/>
    <row r="581" s="610" customFormat="1" ht="12.75"/>
    <row r="582" s="610" customFormat="1" ht="12.75"/>
    <row r="583" s="610" customFormat="1" ht="12.75"/>
    <row r="584" s="610" customFormat="1" ht="12.75"/>
    <row r="585" s="610" customFormat="1" ht="12.75"/>
    <row r="586" s="610" customFormat="1" ht="12.75"/>
    <row r="587" s="610" customFormat="1" ht="12.75"/>
    <row r="588" s="610" customFormat="1" ht="12.75"/>
    <row r="589" s="610" customFormat="1" ht="12.75"/>
    <row r="590" s="610" customFormat="1" ht="12.75"/>
    <row r="591" s="610" customFormat="1" ht="12.75"/>
    <row r="592" s="610" customFormat="1" ht="12.75"/>
    <row r="593" s="610" customFormat="1" ht="12.75"/>
    <row r="594" s="610" customFormat="1" ht="12.75"/>
    <row r="595" s="610" customFormat="1" ht="12.75"/>
    <row r="596" s="610" customFormat="1" ht="12.75"/>
    <row r="597" s="610" customFormat="1" ht="12.75"/>
    <row r="598" s="610" customFormat="1" ht="12.75"/>
    <row r="599" s="610" customFormat="1" ht="12.75"/>
    <row r="600" s="610" customFormat="1" ht="12.75"/>
    <row r="601" s="610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5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88" customWidth="1"/>
    <col min="2" max="4" width="16.714285714285715" style="388" customWidth="1"/>
    <col min="5" max="7" width="17.714285714285715" style="388" customWidth="1"/>
    <col min="8" max="16384" width="8.857142857142858" style="388"/>
  </cols>
  <sheetData>
    <row r="1" spans="1:7" ht="15" customHeight="1">
      <c r="A1" s="1448"/>
      <c r="B1" s="1448"/>
      <c r="C1" s="1448"/>
      <c r="D1" s="1448"/>
      <c r="E1" s="1448"/>
      <c r="F1" s="1448"/>
      <c r="G1" s="1448"/>
    </row>
    <row r="2" spans="1:7" ht="26.45" customHeight="1">
      <c r="A2" s="1504" t="s">
        <v>3578</v>
      </c>
      <c r="B2" s="1504"/>
      <c r="C2" s="1504"/>
      <c r="D2" s="1504"/>
      <c r="E2" s="1504"/>
      <c r="F2" s="1504"/>
      <c r="G2" s="1504"/>
    </row>
    <row r="3" spans="1:7" ht="15" customHeight="1">
      <c r="A3" s="1495" t="s">
        <v>3579</v>
      </c>
      <c r="B3" s="1495"/>
      <c r="C3" s="1495"/>
      <c r="D3" s="1495"/>
      <c r="E3" s="1495"/>
      <c r="F3" s="1495"/>
      <c r="G3" s="1495"/>
    </row>
    <row r="4" spans="1:7" ht="15" customHeight="1">
      <c r="A4" s="1495" t="s">
        <v>3676</v>
      </c>
      <c r="B4" s="1495"/>
      <c r="C4" s="1495"/>
      <c r="D4" s="1495"/>
      <c r="E4" s="1495"/>
      <c r="F4" s="1495"/>
      <c r="G4" s="1495"/>
    </row>
    <row r="5" spans="1:7" ht="15" customHeight="1">
      <c r="A5" s="1505" t="s">
        <v>3580</v>
      </c>
      <c r="B5" s="1505"/>
      <c r="C5" s="1505"/>
      <c r="D5" s="1505"/>
      <c r="E5" s="1505"/>
      <c r="F5" s="1505"/>
      <c r="G5" s="1505"/>
    </row>
    <row r="6" spans="1:7" ht="15" customHeight="1" thickBot="1">
      <c r="A6" s="1505"/>
      <c r="B6" s="1505"/>
      <c r="C6" s="1505"/>
      <c r="D6" s="1505"/>
      <c r="E6" s="1505"/>
      <c r="F6" s="1505"/>
      <c r="G6" s="1505"/>
    </row>
    <row r="7" spans="1:7" ht="15" customHeight="1">
      <c r="A7" s="1499" t="s">
        <v>3581</v>
      </c>
      <c r="B7" s="1500"/>
      <c r="C7" s="1500"/>
      <c r="D7" s="1500"/>
      <c r="E7" s="895"/>
      <c r="F7" s="895"/>
      <c r="G7" s="1501"/>
    </row>
    <row r="8" spans="1:7" ht="18" customHeight="1">
      <c r="A8" s="1496" t="s">
        <v>174</v>
      </c>
      <c r="B8" s="1497"/>
      <c r="C8" s="1497"/>
      <c r="D8" s="1497"/>
      <c r="E8" s="1497"/>
      <c r="F8" s="1497"/>
      <c r="G8" s="1498"/>
    </row>
    <row r="9" spans="1:7" ht="15" customHeight="1">
      <c r="A9" s="1502" t="s">
        <v>3582</v>
      </c>
      <c r="B9" s="1458"/>
      <c r="C9" s="1458"/>
      <c r="D9" s="1458"/>
      <c r="E9" s="1458"/>
      <c r="F9" s="1458"/>
      <c r="G9" s="1503"/>
    </row>
    <row r="10" spans="1:7" ht="18" customHeight="1">
      <c r="A10" s="1492"/>
      <c r="B10" s="1493"/>
      <c r="C10" s="1493"/>
      <c r="D10" s="1493"/>
      <c r="E10" s="1493"/>
      <c r="F10" s="1493"/>
      <c r="G10" s="1494"/>
    </row>
    <row r="11" spans="1:7" ht="15" customHeight="1">
      <c r="A11" s="1502" t="s">
        <v>3583</v>
      </c>
      <c r="B11" s="1458"/>
      <c r="C11" s="1458"/>
      <c r="D11" s="1458"/>
      <c r="E11" s="1458"/>
      <c r="F11" s="1458"/>
      <c r="G11" s="1503"/>
    </row>
    <row r="12" spans="1:7" ht="18" customHeight="1">
      <c r="A12" s="1492"/>
      <c r="B12" s="1493"/>
      <c r="C12" s="1493"/>
      <c r="D12" s="1493"/>
      <c r="E12" s="1493"/>
      <c r="F12" s="1493"/>
      <c r="G12" s="1494"/>
    </row>
    <row r="13" spans="1:7" ht="5.1" customHeight="1" thickBot="1">
      <c r="A13" s="1518"/>
      <c r="B13" s="1519"/>
      <c r="C13" s="1519"/>
      <c r="D13" s="1324"/>
      <c r="E13" s="1324"/>
      <c r="F13" s="1324"/>
      <c r="G13" s="1520"/>
    </row>
    <row r="14" spans="1:7" ht="5.1" customHeight="1">
      <c r="A14" s="1457"/>
      <c r="B14" s="1457"/>
      <c r="C14" s="1457"/>
      <c r="D14" s="1457"/>
      <c r="E14" s="1457"/>
      <c r="F14" s="1457"/>
      <c r="G14" s="1457"/>
    </row>
    <row r="15" spans="1:7" ht="18" customHeight="1">
      <c r="A15" s="1513" t="s">
        <v>3677</v>
      </c>
      <c r="B15" s="1513"/>
      <c r="C15" s="702"/>
      <c r="D15" s="702"/>
      <c r="E15" s="702"/>
      <c r="F15" s="459">
        <f>+'DAP1'!F24</f>
        <v>2022.0</v>
      </c>
      <c r="G15" s="451" t="s">
        <v>3678</v>
      </c>
    </row>
    <row r="16" spans="1:7" ht="5.1" customHeight="1" thickBot="1">
      <c r="A16" s="1478"/>
      <c r="B16" s="1478"/>
      <c r="C16" s="1479"/>
      <c r="D16" s="1479"/>
      <c r="E16" s="1479"/>
      <c r="F16" s="1479"/>
      <c r="G16" s="1479"/>
    </row>
    <row r="17" spans="1:7" ht="15" customHeight="1">
      <c r="A17" s="1499" t="s">
        <v>96</v>
      </c>
      <c r="B17" s="1500"/>
      <c r="C17" s="895"/>
      <c r="D17" s="895"/>
      <c r="E17" s="895"/>
      <c r="F17" s="1521" t="s">
        <v>95</v>
      </c>
      <c r="G17" s="1522"/>
    </row>
    <row r="18" spans="1:7" ht="18" customHeight="1">
      <c r="A18" s="1514" t="str">
        <f>+IF(ISBLANK('DAP2'!C45)," ",IF(EXACT(MID('DAP2'!C45,1,1)," ")," ",+MID('DAP2'!C45,1,+FIND(" ",'DAP2'!C45))))</f>
        <v xml:space="preserve"> </v>
      </c>
      <c r="B18" s="1515"/>
      <c r="C18" s="1508"/>
      <c r="D18" s="1509"/>
      <c r="E18" s="431"/>
      <c r="F18" s="1516" t="str">
        <f>+IF(ISBLANK('DAP2'!C45)," ",IF(EXACT(MID('DAP2'!C45,1,1)," ")," ",+MID('DAP2'!C45,+FIND(" ",'DAP2'!C45)+1,20)))</f>
        <v xml:space="preserve"> </v>
      </c>
      <c r="G18" s="1517"/>
    </row>
    <row r="19" spans="1:7" ht="15" customHeight="1">
      <c r="A19" s="1506" t="s">
        <v>146</v>
      </c>
      <c r="B19" s="1524"/>
      <c r="C19" s="1507"/>
      <c r="D19" s="1507"/>
      <c r="E19" s="1458" t="s">
        <v>3584</v>
      </c>
      <c r="F19" s="1078"/>
      <c r="G19" s="1473"/>
    </row>
    <row r="20" spans="1:7" ht="18" customHeight="1">
      <c r="A20" s="1474" t="str">
        <f>+CONCATENATE('DAP2'!H45)</f>
        <v/>
      </c>
      <c r="B20" s="1475"/>
      <c r="C20" s="1523"/>
      <c r="D20" s="452"/>
      <c r="E20" s="1525" t="str">
        <f>+CONCATENATE(ZAKL_DATA!B16," ",ZAKL_DATA!B17,", ",ZAKL_DATA!B18)</f>
        <v xml:space="preserve"> , </v>
      </c>
      <c r="F20" s="1476"/>
      <c r="G20" s="1477"/>
    </row>
    <row r="21" spans="1:7" ht="15" customHeight="1">
      <c r="A21" s="1471"/>
      <c r="B21" s="1472"/>
      <c r="C21" s="1078"/>
      <c r="D21" s="1078"/>
      <c r="E21" s="1078"/>
      <c r="F21" s="1078"/>
      <c r="G21" s="1473"/>
    </row>
    <row r="22" spans="1:7" ht="18" customHeight="1">
      <c r="A22" s="1474"/>
      <c r="B22" s="1475"/>
      <c r="C22" s="1475"/>
      <c r="D22" s="1476"/>
      <c r="E22" s="1476"/>
      <c r="F22" s="1476"/>
      <c r="G22" s="1477"/>
    </row>
    <row r="23" spans="1:7" ht="15" customHeight="1">
      <c r="A23" s="1506"/>
      <c r="B23" s="1507"/>
      <c r="C23" s="1507"/>
      <c r="D23" s="1507"/>
      <c r="E23" s="1507"/>
      <c r="F23" s="1507"/>
      <c r="G23" s="460" t="s">
        <v>43</v>
      </c>
    </row>
    <row r="24" spans="1:7" ht="18" customHeight="1">
      <c r="A24" s="1474"/>
      <c r="B24" s="1475"/>
      <c r="C24" s="1508"/>
      <c r="D24" s="1508"/>
      <c r="E24" s="1509"/>
      <c r="F24" s="422"/>
      <c r="G24" s="458" t="str">
        <f>+CONCATENATE(ZAKL_DATA!B19)</f>
        <v/>
      </c>
    </row>
    <row r="25" spans="1:7" ht="9" customHeight="1" thickBot="1">
      <c r="A25" s="1510"/>
      <c r="B25" s="1511"/>
      <c r="C25" s="1511"/>
      <c r="D25" s="1511"/>
      <c r="E25" s="1163"/>
      <c r="F25" s="1163"/>
      <c r="G25" s="1512"/>
    </row>
    <row r="26" spans="1:7" ht="10.9" customHeight="1">
      <c r="A26" s="1448"/>
      <c r="B26" s="1448"/>
      <c r="C26" s="1448"/>
      <c r="D26" s="1448"/>
      <c r="E26" s="1448"/>
      <c r="F26" s="1448"/>
      <c r="G26" s="1448"/>
    </row>
    <row r="27" spans="1:7" ht="15" customHeight="1">
      <c r="A27" s="461" t="s">
        <v>3679</v>
      </c>
      <c r="B27" s="459">
        <f>+F15</f>
        <v>2022.0</v>
      </c>
      <c r="C27" s="453" t="s">
        <v>3682</v>
      </c>
      <c r="D27" s="1513" t="s">
        <v>3680</v>
      </c>
      <c r="E27" s="703"/>
      <c r="F27" s="703"/>
      <c r="G27" s="703"/>
    </row>
    <row r="28" spans="1:11" ht="15" customHeight="1" thickBot="1">
      <c r="A28" s="1478" t="s">
        <v>3681</v>
      </c>
      <c r="B28" s="1478"/>
      <c r="C28" s="1479"/>
      <c r="D28" s="1479"/>
      <c r="E28" s="1479"/>
      <c r="F28" s="1479"/>
      <c r="G28" s="1479"/>
      <c r="H28" s="389"/>
      <c r="I28" s="389"/>
      <c r="J28" s="389"/>
      <c r="K28" s="389"/>
    </row>
    <row r="29" spans="1:8" ht="25.9" customHeight="1">
      <c r="A29" s="390"/>
      <c r="B29" s="391" t="s">
        <v>96</v>
      </c>
      <c r="C29" s="391" t="s">
        <v>95</v>
      </c>
      <c r="D29" s="391" t="s">
        <v>146</v>
      </c>
      <c r="E29" s="432" t="s">
        <v>3467</v>
      </c>
      <c r="F29" s="432" t="s">
        <v>3468</v>
      </c>
      <c r="G29" s="392" t="s">
        <v>3683</v>
      </c>
      <c r="H29" s="393"/>
    </row>
    <row r="30" spans="1:7" ht="18" customHeight="1">
      <c r="A30" s="462">
        <v>1.0</v>
      </c>
      <c r="B30" s="454" t="str">
        <f>+IF(EXACT(MID('DAP3'!B17,1,1),"x")," ",(MID('DAP3'!B17,1,+FIND(" ",'DAP3'!B17))))</f>
        <v xml:space="preserve"> </v>
      </c>
      <c r="C30" s="394" t="str">
        <f>+IF(EXACT(MID('DAP3'!B17,1,1),"x")," ",(MID('DAP3'!B17,+FIND(" ",'DAP3'!B17)+1,20)))</f>
        <v xml:space="preserve"> </v>
      </c>
      <c r="D30" s="394" t="str">
        <f>+IF(EXACT(MID('DAP3'!C17,1,1),"X")," ",CONCATENATE('DAP3'!D17))</f>
        <v/>
      </c>
      <c r="E30" s="457"/>
      <c r="F30" s="457"/>
      <c r="G30" s="395"/>
    </row>
    <row r="31" spans="1:7" ht="18" customHeight="1">
      <c r="A31" s="462">
        <v>2.0</v>
      </c>
      <c r="B31" s="454" t="str">
        <f>+IF(EXACT(MID('DAP3'!B18,1,1),"x")," ",(MID('DAP3'!B18,1,+FIND(" ",'DAP3'!B18))))</f>
        <v xml:space="preserve"> </v>
      </c>
      <c r="C31" s="394" t="str">
        <f>+IF(EXACT(MID('DAP3'!B18,1,1),"x")," ",(MID('DAP3'!B18,+FIND(" ",'DAP3'!B18)+1,20)))</f>
        <v xml:space="preserve"> </v>
      </c>
      <c r="D31" s="394" t="str">
        <f>+IF(EXACT(MID('DAP3'!C18,1,1),"X")," ",CONCATENATE('DAP3'!D18))</f>
        <v/>
      </c>
      <c r="E31" s="457"/>
      <c r="F31" s="457"/>
      <c r="G31" s="395"/>
    </row>
    <row r="32" spans="1:7" ht="18" customHeight="1">
      <c r="A32" s="462">
        <v>3.0</v>
      </c>
      <c r="B32" s="454" t="str">
        <f>+IF(EXACT(MID('DAP3'!B19,1,1),"x")," ",(MID('DAP3'!B19,1,+FIND(" ",'DAP3'!B19))))</f>
        <v xml:space="preserve"> </v>
      </c>
      <c r="C32" s="394" t="str">
        <f>+IF(EXACT(MID('DAP3'!B19,1,1),"x")," ",(MID('DAP3'!B19,+FIND(" ",'DAP3'!B19)+1,20)))</f>
        <v xml:space="preserve"> </v>
      </c>
      <c r="D32" s="394" t="str">
        <f>+IF(EXACT(MID('DAP3'!C19,1,1),"X")," ",CONCATENATE('DAP3'!D19))</f>
        <v/>
      </c>
      <c r="E32" s="457"/>
      <c r="F32" s="457"/>
      <c r="G32" s="395"/>
    </row>
    <row r="33" spans="1:7" ht="18" customHeight="1">
      <c r="A33" s="462">
        <v>4.0</v>
      </c>
      <c r="B33" s="454" t="str">
        <f>+IF(EXACT(MID('DAP3'!B20,1,1),"x")," ",(MID('DAP3'!B20,1,+FIND(" ",'DAP3'!B20))))</f>
        <v xml:space="preserve"> </v>
      </c>
      <c r="C33" s="394" t="str">
        <f>+IF(EXACT(MID('DAP3'!B20,1,1),"x")," ",(MID('DAP3'!B20,+FIND(" ",'DAP3'!B20)+1,20)))</f>
        <v xml:space="preserve"> </v>
      </c>
      <c r="D33" s="394" t="str">
        <f>+IF(EXACT(MID('DAP3'!C20,1,1),"X")," ",CONCATENATE('DAP3'!D20))</f>
        <v/>
      </c>
      <c r="E33" s="457"/>
      <c r="F33" s="457"/>
      <c r="G33" s="395"/>
    </row>
    <row r="34" spans="1:7" ht="18" customHeight="1">
      <c r="A34" s="463" t="s">
        <v>3684</v>
      </c>
      <c r="B34" s="455"/>
      <c r="C34" s="396"/>
      <c r="D34" s="397"/>
      <c r="E34" s="397"/>
      <c r="F34" s="397"/>
      <c r="G34" s="395"/>
    </row>
    <row r="35" spans="1:7" ht="18" customHeight="1">
      <c r="A35" s="463" t="s">
        <v>3685</v>
      </c>
      <c r="B35" s="455"/>
      <c r="C35" s="396"/>
      <c r="D35" s="397"/>
      <c r="E35" s="397"/>
      <c r="F35" s="397"/>
      <c r="G35" s="395"/>
    </row>
    <row r="36" spans="1:7" ht="18" customHeight="1" thickBot="1">
      <c r="A36" s="464"/>
      <c r="B36" s="456"/>
      <c r="C36" s="398"/>
      <c r="D36" s="399"/>
      <c r="E36" s="399"/>
      <c r="F36" s="399"/>
      <c r="G36" s="400"/>
    </row>
    <row r="37" spans="1:7" ht="15" customHeight="1">
      <c r="A37" s="1448"/>
      <c r="B37" s="1448"/>
      <c r="C37" s="1448"/>
      <c r="D37" s="1448"/>
      <c r="E37" s="1448"/>
      <c r="F37" s="1448"/>
      <c r="G37" s="1448"/>
    </row>
    <row r="38" spans="1:7" ht="15" customHeight="1">
      <c r="A38" s="1448"/>
      <c r="B38" s="1448"/>
      <c r="C38" s="1448"/>
      <c r="D38" s="1448"/>
      <c r="E38" s="1448"/>
      <c r="F38" s="1448"/>
      <c r="G38" s="1448"/>
    </row>
    <row r="39" spans="1:7" ht="15" customHeight="1">
      <c r="A39" s="1448"/>
      <c r="B39" s="1448"/>
      <c r="C39" s="1448"/>
      <c r="D39" s="1448"/>
      <c r="E39" s="1448"/>
      <c r="F39" s="1448"/>
      <c r="G39" s="1448"/>
    </row>
    <row r="40" spans="1:7" ht="15" customHeight="1">
      <c r="A40" s="1482" t="s">
        <v>3585</v>
      </c>
      <c r="B40" s="1482"/>
      <c r="C40" s="1482"/>
      <c r="D40" s="1482"/>
      <c r="E40" s="1482"/>
      <c r="F40" s="1482"/>
      <c r="G40" s="1482"/>
    </row>
    <row r="41" spans="1:7" ht="15" customHeight="1">
      <c r="A41" s="401" t="s">
        <v>3586</v>
      </c>
      <c r="B41" s="401"/>
      <c r="C41" s="1483"/>
      <c r="D41" s="1484"/>
      <c r="E41" s="402" t="s">
        <v>3587</v>
      </c>
      <c r="F41" s="1459"/>
      <c r="G41" s="1461"/>
    </row>
    <row r="42" spans="1:7" ht="15" customHeight="1">
      <c r="A42" s="1457"/>
      <c r="B42" s="1457"/>
      <c r="C42" s="1457"/>
      <c r="D42" s="1457"/>
      <c r="E42" s="1457"/>
      <c r="F42" s="1457"/>
      <c r="G42" s="1457"/>
    </row>
    <row r="43" spans="1:7" ht="15" customHeight="1">
      <c r="A43" s="1485" t="s">
        <v>3588</v>
      </c>
      <c r="B43" s="1486"/>
      <c r="C43" s="1485"/>
      <c r="D43" s="1485"/>
      <c r="E43" s="402" t="s">
        <v>3686</v>
      </c>
      <c r="F43" s="1487"/>
      <c r="G43" s="1488"/>
    </row>
    <row r="44" spans="1:7" ht="15" customHeight="1">
      <c r="A44" s="1489"/>
      <c r="B44" s="1490"/>
      <c r="C44" s="1490"/>
      <c r="D44" s="1491"/>
      <c r="E44" s="1456"/>
      <c r="F44" s="1457"/>
      <c r="G44" s="1457"/>
    </row>
    <row r="45" spans="1:7" ht="15" customHeight="1">
      <c r="A45" s="1449"/>
      <c r="B45" s="1450"/>
      <c r="C45" s="1450"/>
      <c r="D45" s="1451"/>
      <c r="E45" s="402" t="s">
        <v>3589</v>
      </c>
      <c r="F45" s="1480">
        <f ca="1">TODAY()</f>
        <v>44994.0</v>
      </c>
      <c r="G45" s="1481"/>
    </row>
    <row r="46" spans="1:7" ht="15" customHeight="1">
      <c r="A46" s="1449"/>
      <c r="B46" s="1450"/>
      <c r="C46" s="1450"/>
      <c r="D46" s="1451"/>
      <c r="E46" s="402"/>
      <c r="F46" s="403"/>
      <c r="G46" s="403"/>
    </row>
    <row r="47" spans="1:7" ht="15" customHeight="1">
      <c r="A47" s="1452"/>
      <c r="B47" s="1453"/>
      <c r="C47" s="1454"/>
      <c r="D47" s="1455"/>
      <c r="E47" s="1456"/>
      <c r="F47" s="1457"/>
      <c r="G47" s="1457"/>
    </row>
    <row r="48" spans="1:7" ht="15" customHeight="1">
      <c r="A48" s="1458" t="s">
        <v>3590</v>
      </c>
      <c r="B48" s="1458"/>
      <c r="C48" s="1458"/>
      <c r="D48" s="1458"/>
      <c r="E48" s="1458"/>
      <c r="F48" s="1458"/>
      <c r="G48" s="1458"/>
    </row>
    <row r="49" spans="1:7" ht="15" customHeight="1">
      <c r="A49" s="1459" t="s">
        <v>174</v>
      </c>
      <c r="B49" s="1460"/>
      <c r="C49" s="1461"/>
      <c r="D49" s="404"/>
      <c r="E49" s="1462" t="s">
        <v>3591</v>
      </c>
      <c r="F49" s="1463"/>
      <c r="G49" s="1464"/>
    </row>
    <row r="50" spans="1:7" ht="12">
      <c r="A50" s="1445"/>
      <c r="B50" s="1446"/>
      <c r="C50" s="1446"/>
      <c r="D50" s="430"/>
      <c r="E50" s="1465"/>
      <c r="F50" s="1466"/>
      <c r="G50" s="1467"/>
    </row>
    <row r="51" spans="1:7" ht="12">
      <c r="A51" s="696"/>
      <c r="B51" s="696"/>
      <c r="C51" s="696"/>
      <c r="D51" s="430"/>
      <c r="E51" s="1465"/>
      <c r="F51" s="1466"/>
      <c r="G51" s="1467"/>
    </row>
    <row r="52" spans="1:7" ht="12">
      <c r="A52" s="696"/>
      <c r="B52" s="696"/>
      <c r="C52" s="696"/>
      <c r="D52" s="430" t="s">
        <v>3484</v>
      </c>
      <c r="E52" s="1468"/>
      <c r="F52" s="1469"/>
      <c r="G52" s="1470"/>
    </row>
    <row r="53" spans="1:7" ht="12">
      <c r="A53" s="430"/>
      <c r="B53" s="430"/>
      <c r="C53" s="430"/>
      <c r="D53" s="430"/>
      <c r="E53" s="1444"/>
      <c r="F53" s="1444"/>
      <c r="G53" s="1444"/>
    </row>
    <row r="54" spans="1:7" ht="12">
      <c r="A54" s="1447" t="s">
        <v>3896</v>
      </c>
      <c r="B54" s="1447"/>
      <c r="C54" s="1447"/>
      <c r="D54" s="1447"/>
      <c r="E54" s="1447"/>
      <c r="F54" s="1447"/>
      <c r="G54" s="1447"/>
    </row>
    <row r="55" spans="1:7" ht="12">
      <c r="A55" s="1448"/>
      <c r="B55" s="1448"/>
      <c r="C55" s="1448"/>
      <c r="D55" s="1448"/>
      <c r="E55" s="1448"/>
      <c r="F55" s="1448"/>
      <c r="G55" s="1448"/>
    </row>
    <row r="56" spans="1:7" ht="12">
      <c r="A56" s="1448"/>
      <c r="B56" s="1448"/>
      <c r="C56" s="1448"/>
      <c r="D56" s="1448"/>
      <c r="E56" s="1448"/>
      <c r="F56" s="1448"/>
      <c r="G56" s="1448"/>
    </row>
    <row r="57" spans="1:12" ht="12.75">
      <c r="A57" s="1442" t="s">
        <v>3592</v>
      </c>
      <c r="B57" s="1442"/>
      <c r="C57" s="1442"/>
      <c r="D57" s="1442"/>
      <c r="E57" s="1442"/>
      <c r="F57" s="1442"/>
      <c r="G57" s="1442"/>
      <c r="H57" s="405"/>
      <c r="I57" s="405"/>
      <c r="J57" s="405"/>
      <c r="K57" s="405"/>
      <c r="L57" s="405"/>
    </row>
    <row r="58" spans="1:12" ht="66.75" customHeight="1">
      <c r="A58" s="1443" t="s">
        <v>3687</v>
      </c>
      <c r="B58" s="1443"/>
      <c r="C58" s="1443"/>
      <c r="D58" s="1443"/>
      <c r="E58" s="1443"/>
      <c r="F58" s="1443"/>
      <c r="G58" s="1443"/>
      <c r="H58" s="406"/>
      <c r="I58" s="406"/>
      <c r="J58" s="406"/>
      <c r="K58" s="406"/>
      <c r="L58" s="406"/>
    </row>
    <row r="59" spans="1:7" ht="12">
      <c r="A59" s="404"/>
      <c r="B59" s="404"/>
      <c r="C59" s="404"/>
      <c r="D59" s="404"/>
      <c r="E59" s="404"/>
      <c r="F59" s="404"/>
      <c r="G59" s="404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A3" sqref="A3:E4"/>
    </sheetView>
  </sheetViews>
  <sheetFormatPr defaultColWidth="8.854285714285714" defaultRowHeight="15"/>
  <cols>
    <col min="1" max="1" width="9.571428571428571" style="407" customWidth="1"/>
    <col min="2" max="2" width="17.285714285714285" style="407" customWidth="1"/>
    <col min="3" max="3" width="17.857142857142858" style="407" customWidth="1"/>
    <col min="4" max="4" width="16.285714285714285" style="407" customWidth="1"/>
    <col min="5" max="5" width="21.571428571428573" style="407" customWidth="1"/>
    <col min="6" max="6" width="16.714285714285715" style="407" customWidth="1"/>
    <col min="7" max="16384" width="8.857142857142858" style="407"/>
  </cols>
  <sheetData>
    <row r="1" spans="1:5" ht="18" customHeight="1">
      <c r="A1" s="1529"/>
      <c r="B1" s="1529"/>
      <c r="C1" s="1529"/>
      <c r="D1" s="1529"/>
      <c r="E1" s="1529"/>
    </row>
    <row r="2" spans="1:6" ht="27.6" customHeight="1">
      <c r="A2" s="1504" t="s">
        <v>3593</v>
      </c>
      <c r="B2" s="1504"/>
      <c r="C2" s="1504"/>
      <c r="D2" s="1504"/>
      <c r="E2" s="1504"/>
      <c r="F2" s="408"/>
    </row>
    <row r="3" spans="1:5" ht="18" customHeight="1">
      <c r="A3" s="1529"/>
      <c r="B3" s="1529"/>
      <c r="C3" s="1529"/>
      <c r="D3" s="1529"/>
      <c r="E3" s="1529"/>
    </row>
    <row r="4" spans="1:5" ht="18" customHeight="1">
      <c r="A4" s="1529"/>
      <c r="B4" s="1529"/>
      <c r="C4" s="1529"/>
      <c r="D4" s="1529"/>
      <c r="E4" s="1529"/>
    </row>
    <row r="5" spans="1:5" ht="18" customHeight="1">
      <c r="A5" s="409" t="s">
        <v>3594</v>
      </c>
      <c r="B5" s="1484" t="str">
        <f>+CONCATENATE('DAP2'!C45)</f>
        <v/>
      </c>
      <c r="C5" s="1484"/>
      <c r="D5" s="409" t="s">
        <v>37</v>
      </c>
      <c r="E5" s="410" t="str">
        <f>+CONCATENATE('DAP2'!H45)</f>
        <v/>
      </c>
    </row>
    <row r="6" spans="1:5" ht="18" customHeight="1">
      <c r="A6" s="1457"/>
      <c r="B6" s="1457"/>
      <c r="C6" s="1457"/>
      <c r="D6" s="1457"/>
      <c r="E6" s="1457"/>
    </row>
    <row r="7" spans="1:5" ht="18" customHeight="1">
      <c r="A7" s="409" t="s">
        <v>3595</v>
      </c>
      <c r="B7" s="1484" t="str">
        <f>+CONCATENATE(ZAKL_DATA!B16," ",ZAKL_DATA!B17,", ",ZAKL_DATA!B18,", PSČ ",ZAKL_DATA!B19)</f>
        <v xml:space="preserve"> , , PSČ </v>
      </c>
      <c r="C7" s="1484"/>
      <c r="D7" s="1484"/>
      <c r="E7" s="1484"/>
    </row>
    <row r="8" spans="1:5" ht="18" customHeight="1">
      <c r="A8" s="409"/>
      <c r="B8" s="409"/>
      <c r="C8" s="409"/>
      <c r="D8" s="409"/>
      <c r="E8" s="409"/>
    </row>
    <row r="9" spans="1:5" ht="18" customHeight="1">
      <c r="A9" s="1526" t="s">
        <v>3940</v>
      </c>
      <c r="B9" s="1526"/>
      <c r="C9" s="1526"/>
      <c r="D9" s="1526"/>
      <c r="E9" s="1526"/>
    </row>
    <row r="10" spans="1:5" ht="18" customHeight="1">
      <c r="A10" s="402"/>
      <c r="B10" s="411" t="s">
        <v>95</v>
      </c>
      <c r="C10" s="411" t="s">
        <v>96</v>
      </c>
      <c r="D10" s="411" t="s">
        <v>146</v>
      </c>
      <c r="E10" s="412"/>
    </row>
    <row r="11" spans="1:5" ht="18" customHeight="1">
      <c r="A11" s="402" t="s">
        <v>134</v>
      </c>
      <c r="B11" s="413" t="str">
        <f>+Potvr_ZAM!C30</f>
        <v xml:space="preserve"> </v>
      </c>
      <c r="C11" s="413" t="str">
        <f>+Potvr_ZAM!B30</f>
        <v xml:space="preserve"> </v>
      </c>
      <c r="D11" s="413" t="str">
        <f>+CONCATENATE(Potvr_ZAM!D30)</f>
        <v/>
      </c>
      <c r="E11" s="414"/>
    </row>
    <row r="12" spans="1:5" ht="18" customHeight="1">
      <c r="A12" s="402" t="s">
        <v>135</v>
      </c>
      <c r="B12" s="413" t="str">
        <f>+Potvr_ZAM!C31</f>
        <v xml:space="preserve"> </v>
      </c>
      <c r="C12" s="413" t="str">
        <f>+Potvr_ZAM!B31</f>
        <v xml:space="preserve"> </v>
      </c>
      <c r="D12" s="413" t="str">
        <f>+CONCATENATE(Potvr_ZAM!D31)</f>
        <v/>
      </c>
      <c r="E12" s="414"/>
    </row>
    <row r="13" spans="1:5" ht="18" customHeight="1">
      <c r="A13" s="402" t="s">
        <v>136</v>
      </c>
      <c r="B13" s="413" t="str">
        <f>+Potvr_ZAM!C32</f>
        <v xml:space="preserve"> </v>
      </c>
      <c r="C13" s="413" t="str">
        <f>+Potvr_ZAM!B32</f>
        <v xml:space="preserve"> </v>
      </c>
      <c r="D13" s="413" t="str">
        <f>+CONCATENATE(Potvr_ZAM!D32)</f>
        <v/>
      </c>
      <c r="E13" s="414"/>
    </row>
    <row r="14" spans="1:5" ht="18" customHeight="1">
      <c r="A14" s="402" t="s">
        <v>314</v>
      </c>
      <c r="B14" s="413" t="str">
        <f>+Potvr_ZAM!C33</f>
        <v xml:space="preserve"> </v>
      </c>
      <c r="C14" s="413" t="str">
        <f>+Potvr_ZAM!B33</f>
        <v xml:space="preserve"> </v>
      </c>
      <c r="D14" s="413" t="str">
        <f>+CONCATENATE(Potvr_ZAM!D33)</f>
        <v/>
      </c>
      <c r="E14" s="414"/>
    </row>
    <row r="15" spans="1:5" ht="18" customHeight="1">
      <c r="A15" s="402" t="s">
        <v>101</v>
      </c>
      <c r="B15" s="413" t="str">
        <f>+CONCATENATE(Potvr_ZAM!C34)</f>
        <v/>
      </c>
      <c r="C15" s="413" t="str">
        <f>+CONCATENATE(Potvr_ZAM!B34)</f>
        <v/>
      </c>
      <c r="D15" s="413" t="str">
        <f>+CONCATENATE(Potvr_ZAM!D34)</f>
        <v/>
      </c>
      <c r="E15" s="414"/>
    </row>
    <row r="16" spans="1:5" ht="18" customHeight="1">
      <c r="A16" s="402" t="s">
        <v>313</v>
      </c>
      <c r="B16" s="413" t="str">
        <f>+CONCATENATE(Potvr_ZAM!C35)</f>
        <v/>
      </c>
      <c r="C16" s="413" t="str">
        <f>+CONCATENATE(Potvr_ZAM!B35)</f>
        <v/>
      </c>
      <c r="D16" s="413" t="str">
        <f>+CONCATENATE(Potvr_ZAM!D35)</f>
        <v/>
      </c>
      <c r="E16" s="414"/>
    </row>
    <row r="17" spans="1:5" ht="18" customHeight="1">
      <c r="A17" s="402" t="s">
        <v>312</v>
      </c>
      <c r="B17" s="413" t="str">
        <f>+CONCATENATE(Potvr_ZAM!C36)</f>
        <v/>
      </c>
      <c r="C17" s="413" t="str">
        <f>+CONCATENATE(Potvr_ZAM!B36)</f>
        <v/>
      </c>
      <c r="D17" s="413" t="str">
        <f>+CONCATENATE(Potvr_ZAM!D36)</f>
        <v/>
      </c>
      <c r="E17" s="414"/>
    </row>
    <row r="18" spans="1:5" ht="18" customHeight="1">
      <c r="A18" s="1457"/>
      <c r="B18" s="1457"/>
      <c r="C18" s="1457"/>
      <c r="D18" s="1457"/>
      <c r="E18" s="1457"/>
    </row>
    <row r="19" spans="1:5" ht="18" customHeight="1">
      <c r="A19" s="1457"/>
      <c r="B19" s="1457"/>
      <c r="C19" s="1457"/>
      <c r="D19" s="1457"/>
      <c r="E19" s="1457"/>
    </row>
    <row r="20" spans="1:5" ht="18" customHeight="1">
      <c r="A20" s="409" t="s">
        <v>3451</v>
      </c>
      <c r="B20" s="415">
        <f ca="1">TODAY()</f>
        <v>44994.0</v>
      </c>
      <c r="C20" s="1457"/>
      <c r="D20" s="1457"/>
      <c r="E20" s="1457"/>
    </row>
    <row r="21" spans="1:5" ht="18" customHeight="1">
      <c r="A21" s="1457"/>
      <c r="B21" s="1457"/>
      <c r="C21" s="1457"/>
      <c r="D21" s="1527"/>
      <c r="E21" s="1527"/>
    </row>
    <row r="22" spans="1:5" ht="18" customHeight="1">
      <c r="A22" s="1457"/>
      <c r="B22" s="1457"/>
      <c r="C22" s="1457"/>
      <c r="D22" s="1484"/>
      <c r="E22" s="1484"/>
    </row>
    <row r="23" spans="1:5" ht="18" customHeight="1">
      <c r="A23" s="1457"/>
      <c r="B23" s="1457"/>
      <c r="C23" s="1457"/>
      <c r="D23" s="1528" t="s">
        <v>3596</v>
      </c>
      <c r="E23" s="1528"/>
    </row>
    <row r="24" spans="1:5" ht="18" customHeight="1">
      <c r="A24" s="416"/>
      <c r="B24" s="416"/>
      <c r="C24" s="416"/>
      <c r="D24" s="416"/>
      <c r="E24" s="416"/>
    </row>
    <row r="25" spans="1:5" ht="15">
      <c r="A25" s="416"/>
      <c r="B25" s="416"/>
      <c r="C25" s="416"/>
      <c r="D25" s="416"/>
      <c r="E25" s="416"/>
    </row>
    <row r="26" spans="1:5" ht="15">
      <c r="A26" s="416"/>
      <c r="B26" s="416"/>
      <c r="C26" s="416"/>
      <c r="D26" s="416"/>
      <c r="E26" s="416"/>
    </row>
    <row r="27" spans="1:5" ht="15">
      <c r="A27" s="416"/>
      <c r="B27" s="416"/>
      <c r="C27" s="416"/>
      <c r="D27" s="416"/>
      <c r="E27" s="416"/>
    </row>
    <row r="28" spans="1:5" ht="15">
      <c r="A28" s="416"/>
      <c r="B28" s="416"/>
      <c r="C28" s="416"/>
      <c r="D28" s="416"/>
      <c r="E28" s="416"/>
    </row>
    <row r="29" spans="1:5" ht="15">
      <c r="A29" s="416"/>
      <c r="B29" s="416"/>
      <c r="C29" s="416"/>
      <c r="D29" s="416"/>
      <c r="E29" s="416"/>
    </row>
    <row r="30" spans="1:5" ht="15">
      <c r="A30" s="416"/>
      <c r="B30" s="416"/>
      <c r="C30" s="416"/>
      <c r="D30" s="416"/>
      <c r="E30" s="416"/>
    </row>
    <row r="31" spans="1:5" ht="15">
      <c r="A31" s="416"/>
      <c r="B31" s="416"/>
      <c r="C31" s="416"/>
      <c r="D31" s="416"/>
      <c r="E31" s="416"/>
    </row>
    <row r="32" spans="1:5" ht="15">
      <c r="A32" s="416"/>
      <c r="B32" s="416"/>
      <c r="C32" s="416"/>
      <c r="D32" s="416"/>
      <c r="E32" s="416"/>
    </row>
    <row r="33" spans="1:5" ht="15">
      <c r="A33" s="416"/>
      <c r="B33" s="416"/>
      <c r="C33" s="416"/>
      <c r="D33" s="416"/>
      <c r="E33" s="416"/>
    </row>
    <row r="34" spans="1:5" ht="15">
      <c r="A34" s="416"/>
      <c r="B34" s="416"/>
      <c r="C34" s="416"/>
      <c r="D34" s="416"/>
      <c r="E34" s="416"/>
    </row>
    <row r="35" spans="1:5" ht="15">
      <c r="A35" s="416"/>
      <c r="B35" s="416"/>
      <c r="C35" s="416"/>
      <c r="D35" s="416"/>
      <c r="E35" s="416"/>
    </row>
    <row r="36" spans="1:5" ht="15">
      <c r="A36" s="416"/>
      <c r="B36" s="416"/>
      <c r="C36" s="416"/>
      <c r="D36" s="416"/>
      <c r="E36" s="416"/>
    </row>
    <row r="37" spans="1:5" ht="15">
      <c r="A37" s="416"/>
      <c r="B37" s="416"/>
      <c r="C37" s="416"/>
      <c r="D37" s="416"/>
      <c r="E37" s="416"/>
    </row>
    <row r="38" spans="1:5" ht="15">
      <c r="A38" s="416"/>
      <c r="B38" s="416"/>
      <c r="C38" s="416"/>
      <c r="D38" s="416"/>
      <c r="E38" s="416"/>
    </row>
    <row r="39" spans="1:5" ht="15">
      <c r="A39" s="416"/>
      <c r="B39" s="416"/>
      <c r="C39" s="416"/>
      <c r="D39" s="416"/>
      <c r="E39" s="416"/>
    </row>
    <row r="40" spans="1:5" ht="15">
      <c r="A40" s="416"/>
      <c r="B40" s="416"/>
      <c r="C40" s="416"/>
      <c r="D40" s="416"/>
      <c r="E40" s="416"/>
    </row>
    <row r="41" spans="1:5" ht="15">
      <c r="A41" s="416"/>
      <c r="B41" s="416"/>
      <c r="C41" s="416"/>
      <c r="D41" s="416"/>
      <c r="E41" s="416"/>
    </row>
    <row r="42" spans="1:5" ht="15">
      <c r="A42" s="416"/>
      <c r="B42" s="416"/>
      <c r="C42" s="416"/>
      <c r="D42" s="416"/>
      <c r="E42" s="416"/>
    </row>
    <row r="43" spans="1:5" ht="15">
      <c r="A43" s="416"/>
      <c r="B43" s="416"/>
      <c r="C43" s="416"/>
      <c r="D43" s="416"/>
      <c r="E43" s="416"/>
    </row>
  </sheetData>
  <sheetProtection algorithmName="SHA-512" hashValue="0DEe+9GV8e9Ou6wy0wVCMrBVYTfS3air6uGIfgxES8WX6MqxBAov1FhgTYtUUgGHChZgUg8jTSD6/OUeVfiu/w==" saltValue="tTPOjiwV/7QAVxXNddZDm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99"/>
    <pageSetUpPr fitToPage="1"/>
  </sheetPr>
  <dimension ref="A1:BM159"/>
  <sheetViews>
    <sheetView workbookViewId="0" topLeftCell="A1">
      <selection pane="topLeft" activeCell="U38" sqref="U38"/>
    </sheetView>
  </sheetViews>
  <sheetFormatPr defaultRowHeight="12.75"/>
  <cols>
    <col min="1" max="1" width="21.714285714285715" customWidth="1"/>
    <col min="2" max="29" width="3.2857142857142856" customWidth="1"/>
    <col min="30" max="30" width="4" customWidth="1"/>
    <col min="31" max="32" width="3.2857142857142856" customWidth="1"/>
    <col min="33" max="33" width="9.142857142857142" style="21"/>
    <col min="34" max="34" width="9.142857142857142" style="21" hidden="1" customWidth="1"/>
    <col min="35" max="47" width="3.2857142857142856" style="21" hidden="1" customWidth="1"/>
    <col min="48" max="65" width="9.142857142857142" style="21"/>
  </cols>
  <sheetData>
    <row r="1" spans="1:32" ht="18">
      <c r="A1" s="284"/>
      <c r="B1" s="680" t="s">
        <v>3943</v>
      </c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8"/>
      <c r="Y1" s="1608"/>
      <c r="Z1" s="1608"/>
      <c r="AA1" s="1623"/>
      <c r="AB1" s="1623"/>
      <c r="AC1" s="1623"/>
      <c r="AD1" s="1623"/>
      <c r="AE1" s="1623"/>
      <c r="AF1" s="266"/>
    </row>
    <row r="2" spans="1:32" ht="12.75">
      <c r="A2" s="294"/>
      <c r="B2" s="1609" t="s">
        <v>241</v>
      </c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  <c r="Q2" s="1608"/>
      <c r="R2" s="1608"/>
      <c r="S2" s="1608"/>
      <c r="T2" s="1608"/>
      <c r="U2" s="1608"/>
      <c r="V2" s="1608"/>
      <c r="W2" s="1608"/>
      <c r="X2" s="1608"/>
      <c r="Y2" s="1608"/>
      <c r="Z2" s="1608"/>
      <c r="AA2" s="1623"/>
      <c r="AB2" s="1623"/>
      <c r="AC2" s="1623"/>
      <c r="AD2" s="1623"/>
      <c r="AE2" s="1623"/>
      <c r="AF2" s="266"/>
    </row>
    <row r="3" spans="1:32" ht="12.75">
      <c r="A3" s="1608"/>
      <c r="B3" s="1608"/>
      <c r="C3" s="1608"/>
      <c r="D3" s="267"/>
      <c r="E3" s="1611"/>
      <c r="F3" s="1611"/>
      <c r="G3" s="1611"/>
      <c r="H3" s="1611"/>
      <c r="I3" s="1611"/>
      <c r="J3" s="295"/>
      <c r="K3" s="295" t="s">
        <v>326</v>
      </c>
      <c r="L3" s="295"/>
      <c r="M3" s="295"/>
      <c r="N3" s="295"/>
      <c r="O3" s="295"/>
      <c r="P3" s="295"/>
      <c r="Q3" s="295" t="s">
        <v>327</v>
      </c>
      <c r="R3" s="295"/>
      <c r="S3" s="1610"/>
      <c r="T3" s="1610"/>
      <c r="U3" s="1610"/>
      <c r="V3" s="1610"/>
      <c r="W3" s="1610"/>
      <c r="X3" s="295"/>
      <c r="Y3" s="295"/>
      <c r="Z3" s="295"/>
      <c r="AA3" s="1612"/>
      <c r="AB3" s="1612"/>
      <c r="AC3" s="1612"/>
      <c r="AD3" s="1612"/>
      <c r="AE3" s="1612"/>
      <c r="AF3" s="287"/>
    </row>
    <row r="4" spans="1:32" ht="12.95" customHeight="1">
      <c r="A4" s="1612"/>
      <c r="B4" s="1612"/>
      <c r="C4" s="1612"/>
      <c r="D4" s="1612"/>
      <c r="E4" s="1612"/>
      <c r="F4" s="1612"/>
      <c r="G4" s="1612"/>
      <c r="H4" s="1612"/>
      <c r="I4" s="1612"/>
      <c r="J4" s="1613"/>
      <c r="K4" s="269" t="s">
        <v>255</v>
      </c>
      <c r="L4" s="1624"/>
      <c r="M4" s="1625"/>
      <c r="N4" s="1625"/>
      <c r="O4" s="1625"/>
      <c r="P4" s="1626"/>
      <c r="Q4" s="269"/>
      <c r="R4" s="1621"/>
      <c r="S4" s="1622"/>
      <c r="T4" s="1622"/>
      <c r="U4" s="1622"/>
      <c r="V4" s="1622"/>
      <c r="W4" s="1622"/>
      <c r="X4" s="1622"/>
      <c r="Y4" s="1622"/>
      <c r="Z4" s="1622"/>
      <c r="AA4" s="1622"/>
      <c r="AB4" s="1622"/>
      <c r="AC4" s="1622"/>
      <c r="AD4" s="1622"/>
      <c r="AE4" s="1622"/>
      <c r="AF4" s="1622"/>
    </row>
    <row r="5" spans="1:32" ht="12.95" customHeight="1">
      <c r="A5" s="1640" t="s">
        <v>3574</v>
      </c>
      <c r="B5" s="1640"/>
      <c r="C5" s="1640"/>
      <c r="D5" s="1640"/>
      <c r="E5" s="1640"/>
      <c r="F5" s="1640"/>
      <c r="G5" s="1573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574" t="s">
        <v>3575</v>
      </c>
      <c r="V5" s="1574"/>
      <c r="W5" s="1575"/>
      <c r="X5" s="1575"/>
      <c r="Y5" s="1575"/>
      <c r="Z5" s="1576"/>
      <c r="AA5" s="1576"/>
      <c r="AB5" s="1576"/>
      <c r="AC5" s="1576"/>
      <c r="AD5" s="1576"/>
      <c r="AE5" s="1576"/>
      <c r="AF5" s="1576"/>
    </row>
    <row r="6" spans="1:32" ht="18" customHeight="1">
      <c r="A6" s="1641" t="str">
        <f>CONCATENATE(+ZAKL_DATA!B21)</f>
        <v/>
      </c>
      <c r="B6" s="1642"/>
      <c r="C6" s="1642"/>
      <c r="D6" s="1642"/>
      <c r="E6" s="1642"/>
      <c r="F6" s="1643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568" t="str">
        <f>+CONCATENATE(ZAKL_DATA!B11)</f>
        <v/>
      </c>
      <c r="V6" s="1569"/>
      <c r="W6" s="1570"/>
      <c r="X6" s="1570"/>
      <c r="Y6" s="1570"/>
      <c r="Z6" s="1571"/>
      <c r="AA6" s="1571"/>
      <c r="AB6" s="1571"/>
      <c r="AC6" s="1571"/>
      <c r="AD6" s="1571"/>
      <c r="AE6" s="1571"/>
      <c r="AF6" s="1572"/>
    </row>
    <row r="7" spans="1:32" ht="9.95" customHeight="1">
      <c r="A7" s="1614"/>
      <c r="B7" s="801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1"/>
      <c r="Z7" s="801"/>
      <c r="AA7" s="801"/>
      <c r="AB7" s="801"/>
      <c r="AC7" s="801"/>
      <c r="AD7" s="801"/>
      <c r="AE7" s="801"/>
      <c r="AF7" s="801"/>
    </row>
    <row r="8" spans="1:32" ht="12.75">
      <c r="A8" s="1557" t="s">
        <v>306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5"/>
      <c r="L8" s="1615"/>
      <c r="M8" s="1615"/>
      <c r="N8" s="1615"/>
      <c r="O8" s="1615"/>
      <c r="P8" s="1615"/>
      <c r="Q8" s="1615"/>
      <c r="R8" s="1615"/>
      <c r="S8" s="1615"/>
      <c r="T8" s="1615"/>
      <c r="U8" s="1615"/>
      <c r="V8" s="1615"/>
      <c r="W8" s="1615"/>
      <c r="X8" s="1615"/>
      <c r="Y8" s="1615"/>
      <c r="Z8" s="1615"/>
      <c r="AA8" s="1616"/>
      <c r="AB8" s="1616"/>
      <c r="AC8" s="1616"/>
      <c r="AD8" s="1616"/>
      <c r="AE8" s="1616"/>
      <c r="AF8" s="1617"/>
    </row>
    <row r="9" spans="1:32" ht="11.1" customHeight="1">
      <c r="A9" s="1549" t="s">
        <v>159</v>
      </c>
      <c r="B9" s="1573"/>
      <c r="C9" s="1573"/>
      <c r="D9" s="1573"/>
      <c r="E9" s="1573"/>
      <c r="F9" s="1573"/>
      <c r="G9" s="288"/>
      <c r="H9" s="1573" t="s">
        <v>160</v>
      </c>
      <c r="I9" s="1573"/>
      <c r="J9" s="1573"/>
      <c r="K9" s="288"/>
      <c r="L9" s="288"/>
      <c r="M9" s="288"/>
      <c r="N9" s="288"/>
      <c r="O9" s="288"/>
      <c r="P9" s="288"/>
      <c r="Q9" s="1631" t="s">
        <v>161</v>
      </c>
      <c r="R9" s="1551"/>
      <c r="S9" s="1551"/>
      <c r="T9" s="1551"/>
      <c r="U9" s="1551"/>
      <c r="V9" s="1551"/>
      <c r="W9" s="1551"/>
      <c r="X9" s="288"/>
      <c r="Y9" s="1596" t="s">
        <v>3772</v>
      </c>
      <c r="Z9" s="1597"/>
      <c r="AA9" s="1597"/>
      <c r="AB9" s="1597"/>
      <c r="AC9" s="1597"/>
      <c r="AD9" s="1597"/>
      <c r="AE9" s="1597"/>
      <c r="AF9" s="1598"/>
    </row>
    <row r="10" spans="1:32" ht="18" customHeight="1">
      <c r="A10" s="1581">
        <f>+'DAP1'!B28</f>
        <v>0.0</v>
      </c>
      <c r="B10" s="1582"/>
      <c r="C10" s="1582"/>
      <c r="D10" s="1582"/>
      <c r="E10" s="1582"/>
      <c r="F10" s="1559"/>
      <c r="G10" s="289"/>
      <c r="H10" s="1635">
        <f>+'DAP1'!J28</f>
        <v>0.0</v>
      </c>
      <c r="I10" s="1636"/>
      <c r="J10" s="1636"/>
      <c r="K10" s="1637"/>
      <c r="L10" s="1637"/>
      <c r="M10" s="1637"/>
      <c r="N10" s="1551"/>
      <c r="O10" s="1552"/>
      <c r="P10" s="495"/>
      <c r="Q10" s="1632" t="str">
        <f>+CONCATENATE(+ZAKL_DATA!B7)</f>
        <v/>
      </c>
      <c r="R10" s="1633"/>
      <c r="S10" s="1633"/>
      <c r="T10" s="1633"/>
      <c r="U10" s="1633"/>
      <c r="V10" s="1633"/>
      <c r="W10" s="1634"/>
      <c r="X10" s="495"/>
      <c r="Y10" s="1630" t="str">
        <f>+'DAP1'!A9</f>
        <v/>
      </c>
      <c r="Z10" s="1551"/>
      <c r="AA10" s="1551"/>
      <c r="AB10" s="1551"/>
      <c r="AC10" s="1551"/>
      <c r="AD10" s="1551"/>
      <c r="AE10" s="1551"/>
      <c r="AF10" s="1552"/>
    </row>
    <row r="11" spans="1:32" ht="11.1" customHeight="1">
      <c r="A11" s="1592" t="s">
        <v>3773</v>
      </c>
      <c r="B11" s="1551"/>
      <c r="C11" s="288"/>
      <c r="D11" s="1638" t="s">
        <v>3743</v>
      </c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288"/>
      <c r="P11" s="1701" t="s">
        <v>3744</v>
      </c>
      <c r="Q11" s="1540"/>
      <c r="R11" s="1540"/>
      <c r="S11" s="1540"/>
      <c r="T11" s="1540"/>
      <c r="U11" s="288"/>
      <c r="V11" s="1638" t="s">
        <v>3745</v>
      </c>
      <c r="W11" s="1540"/>
      <c r="X11" s="1540"/>
      <c r="Y11" s="1540"/>
      <c r="Z11" s="1540"/>
      <c r="AA11" s="1540"/>
      <c r="AB11" s="1540"/>
      <c r="AC11" s="1540"/>
      <c r="AD11" s="1540"/>
      <c r="AE11" s="1540"/>
      <c r="AF11" s="1541"/>
    </row>
    <row r="12" spans="1:32" ht="18" customHeight="1">
      <c r="A12" s="1590">
        <f>+ZAKL_DATA!B8</f>
        <v>0.0</v>
      </c>
      <c r="B12" s="1591"/>
      <c r="C12" s="292"/>
      <c r="D12" s="1700">
        <f>+'DAP1'!G31</f>
        <v>0.0</v>
      </c>
      <c r="E12" s="1594"/>
      <c r="F12" s="1594"/>
      <c r="G12" s="1594"/>
      <c r="H12" s="1594"/>
      <c r="I12" s="1594"/>
      <c r="J12" s="1594"/>
      <c r="K12" s="1594"/>
      <c r="L12" s="1594"/>
      <c r="M12" s="1594"/>
      <c r="N12" s="1595"/>
      <c r="O12" s="292"/>
      <c r="P12" s="1639">
        <f>+'DAP1'!L31</f>
        <v>0.0</v>
      </c>
      <c r="Q12" s="1551"/>
      <c r="R12" s="1551"/>
      <c r="S12" s="1551"/>
      <c r="T12" s="1552"/>
      <c r="U12" s="516"/>
      <c r="V12" s="1593">
        <f>+'DAP1'!B31</f>
        <v>0.0</v>
      </c>
      <c r="W12" s="1594"/>
      <c r="X12" s="1594"/>
      <c r="Y12" s="1594"/>
      <c r="Z12" s="1594"/>
      <c r="AA12" s="1594"/>
      <c r="AB12" s="1594"/>
      <c r="AC12" s="1594"/>
      <c r="AD12" s="1594"/>
      <c r="AE12" s="1594"/>
      <c r="AF12" s="1595"/>
    </row>
    <row r="13" spans="1:32" ht="11.1" customHeight="1">
      <c r="A13" s="1592" t="s">
        <v>3746</v>
      </c>
      <c r="B13" s="1551"/>
      <c r="C13" s="288"/>
      <c r="D13" s="1638" t="s">
        <v>3747</v>
      </c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288"/>
      <c r="P13" s="1696" t="s">
        <v>3775</v>
      </c>
      <c r="Q13" s="1507"/>
      <c r="R13" s="1507"/>
      <c r="S13" s="1507"/>
      <c r="T13" s="1507"/>
      <c r="U13" s="1078"/>
      <c r="V13" s="1507"/>
      <c r="W13" s="1507"/>
      <c r="X13" s="288"/>
      <c r="Y13" s="1596" t="s">
        <v>3774</v>
      </c>
      <c r="Z13" s="1597"/>
      <c r="AA13" s="1597"/>
      <c r="AB13" s="1597"/>
      <c r="AC13" s="1597"/>
      <c r="AD13" s="1597"/>
      <c r="AE13" s="1597"/>
      <c r="AF13" s="1598"/>
    </row>
    <row r="14" spans="1:32" ht="18" customHeight="1">
      <c r="A14" s="1639">
        <f>+'DAP1'!B32</f>
        <v>0.0</v>
      </c>
      <c r="B14" s="1552"/>
      <c r="C14" s="292"/>
      <c r="D14" s="1700">
        <f>+'DAP1'!K32</f>
        <v>0.0</v>
      </c>
      <c r="E14" s="1594"/>
      <c r="F14" s="1594"/>
      <c r="G14" s="1594"/>
      <c r="H14" s="1594"/>
      <c r="I14" s="1594"/>
      <c r="J14" s="1594"/>
      <c r="K14" s="1594"/>
      <c r="L14" s="1594"/>
      <c r="M14" s="1594"/>
      <c r="N14" s="1595"/>
      <c r="O14" s="292"/>
      <c r="P14" s="1697" t="str">
        <f>+IF(+LEN(ZAKL_DATA!B28)+LEN(ZAKL_DATA!B27)=0," ",(+IF(+LEN(ZAKL_DATA!B28)=0,'DAP1'!H32,ZAKL_DATA!B28)))</f>
        <v xml:space="preserve"> </v>
      </c>
      <c r="Q14" s="1698"/>
      <c r="R14" s="1698"/>
      <c r="S14" s="1698"/>
      <c r="T14" s="1698"/>
      <c r="U14" s="1698"/>
      <c r="V14" s="1698"/>
      <c r="W14" s="1699"/>
      <c r="X14" s="495"/>
      <c r="Y14" s="1695" t="str">
        <f>++CONCATENATE(ZAKL_DATA!B25)</f>
        <v/>
      </c>
      <c r="Z14" s="1633"/>
      <c r="AA14" s="1633"/>
      <c r="AB14" s="1633"/>
      <c r="AC14" s="1633"/>
      <c r="AD14" s="1633"/>
      <c r="AE14" s="1633"/>
      <c r="AF14" s="1634"/>
    </row>
    <row r="15" spans="1:32" ht="5.1" customHeight="1">
      <c r="A15" s="1627"/>
      <c r="B15" s="1628"/>
      <c r="C15" s="1628"/>
      <c r="D15" s="1628"/>
      <c r="E15" s="1628"/>
      <c r="F15" s="1628"/>
      <c r="G15" s="1628"/>
      <c r="H15" s="1628"/>
      <c r="I15" s="1628"/>
      <c r="J15" s="1628"/>
      <c r="K15" s="1628"/>
      <c r="L15" s="1628"/>
      <c r="M15" s="1628"/>
      <c r="N15" s="1628"/>
      <c r="O15" s="1628"/>
      <c r="P15" s="1628"/>
      <c r="Q15" s="1628"/>
      <c r="R15" s="1628"/>
      <c r="S15" s="1628"/>
      <c r="T15" s="1628"/>
      <c r="U15" s="1628"/>
      <c r="V15" s="1628"/>
      <c r="W15" s="1628"/>
      <c r="X15" s="1628"/>
      <c r="Y15" s="1628"/>
      <c r="Z15" s="1628"/>
      <c r="AA15" s="1628"/>
      <c r="AB15" s="1628"/>
      <c r="AC15" s="1628"/>
      <c r="AD15" s="1628"/>
      <c r="AE15" s="1628"/>
      <c r="AF15" s="1629"/>
    </row>
    <row r="16" spans="1:32" ht="15" customHeight="1">
      <c r="A16" s="1557" t="s">
        <v>3777</v>
      </c>
      <c r="B16" s="1615"/>
      <c r="C16" s="1615"/>
      <c r="D16" s="1615"/>
      <c r="E16" s="1615"/>
      <c r="F16" s="1615"/>
      <c r="G16" s="1615"/>
      <c r="H16" s="1615"/>
      <c r="I16" s="1615"/>
      <c r="J16" s="1615"/>
      <c r="K16" s="1615"/>
      <c r="L16" s="1615"/>
      <c r="M16" s="1615"/>
      <c r="N16" s="1615"/>
      <c r="O16" s="1615"/>
      <c r="P16" s="1615"/>
      <c r="Q16" s="1615"/>
      <c r="R16" s="1615"/>
      <c r="S16" s="1615"/>
      <c r="T16" s="1615"/>
      <c r="U16" s="1615"/>
      <c r="V16" s="1615"/>
      <c r="W16" s="1615"/>
      <c r="X16" s="1615"/>
      <c r="Y16" s="1615"/>
      <c r="Z16" s="1615"/>
      <c r="AA16" s="1615"/>
      <c r="AB16" s="1615"/>
      <c r="AC16" s="1615"/>
      <c r="AD16" s="1615"/>
      <c r="AE16" s="1615"/>
      <c r="AF16" s="1559"/>
    </row>
    <row r="17" spans="1:32" ht="4.5" customHeight="1">
      <c r="A17" s="1618"/>
      <c r="B17" s="1619"/>
      <c r="C17" s="1619"/>
      <c r="D17" s="1619"/>
      <c r="E17" s="1619"/>
      <c r="F17" s="1619"/>
      <c r="G17" s="1619"/>
      <c r="H17" s="1619"/>
      <c r="I17" s="1619"/>
      <c r="J17" s="1619"/>
      <c r="K17" s="1619"/>
      <c r="L17" s="1619"/>
      <c r="M17" s="1619"/>
      <c r="N17" s="1619"/>
      <c r="O17" s="1619"/>
      <c r="P17" s="1619"/>
      <c r="Q17" s="1619"/>
      <c r="R17" s="1619"/>
      <c r="S17" s="1619"/>
      <c r="T17" s="1619"/>
      <c r="U17" s="1619"/>
      <c r="V17" s="1619"/>
      <c r="W17" s="1619"/>
      <c r="X17" s="1619"/>
      <c r="Y17" s="1619"/>
      <c r="Z17" s="1619"/>
      <c r="AA17" s="1619"/>
      <c r="AB17" s="1619"/>
      <c r="AC17" s="1619"/>
      <c r="AD17" s="1619"/>
      <c r="AE17" s="1619"/>
      <c r="AF17" s="1620"/>
    </row>
    <row r="18" spans="1:32" ht="15" customHeight="1">
      <c r="A18" s="1542" t="s">
        <v>3944</v>
      </c>
      <c r="B18" s="1408"/>
      <c r="C18" s="1408"/>
      <c r="D18" s="1408"/>
      <c r="E18" s="1408"/>
      <c r="F18" s="1408"/>
      <c r="G18" s="1408"/>
      <c r="H18" s="1408"/>
      <c r="I18" s="1408"/>
      <c r="J18" s="1408"/>
      <c r="K18" s="1408"/>
      <c r="L18" s="1408"/>
      <c r="M18" s="1408"/>
      <c r="N18" s="1543"/>
      <c r="O18" s="423" t="s">
        <v>255</v>
      </c>
      <c r="P18" s="1530" t="s">
        <v>162</v>
      </c>
      <c r="Q18" s="1408"/>
      <c r="R18" s="1408"/>
      <c r="S18" s="1408"/>
      <c r="T18" s="1543"/>
      <c r="U18" s="423"/>
      <c r="V18" s="1530" t="s">
        <v>163</v>
      </c>
      <c r="W18" s="1408"/>
      <c r="X18" s="1408"/>
      <c r="Y18" s="1408"/>
      <c r="Z18" s="1531"/>
      <c r="AA18" s="423"/>
      <c r="AB18" s="1408" t="s">
        <v>164</v>
      </c>
      <c r="AC18" s="1408"/>
      <c r="AD18" s="1408"/>
      <c r="AE18" s="1408"/>
      <c r="AF18" s="1589"/>
    </row>
    <row r="19" spans="1:32" ht="4.5" customHeight="1">
      <c r="A19" s="1549"/>
      <c r="B19" s="1573"/>
      <c r="C19" s="1573"/>
      <c r="D19" s="1573"/>
      <c r="E19" s="1573"/>
      <c r="F19" s="1573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1533"/>
      <c r="AE19" s="1534"/>
      <c r="AF19" s="1535"/>
    </row>
    <row r="20" spans="1:32" ht="15" customHeight="1">
      <c r="A20" s="1532" t="s">
        <v>121</v>
      </c>
      <c r="B20" s="1078"/>
      <c r="C20" s="1078"/>
      <c r="D20" s="1078"/>
      <c r="E20" s="1078"/>
      <c r="F20" s="501">
        <v>1.0</v>
      </c>
      <c r="G20" s="423"/>
      <c r="H20" s="502">
        <v>2.0</v>
      </c>
      <c r="I20" s="423"/>
      <c r="J20" s="502">
        <v>3.0</v>
      </c>
      <c r="K20" s="423"/>
      <c r="L20" s="502">
        <v>4.0</v>
      </c>
      <c r="M20" s="423"/>
      <c r="N20" s="502">
        <v>5.0</v>
      </c>
      <c r="O20" s="423"/>
      <c r="P20" s="502">
        <v>6.0</v>
      </c>
      <c r="Q20" s="423"/>
      <c r="R20" s="502">
        <v>7.0</v>
      </c>
      <c r="S20" s="423"/>
      <c r="T20" s="502">
        <v>8.0</v>
      </c>
      <c r="U20" s="423"/>
      <c r="V20" s="502">
        <v>9.0</v>
      </c>
      <c r="W20" s="423"/>
      <c r="X20" s="502">
        <v>10.0</v>
      </c>
      <c r="Y20" s="423"/>
      <c r="Z20" s="502">
        <v>11.0</v>
      </c>
      <c r="AA20" s="423"/>
      <c r="AB20" s="502">
        <v>12.0</v>
      </c>
      <c r="AC20" s="542"/>
      <c r="AD20" s="503" t="s">
        <v>236</v>
      </c>
      <c r="AE20" s="542" t="str">
        <f>+IF(EXACT(O18,"X"),"X","")</f>
        <v>X</v>
      </c>
      <c r="AF20" s="543"/>
    </row>
    <row r="21" spans="1:32" ht="4.5" customHeight="1">
      <c r="A21" s="1532"/>
      <c r="B21" s="1408"/>
      <c r="C21" s="1408"/>
      <c r="D21" s="1408"/>
      <c r="E21" s="1408"/>
      <c r="F21" s="1408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1533"/>
      <c r="AE21" s="1534"/>
      <c r="AF21" s="1650"/>
    </row>
    <row r="22" spans="1:32" ht="15" customHeight="1">
      <c r="A22" s="1532" t="s">
        <v>122</v>
      </c>
      <c r="B22" s="1078"/>
      <c r="C22" s="1078"/>
      <c r="D22" s="1078"/>
      <c r="E22" s="1078"/>
      <c r="F22" s="501">
        <v>1.0</v>
      </c>
      <c r="G22" s="423"/>
      <c r="H22" s="502">
        <v>2.0</v>
      </c>
      <c r="I22" s="423"/>
      <c r="J22" s="502">
        <v>3.0</v>
      </c>
      <c r="K22" s="423"/>
      <c r="L22" s="502">
        <v>4.0</v>
      </c>
      <c r="M22" s="423"/>
      <c r="N22" s="502">
        <v>5.0</v>
      </c>
      <c r="O22" s="423"/>
      <c r="P22" s="502">
        <v>6.0</v>
      </c>
      <c r="Q22" s="423"/>
      <c r="R22" s="502">
        <v>7.0</v>
      </c>
      <c r="S22" s="423"/>
      <c r="T22" s="502">
        <v>8.0</v>
      </c>
      <c r="U22" s="423"/>
      <c r="V22" s="502">
        <v>9.0</v>
      </c>
      <c r="W22" s="423"/>
      <c r="X22" s="502">
        <v>10.0</v>
      </c>
      <c r="Y22" s="423"/>
      <c r="Z22" s="502">
        <v>11.0</v>
      </c>
      <c r="AA22" s="423"/>
      <c r="AB22" s="502">
        <v>12.0</v>
      </c>
      <c r="AC22" s="542"/>
      <c r="AD22" s="503" t="s">
        <v>236</v>
      </c>
      <c r="AE22" s="542" t="str">
        <f>+IF(EXACT(U18,"X"),"X","")</f>
        <v/>
      </c>
      <c r="AF22" s="543"/>
    </row>
    <row r="23" spans="1:32" ht="4.5" customHeight="1">
      <c r="A23" s="1532"/>
      <c r="B23" s="1408"/>
      <c r="C23" s="1408"/>
      <c r="D23" s="1408"/>
      <c r="E23" s="1408"/>
      <c r="F23" s="1408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1533"/>
      <c r="AE23" s="1534"/>
      <c r="AF23" s="1535"/>
    </row>
    <row r="24" spans="1:32" ht="15" customHeight="1">
      <c r="A24" s="1536" t="s">
        <v>3778</v>
      </c>
      <c r="B24" s="1043"/>
      <c r="C24" s="1043"/>
      <c r="D24" s="1043"/>
      <c r="E24" s="1043"/>
      <c r="F24" s="501">
        <v>1.0</v>
      </c>
      <c r="G24" s="423"/>
      <c r="H24" s="502">
        <v>2.0</v>
      </c>
      <c r="I24" s="423"/>
      <c r="J24" s="502">
        <v>3.0</v>
      </c>
      <c r="K24" s="423"/>
      <c r="L24" s="502">
        <v>4.0</v>
      </c>
      <c r="M24" s="423"/>
      <c r="N24" s="502">
        <v>5.0</v>
      </c>
      <c r="O24" s="423"/>
      <c r="P24" s="502">
        <v>6.0</v>
      </c>
      <c r="Q24" s="423"/>
      <c r="R24" s="502">
        <v>7.0</v>
      </c>
      <c r="S24" s="423"/>
      <c r="T24" s="502">
        <v>8.0</v>
      </c>
      <c r="U24" s="423"/>
      <c r="V24" s="502">
        <v>9.0</v>
      </c>
      <c r="W24" s="423"/>
      <c r="X24" s="502">
        <v>10.0</v>
      </c>
      <c r="Y24" s="423"/>
      <c r="Z24" s="502">
        <v>11.0</v>
      </c>
      <c r="AA24" s="423"/>
      <c r="AB24" s="502">
        <v>12.0</v>
      </c>
      <c r="AC24" s="423"/>
      <c r="AD24" s="503" t="s">
        <v>236</v>
      </c>
      <c r="AE24" s="423"/>
      <c r="AF24" s="504"/>
    </row>
    <row r="25" spans="1:32" ht="21" customHeight="1">
      <c r="A25" s="1537"/>
      <c r="B25" s="1538"/>
      <c r="C25" s="1538"/>
      <c r="D25" s="1538"/>
      <c r="E25" s="1538"/>
      <c r="F25" s="292"/>
      <c r="G25" s="1539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0"/>
      <c r="U25" s="1540"/>
      <c r="V25" s="1540"/>
      <c r="W25" s="1540"/>
      <c r="X25" s="1540"/>
      <c r="Y25" s="1540"/>
      <c r="Z25" s="1540"/>
      <c r="AA25" s="1540"/>
      <c r="AB25" s="1540"/>
      <c r="AC25" s="1540"/>
      <c r="AD25" s="1540"/>
      <c r="AE25" s="1540"/>
      <c r="AF25" s="1541"/>
    </row>
    <row r="26" spans="1:32" ht="15" customHeight="1">
      <c r="A26" s="1651" t="s">
        <v>3779</v>
      </c>
      <c r="B26" s="1636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52"/>
    </row>
    <row r="27" spans="1:32" ht="4.5" customHeight="1">
      <c r="A27" s="1601"/>
      <c r="B27" s="1602"/>
      <c r="C27" s="1602"/>
      <c r="D27" s="1602"/>
      <c r="E27" s="1602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589"/>
    </row>
    <row r="28" spans="1:32" ht="18" customHeight="1">
      <c r="A28" s="1583" t="s">
        <v>3780</v>
      </c>
      <c r="B28" s="1584"/>
      <c r="C28" s="1584"/>
      <c r="D28" s="1584"/>
      <c r="E28" s="1584"/>
      <c r="F28" s="719"/>
      <c r="G28" s="423"/>
      <c r="H28" s="1566"/>
      <c r="I28" s="1585"/>
      <c r="J28" s="1585"/>
      <c r="K28" s="1585"/>
      <c r="L28" s="1573" t="s">
        <v>3882</v>
      </c>
      <c r="M28" s="1585"/>
      <c r="N28" s="1585"/>
      <c r="O28" s="1585"/>
      <c r="P28" s="1585"/>
      <c r="Q28" s="1585"/>
      <c r="R28" s="1585"/>
      <c r="S28" s="1585"/>
      <c r="T28" s="1585"/>
      <c r="U28" s="1585"/>
      <c r="V28" s="1585"/>
      <c r="W28" s="1585"/>
      <c r="X28" s="1585"/>
      <c r="Y28" s="1585"/>
      <c r="Z28" s="1585"/>
      <c r="AA28" s="1585"/>
      <c r="AB28" s="1585"/>
      <c r="AC28" s="1585"/>
      <c r="AD28" s="719"/>
      <c r="AE28" s="269"/>
      <c r="AF28" s="291"/>
    </row>
    <row r="29" spans="1:32" ht="3.95" customHeight="1">
      <c r="A29" s="1577"/>
      <c r="B29" s="1078"/>
      <c r="C29" s="1078"/>
      <c r="D29" s="1078"/>
      <c r="E29" s="1078"/>
      <c r="F29" s="1078"/>
      <c r="G29" s="1078"/>
      <c r="H29" s="1078"/>
      <c r="I29" s="1078"/>
      <c r="J29" s="1078"/>
      <c r="K29" s="1078"/>
      <c r="L29" s="1078"/>
      <c r="M29" s="1078"/>
      <c r="N29" s="1078"/>
      <c r="O29" s="1078"/>
      <c r="P29" s="1078"/>
      <c r="Q29" s="1078"/>
      <c r="R29" s="1078"/>
      <c r="S29" s="1078"/>
      <c r="T29" s="1078"/>
      <c r="U29" s="1078"/>
      <c r="V29" s="1078"/>
      <c r="W29" s="1078"/>
      <c r="X29" s="1078"/>
      <c r="Y29" s="1078"/>
      <c r="Z29" s="1078"/>
      <c r="AA29" s="1078"/>
      <c r="AB29" s="1078"/>
      <c r="AC29" s="1078"/>
      <c r="AD29" s="1078"/>
      <c r="AE29" s="1078"/>
      <c r="AF29" s="719"/>
    </row>
    <row r="30" spans="1:32" ht="20.1" customHeight="1">
      <c r="A30" s="1583" t="s">
        <v>3781</v>
      </c>
      <c r="B30" s="1584"/>
      <c r="C30" s="1584"/>
      <c r="D30" s="1584"/>
      <c r="E30" s="1584"/>
      <c r="F30" s="719"/>
      <c r="G30" s="269"/>
      <c r="H30" s="1566"/>
      <c r="I30" s="1585"/>
      <c r="J30" s="1585"/>
      <c r="K30" s="1585"/>
      <c r="L30" s="1586" t="s">
        <v>3783</v>
      </c>
      <c r="M30" s="1587"/>
      <c r="N30" s="1587"/>
      <c r="O30" s="1587"/>
      <c r="P30" s="1587"/>
      <c r="Q30" s="1587"/>
      <c r="R30" s="1587"/>
      <c r="S30" s="1587"/>
      <c r="T30" s="1587"/>
      <c r="U30" s="1587"/>
      <c r="V30" s="1587"/>
      <c r="W30" s="1587"/>
      <c r="X30" s="1587"/>
      <c r="Y30" s="1587"/>
      <c r="Z30" s="1587"/>
      <c r="AA30" s="1587"/>
      <c r="AB30" s="1587"/>
      <c r="AC30" s="1587"/>
      <c r="AD30" s="719"/>
      <c r="AE30" s="269"/>
      <c r="AF30" s="291"/>
    </row>
    <row r="31" spans="1:32" ht="3.95" customHeight="1">
      <c r="A31" s="1577"/>
      <c r="B31" s="1078"/>
      <c r="C31" s="1078"/>
      <c r="D31" s="1078"/>
      <c r="E31" s="1078"/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719"/>
    </row>
    <row r="32" spans="1:32" ht="20.1" customHeight="1">
      <c r="A32" s="1583" t="s">
        <v>3782</v>
      </c>
      <c r="B32" s="1584"/>
      <c r="C32" s="1584"/>
      <c r="D32" s="1584"/>
      <c r="E32" s="1584"/>
      <c r="F32" s="719"/>
      <c r="G32" s="269"/>
      <c r="H32" s="1566"/>
      <c r="I32" s="1585"/>
      <c r="J32" s="1585"/>
      <c r="K32" s="1585"/>
      <c r="L32" s="1586" t="s">
        <v>3948</v>
      </c>
      <c r="M32" s="1588"/>
      <c r="N32" s="1588"/>
      <c r="O32" s="1588"/>
      <c r="P32" s="1588"/>
      <c r="Q32" s="1588"/>
      <c r="R32" s="1588"/>
      <c r="S32" s="1588"/>
      <c r="T32" s="1588"/>
      <c r="U32" s="1588"/>
      <c r="V32" s="1588"/>
      <c r="W32" s="1588"/>
      <c r="X32" s="1588"/>
      <c r="Y32" s="1588"/>
      <c r="Z32" s="1588"/>
      <c r="AA32" s="1588"/>
      <c r="AB32" s="1588"/>
      <c r="AC32" s="1588"/>
      <c r="AD32" s="1564"/>
      <c r="AE32" s="269"/>
      <c r="AF32" s="291"/>
    </row>
    <row r="33" spans="1:32" ht="3.95" customHeight="1">
      <c r="A33" s="1578"/>
      <c r="B33" s="1579"/>
      <c r="C33" s="1579"/>
      <c r="D33" s="1579"/>
      <c r="E33" s="1579"/>
      <c r="F33" s="1579"/>
      <c r="G33" s="1579"/>
      <c r="H33" s="1579"/>
      <c r="I33" s="1579"/>
      <c r="J33" s="1579"/>
      <c r="K33" s="1579"/>
      <c r="L33" s="1579"/>
      <c r="M33" s="1579"/>
      <c r="N33" s="1579"/>
      <c r="O33" s="1579"/>
      <c r="P33" s="1579"/>
      <c r="Q33" s="1579"/>
      <c r="R33" s="1579"/>
      <c r="S33" s="1579"/>
      <c r="T33" s="1579"/>
      <c r="U33" s="1579"/>
      <c r="V33" s="1579"/>
      <c r="W33" s="1579"/>
      <c r="X33" s="1579"/>
      <c r="Y33" s="1579"/>
      <c r="Z33" s="1579"/>
      <c r="AA33" s="1579"/>
      <c r="AB33" s="1579"/>
      <c r="AC33" s="1579"/>
      <c r="AD33" s="1579"/>
      <c r="AE33" s="1579"/>
      <c r="AF33" s="1580"/>
    </row>
    <row r="34" spans="1:32" ht="12.75">
      <c r="A34" s="1557" t="s">
        <v>3945</v>
      </c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558"/>
      <c r="Z34" s="1558"/>
      <c r="AA34" s="1558"/>
      <c r="AB34" s="1558"/>
      <c r="AC34" s="1558"/>
      <c r="AD34" s="1558"/>
      <c r="AE34" s="1558"/>
      <c r="AF34" s="1559"/>
    </row>
    <row r="35" spans="1:32" ht="5.1" customHeight="1">
      <c r="A35" s="1605"/>
      <c r="B35" s="1507"/>
      <c r="C35" s="1507"/>
      <c r="D35" s="1507"/>
      <c r="E35" s="1507"/>
      <c r="F35" s="1507"/>
      <c r="G35" s="1507"/>
      <c r="H35" s="1507"/>
      <c r="I35" s="1507"/>
      <c r="J35" s="1507"/>
      <c r="K35" s="1507"/>
      <c r="L35" s="1507"/>
      <c r="M35" s="1507"/>
      <c r="N35" s="1507"/>
      <c r="O35" s="1507"/>
      <c r="P35" s="1507"/>
      <c r="Q35" s="1507"/>
      <c r="R35" s="1507"/>
      <c r="S35" s="1507"/>
      <c r="T35" s="1507"/>
      <c r="U35" s="1507"/>
      <c r="V35" s="1507"/>
      <c r="W35" s="1507"/>
      <c r="X35" s="1507"/>
      <c r="Y35" s="1605"/>
      <c r="Z35" s="1507"/>
      <c r="AA35" s="1507"/>
      <c r="AB35" s="1507"/>
      <c r="AC35" s="1507"/>
      <c r="AD35" s="1507"/>
      <c r="AE35" s="1507"/>
      <c r="AF35" s="1606"/>
    </row>
    <row r="36" spans="1:32" ht="18" customHeight="1">
      <c r="A36" s="1549" t="s">
        <v>3784</v>
      </c>
      <c r="B36" s="1078"/>
      <c r="C36" s="1078"/>
      <c r="D36" s="1078"/>
      <c r="E36" s="1078"/>
      <c r="F36" s="1078"/>
      <c r="G36" s="719"/>
      <c r="H36" s="1550">
        <f>+'1Př1'!F23</f>
        <v>0.0</v>
      </c>
      <c r="I36" s="1551"/>
      <c r="J36" s="1551"/>
      <c r="K36" s="1551"/>
      <c r="L36" s="1551"/>
      <c r="M36" s="1552"/>
      <c r="N36" s="1567" t="s">
        <v>200</v>
      </c>
      <c r="O36" s="1078"/>
      <c r="P36" s="1078"/>
      <c r="Q36" s="1078"/>
      <c r="R36" s="1078"/>
      <c r="S36" s="1078"/>
      <c r="T36" s="1078"/>
      <c r="U36" s="1078"/>
      <c r="V36" s="1078"/>
      <c r="W36" s="1078"/>
      <c r="X36" s="719"/>
      <c r="Y36" s="1647" t="s">
        <v>3791</v>
      </c>
      <c r="Z36" s="1648"/>
      <c r="AA36" s="1648"/>
      <c r="AB36" s="1648"/>
      <c r="AC36" s="1648"/>
      <c r="AD36" s="1648"/>
      <c r="AE36" s="1648"/>
      <c r="AF36" s="1649"/>
    </row>
    <row r="37" spans="1:32" ht="9.95" customHeight="1">
      <c r="A37" s="1547"/>
      <c r="B37" s="1078"/>
      <c r="C37" s="1078"/>
      <c r="D37" s="1078"/>
      <c r="E37" s="1078"/>
      <c r="F37" s="1078"/>
      <c r="G37" s="1078"/>
      <c r="H37" s="1078"/>
      <c r="I37" s="1078"/>
      <c r="J37" s="1078"/>
      <c r="K37" s="1078"/>
      <c r="L37" s="1078"/>
      <c r="M37" s="1078"/>
      <c r="N37" s="1078"/>
      <c r="O37" s="1599" t="s">
        <v>166</v>
      </c>
      <c r="P37" s="1078"/>
      <c r="Q37" s="1078"/>
      <c r="R37" s="1078"/>
      <c r="S37" s="1078"/>
      <c r="T37" s="1599" t="s">
        <v>167</v>
      </c>
      <c r="U37" s="1078"/>
      <c r="V37" s="1078"/>
      <c r="W37" s="1604"/>
      <c r="X37" s="719"/>
      <c r="Y37" s="1547" t="s">
        <v>166</v>
      </c>
      <c r="Z37" s="1078"/>
      <c r="AA37" s="1078"/>
      <c r="AB37" s="1600"/>
      <c r="AC37" s="1078"/>
      <c r="AD37" s="1599" t="s">
        <v>167</v>
      </c>
      <c r="AE37" s="1078"/>
      <c r="AF37" s="719"/>
    </row>
    <row r="38" spans="1:47" ht="18" customHeight="1">
      <c r="A38" s="1549" t="s">
        <v>3785</v>
      </c>
      <c r="B38" s="1078"/>
      <c r="C38" s="1078"/>
      <c r="D38" s="1078"/>
      <c r="E38" s="1078"/>
      <c r="F38" s="1078"/>
      <c r="G38" s="1078"/>
      <c r="H38" s="1078"/>
      <c r="I38" s="1078"/>
      <c r="J38" s="1078"/>
      <c r="K38" s="1078"/>
      <c r="L38" s="1078"/>
      <c r="M38" s="1078"/>
      <c r="N38" s="1078"/>
      <c r="O38" s="719"/>
      <c r="P38" s="269">
        <f>+AU38</f>
        <v>12.0</v>
      </c>
      <c r="Q38" s="1577"/>
      <c r="R38" s="1078"/>
      <c r="S38" s="1078"/>
      <c r="T38" s="719"/>
      <c r="U38" s="268">
        <f>+AU40</f>
        <v>0.0</v>
      </c>
      <c r="V38" s="1607"/>
      <c r="W38" s="1078"/>
      <c r="X38" s="719"/>
      <c r="Y38" s="424"/>
      <c r="Z38" s="425"/>
      <c r="AA38" s="1577"/>
      <c r="AB38" s="1078"/>
      <c r="AC38" s="1078"/>
      <c r="AD38" s="719"/>
      <c r="AE38" s="426"/>
      <c r="AF38" s="427"/>
      <c r="AH38" s="21">
        <f>+IF(EXACT(AE20,"X"),12,0)</f>
        <v>12.0</v>
      </c>
      <c r="AI38" s="21">
        <f>+IF(EXACT(G20,"X"),1,0)</f>
        <v>0.0</v>
      </c>
      <c r="AJ38" s="21">
        <f>+IF(EXACT(I20,"X"),1,0)</f>
        <v>0.0</v>
      </c>
      <c r="AK38" s="21">
        <f>+IF(EXACT(K20,"X"),1,0)</f>
        <v>0.0</v>
      </c>
      <c r="AL38" s="21">
        <f>+IF(EXACT(M20,"X"),1,0)</f>
        <v>0.0</v>
      </c>
      <c r="AM38" s="21">
        <f>+IF(EXACT(O20,"X"),1,0)</f>
        <v>0.0</v>
      </c>
      <c r="AN38" s="21">
        <f>+IF(EXACT(Q20,"X"),1,0)</f>
        <v>0.0</v>
      </c>
      <c r="AO38" s="21">
        <f>+IF(EXACT(S20,"X"),1,0)</f>
        <v>0.0</v>
      </c>
      <c r="AP38" s="21">
        <f>+IF(EXACT(U20,"X"),1,0)</f>
        <v>0.0</v>
      </c>
      <c r="AQ38" s="21">
        <f>+IF(EXACT(W20,"X"),1,0)</f>
        <v>0.0</v>
      </c>
      <c r="AR38" s="21">
        <f>+IF(EXACT(Y20,"X"),1,0)</f>
        <v>0.0</v>
      </c>
      <c r="AS38" s="21">
        <f>+IF(EXACT(AA20,"X"),1,0)</f>
        <v>0.0</v>
      </c>
      <c r="AT38" s="21">
        <f>+IF(EXACT(AC20,"X"),1,0)</f>
        <v>0.0</v>
      </c>
      <c r="AU38" s="21">
        <f>+IF(AH38=12,12,+SUM(AI38:AT38))</f>
        <v>12.0</v>
      </c>
    </row>
    <row r="39" spans="1:32" ht="9.95" customHeight="1">
      <c r="A39" s="1566"/>
      <c r="B39" s="1078"/>
      <c r="C39" s="1078"/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599" t="s">
        <v>166</v>
      </c>
      <c r="P39" s="1078"/>
      <c r="Q39" s="1078"/>
      <c r="R39" s="1078"/>
      <c r="S39" s="1078"/>
      <c r="T39" s="1599" t="s">
        <v>167</v>
      </c>
      <c r="U39" s="1078"/>
      <c r="V39" s="1078"/>
      <c r="W39" s="1604"/>
      <c r="X39" s="719"/>
      <c r="Y39" s="1547" t="s">
        <v>166</v>
      </c>
      <c r="Z39" s="1078"/>
      <c r="AA39" s="1078"/>
      <c r="AB39" s="1600"/>
      <c r="AC39" s="1078"/>
      <c r="AD39" s="1599" t="s">
        <v>167</v>
      </c>
      <c r="AE39" s="1078"/>
      <c r="AF39" s="719"/>
    </row>
    <row r="40" spans="1:65" s="121" customFormat="1" ht="18" customHeight="1">
      <c r="A40" s="1549" t="s">
        <v>3786</v>
      </c>
      <c r="B40" s="1078"/>
      <c r="C40" s="1078"/>
      <c r="D40" s="1078"/>
      <c r="E40" s="1078"/>
      <c r="F40" s="1078"/>
      <c r="G40" s="1078"/>
      <c r="H40" s="1078"/>
      <c r="I40" s="1078"/>
      <c r="J40" s="1078"/>
      <c r="K40" s="1078"/>
      <c r="L40" s="1078"/>
      <c r="M40" s="1078"/>
      <c r="N40" s="1078"/>
      <c r="O40" s="719"/>
      <c r="P40" s="269">
        <f>+P38</f>
        <v>12.0</v>
      </c>
      <c r="Q40" s="1577"/>
      <c r="R40" s="1078"/>
      <c r="S40" s="1078"/>
      <c r="T40" s="719"/>
      <c r="U40" s="268">
        <f>+U38</f>
        <v>0.0</v>
      </c>
      <c r="V40" s="1607"/>
      <c r="W40" s="1078"/>
      <c r="X40" s="719"/>
      <c r="Y40" s="424"/>
      <c r="Z40" s="425"/>
      <c r="AA40" s="1577"/>
      <c r="AB40" s="1078"/>
      <c r="AC40" s="1078"/>
      <c r="AD40" s="719"/>
      <c r="AE40" s="426"/>
      <c r="AF40" s="427"/>
      <c r="AG40" s="102"/>
      <c r="AH40" s="21">
        <f>+IF(EXACT(AE22,"X"),12,0)</f>
        <v>0.0</v>
      </c>
      <c r="AI40" s="21">
        <f>+IF(EXACT(G22,"X"),1,0)</f>
        <v>0.0</v>
      </c>
      <c r="AJ40" s="21">
        <f>+IF(EXACT(I22,"X"),1,0)</f>
        <v>0.0</v>
      </c>
      <c r="AK40" s="21">
        <f>+IF(EXACT(K22,"X"),1,0)</f>
        <v>0.0</v>
      </c>
      <c r="AL40" s="21">
        <f>+IF(EXACT(M22,"X"),1,0)</f>
        <v>0.0</v>
      </c>
      <c r="AM40" s="21">
        <f>+IF(EXACT(O22,"X"),1,0)</f>
        <v>0.0</v>
      </c>
      <c r="AN40" s="21">
        <f>+IF(EXACT(Q22,"X"),1,0)</f>
        <v>0.0</v>
      </c>
      <c r="AO40" s="21">
        <f>+IF(EXACT(S22,"X"),1,0)</f>
        <v>0.0</v>
      </c>
      <c r="AP40" s="21">
        <f>+IF(EXACT(U22,"X"),1,0)</f>
        <v>0.0</v>
      </c>
      <c r="AQ40" s="21">
        <f>+IF(EXACT(W22,"X"),1,0)</f>
        <v>0.0</v>
      </c>
      <c r="AR40" s="21">
        <f>+IF(EXACT(Y22,"X"),1,0)</f>
        <v>0.0</v>
      </c>
      <c r="AS40" s="21">
        <f>+IF(EXACT(AA22,"X"),1,0)</f>
        <v>0.0</v>
      </c>
      <c r="AT40" s="21">
        <f>+IF(EXACT(AC22,"X"),1,0)</f>
        <v>0.0</v>
      </c>
      <c r="AU40" s="21">
        <f>+IF(AH40=12,12,+SUM(AI40:AT40))</f>
        <v>0.0</v>
      </c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</row>
    <row r="41" spans="1:32" ht="9.95" customHeight="1">
      <c r="A41" s="1566"/>
      <c r="B41" s="1078"/>
      <c r="C41" s="1078"/>
      <c r="D41" s="1078"/>
      <c r="E41" s="1078"/>
      <c r="F41" s="1078"/>
      <c r="G41" s="1078"/>
      <c r="H41" s="1078"/>
      <c r="I41" s="1078"/>
      <c r="J41" s="1078"/>
      <c r="K41" s="1078"/>
      <c r="L41" s="1078"/>
      <c r="M41" s="1078"/>
      <c r="N41" s="1078"/>
      <c r="O41" s="1599" t="s">
        <v>166</v>
      </c>
      <c r="P41" s="1078"/>
      <c r="Q41" s="1078"/>
      <c r="R41" s="1078"/>
      <c r="S41" s="1078"/>
      <c r="T41" s="1599" t="s">
        <v>167</v>
      </c>
      <c r="U41" s="1078"/>
      <c r="V41" s="1078"/>
      <c r="W41" s="1604"/>
      <c r="X41" s="719"/>
      <c r="Y41" s="1547" t="s">
        <v>166</v>
      </c>
      <c r="Z41" s="1078"/>
      <c r="AA41" s="1078"/>
      <c r="AB41" s="1600"/>
      <c r="AC41" s="1078"/>
      <c r="AD41" s="1599" t="s">
        <v>167</v>
      </c>
      <c r="AE41" s="1078"/>
      <c r="AF41" s="719"/>
    </row>
    <row r="42" spans="1:32" ht="18" customHeight="1">
      <c r="A42" s="1560" t="s">
        <v>3865</v>
      </c>
      <c r="B42" s="1078"/>
      <c r="C42" s="1078"/>
      <c r="D42" s="1078"/>
      <c r="E42" s="1078"/>
      <c r="F42" s="1078"/>
      <c r="G42" s="1078"/>
      <c r="H42" s="1561">
        <f>+ROUND(IF(P40+U40=0,0,H36/(P40+U40)),2)</f>
        <v>0.0</v>
      </c>
      <c r="I42" s="1562"/>
      <c r="J42" s="1562"/>
      <c r="K42" s="1562"/>
      <c r="L42" s="1562"/>
      <c r="M42" s="1563"/>
      <c r="N42" s="1567" t="s">
        <v>200</v>
      </c>
      <c r="O42" s="1078"/>
      <c r="P42" s="1078"/>
      <c r="Q42" s="1078"/>
      <c r="R42" s="1078"/>
      <c r="S42" s="1078"/>
      <c r="T42" s="1078"/>
      <c r="U42" s="1078"/>
      <c r="V42" s="1078"/>
      <c r="W42" s="1078"/>
      <c r="X42" s="719"/>
      <c r="Y42" s="428"/>
      <c r="Z42" s="1646"/>
      <c r="AA42" s="1551"/>
      <c r="AB42" s="1551"/>
      <c r="AC42" s="1551"/>
      <c r="AD42" s="1551"/>
      <c r="AE42" s="1552"/>
      <c r="AF42" s="429" t="s">
        <v>200</v>
      </c>
    </row>
    <row r="43" spans="1:32" ht="8.1" customHeight="1">
      <c r="A43" s="1548"/>
      <c r="B43" s="1078"/>
      <c r="C43" s="1078"/>
      <c r="D43" s="1078"/>
      <c r="E43" s="1078"/>
      <c r="F43" s="1078"/>
      <c r="G43" s="1078"/>
      <c r="H43" s="1555" t="s">
        <v>3616</v>
      </c>
      <c r="I43" s="1556"/>
      <c r="J43" s="1556"/>
      <c r="K43" s="1556"/>
      <c r="L43" s="1556"/>
      <c r="M43" s="1556"/>
      <c r="N43" s="418"/>
      <c r="O43" s="418"/>
      <c r="P43" s="1553" t="s">
        <v>3617</v>
      </c>
      <c r="Q43" s="1554"/>
      <c r="R43" s="1554"/>
      <c r="S43" s="1554"/>
      <c r="T43" s="1554"/>
      <c r="U43" s="1554"/>
      <c r="V43" s="1653"/>
      <c r="W43" s="1078"/>
      <c r="X43" s="1078"/>
      <c r="Y43" s="1644"/>
      <c r="Z43" s="1604"/>
      <c r="AA43" s="1604"/>
      <c r="AB43" s="1604"/>
      <c r="AC43" s="1604"/>
      <c r="AD43" s="1604"/>
      <c r="AE43" s="1604"/>
      <c r="AF43" s="1645"/>
    </row>
    <row r="44" spans="1:32" ht="18" customHeight="1">
      <c r="A44" s="1560" t="s">
        <v>3866</v>
      </c>
      <c r="B44" s="1078"/>
      <c r="C44" s="1078"/>
      <c r="D44" s="1078"/>
      <c r="E44" s="1078"/>
      <c r="F44" s="1078"/>
      <c r="G44" s="1564"/>
      <c r="H44" s="1550">
        <f>IF(OR(EXACT("X",AA18),EXACT("x",AA18)),+H42*P40,0)</f>
        <v>0.0</v>
      </c>
      <c r="I44" s="1551"/>
      <c r="J44" s="1551"/>
      <c r="K44" s="1551"/>
      <c r="L44" s="1551"/>
      <c r="M44" s="1552"/>
      <c r="N44" s="1567" t="s">
        <v>200</v>
      </c>
      <c r="O44" s="719"/>
      <c r="P44" s="1565">
        <f>IF(OR(EXACT("X",AA18),EXACT("x",AA18)),+H42*U40,0)</f>
        <v>0.0</v>
      </c>
      <c r="Q44" s="1551"/>
      <c r="R44" s="1551"/>
      <c r="S44" s="1551"/>
      <c r="T44" s="1551"/>
      <c r="U44" s="1552"/>
      <c r="V44" s="1654" t="s">
        <v>200</v>
      </c>
      <c r="W44" s="1078"/>
      <c r="X44" s="1078"/>
      <c r="Y44" s="428"/>
      <c r="Z44" s="1646"/>
      <c r="AA44" s="1551"/>
      <c r="AB44" s="1551"/>
      <c r="AC44" s="1551"/>
      <c r="AD44" s="1551"/>
      <c r="AE44" s="1552"/>
      <c r="AF44" s="429" t="s">
        <v>200</v>
      </c>
    </row>
    <row r="45" spans="1:32" ht="8.1" customHeight="1">
      <c r="A45" s="1548"/>
      <c r="B45" s="1078"/>
      <c r="C45" s="1078"/>
      <c r="D45" s="1078"/>
      <c r="E45" s="1078"/>
      <c r="F45" s="1078"/>
      <c r="G45" s="1078"/>
      <c r="H45" s="1555" t="s">
        <v>3616</v>
      </c>
      <c r="I45" s="1556"/>
      <c r="J45" s="1556"/>
      <c r="K45" s="1556"/>
      <c r="L45" s="1556"/>
      <c r="M45" s="1556"/>
      <c r="N45" s="418"/>
      <c r="O45" s="418"/>
      <c r="P45" s="1553" t="s">
        <v>3617</v>
      </c>
      <c r="Q45" s="1554"/>
      <c r="R45" s="1554"/>
      <c r="S45" s="1554"/>
      <c r="T45" s="1554"/>
      <c r="U45" s="1554"/>
      <c r="V45" s="1653"/>
      <c r="W45" s="1078"/>
      <c r="X45" s="1078"/>
      <c r="Y45" s="1644"/>
      <c r="Z45" s="1604"/>
      <c r="AA45" s="1604"/>
      <c r="AB45" s="1604"/>
      <c r="AC45" s="1604"/>
      <c r="AD45" s="1604"/>
      <c r="AE45" s="1604"/>
      <c r="AF45" s="1645"/>
    </row>
    <row r="46" spans="1:32" ht="18" customHeight="1">
      <c r="A46" s="1560" t="s">
        <v>3867</v>
      </c>
      <c r="B46" s="1078"/>
      <c r="C46" s="1078"/>
      <c r="D46" s="1078"/>
      <c r="E46" s="1078"/>
      <c r="F46" s="1078"/>
      <c r="G46" s="1564"/>
      <c r="H46" s="1565">
        <f>+IF(OR(EXACT(O18,"X"),EXACT(O18,"x")),CEILING(H36*0.5,1),CEILING(+H44*0.5,1))</f>
        <v>0.0</v>
      </c>
      <c r="I46" s="1551"/>
      <c r="J46" s="1551"/>
      <c r="K46" s="1551"/>
      <c r="L46" s="1551"/>
      <c r="M46" s="1552"/>
      <c r="N46" s="1567" t="s">
        <v>200</v>
      </c>
      <c r="O46" s="719"/>
      <c r="P46" s="1544">
        <f>+IF(OR(EXACT(U18,"X"),EXACT(U18,"x")),ROUND(H36*0.5,0),ROUND(+P44*0.5,0))</f>
        <v>0.0</v>
      </c>
      <c r="Q46" s="1545"/>
      <c r="R46" s="1545"/>
      <c r="S46" s="1545"/>
      <c r="T46" s="1545"/>
      <c r="U46" s="1546"/>
      <c r="V46" s="1654" t="s">
        <v>200</v>
      </c>
      <c r="W46" s="1078"/>
      <c r="X46" s="1078"/>
      <c r="Y46" s="428"/>
      <c r="Z46" s="1646"/>
      <c r="AA46" s="1551"/>
      <c r="AB46" s="1551"/>
      <c r="AC46" s="1551"/>
      <c r="AD46" s="1551"/>
      <c r="AE46" s="1552"/>
      <c r="AF46" s="429" t="s">
        <v>200</v>
      </c>
    </row>
    <row r="47" spans="1:32" ht="8.1" customHeight="1">
      <c r="A47" s="1548"/>
      <c r="B47" s="1078"/>
      <c r="C47" s="1078"/>
      <c r="D47" s="1078"/>
      <c r="E47" s="1078"/>
      <c r="F47" s="1078"/>
      <c r="G47" s="1078"/>
      <c r="H47" s="1555" t="s">
        <v>3616</v>
      </c>
      <c r="I47" s="1556"/>
      <c r="J47" s="1556"/>
      <c r="K47" s="1556"/>
      <c r="L47" s="1556"/>
      <c r="M47" s="1556"/>
      <c r="N47" s="418"/>
      <c r="O47" s="418"/>
      <c r="P47" s="1553" t="s">
        <v>3617</v>
      </c>
      <c r="Q47" s="1554"/>
      <c r="R47" s="1554"/>
      <c r="S47" s="1554"/>
      <c r="T47" s="1554"/>
      <c r="U47" s="1554"/>
      <c r="V47" s="1653"/>
      <c r="W47" s="1078"/>
      <c r="X47" s="1078"/>
      <c r="Y47" s="1644"/>
      <c r="Z47" s="1604"/>
      <c r="AA47" s="1604"/>
      <c r="AB47" s="1604"/>
      <c r="AC47" s="1604"/>
      <c r="AD47" s="1604"/>
      <c r="AE47" s="1604"/>
      <c r="AF47" s="1645"/>
    </row>
    <row r="48" spans="1:32" ht="18" customHeight="1">
      <c r="A48" s="1560" t="s">
        <v>3868</v>
      </c>
      <c r="B48" s="1078"/>
      <c r="C48" s="1078"/>
      <c r="D48" s="1078"/>
      <c r="E48" s="1078"/>
      <c r="F48" s="1078"/>
      <c r="G48" s="1564"/>
      <c r="H48" s="1544">
        <f>(IF(OR(EXACT(AA18,"X"),EXACT(AA18,"x")),+IF(P38&gt;0,9728*P40,0),0))</f>
        <v>0.0</v>
      </c>
      <c r="I48" s="1545"/>
      <c r="J48" s="1545"/>
      <c r="K48" s="1545"/>
      <c r="L48" s="1545"/>
      <c r="M48" s="1546"/>
      <c r="N48" s="1655" t="s">
        <v>200</v>
      </c>
      <c r="O48" s="719"/>
      <c r="P48" s="1544">
        <f>(IF(OR(EXACT(AA18,"X"),EXACT(AA18,"x")),+IF(U38&gt;0,3892*U40,0),0))</f>
        <v>0.0</v>
      </c>
      <c r="Q48" s="1545"/>
      <c r="R48" s="1545"/>
      <c r="S48" s="1545"/>
      <c r="T48" s="1545"/>
      <c r="U48" s="1546"/>
      <c r="V48" s="1654" t="s">
        <v>200</v>
      </c>
      <c r="W48" s="1078"/>
      <c r="X48" s="1078"/>
      <c r="Y48" s="428"/>
      <c r="Z48" s="1646"/>
      <c r="AA48" s="1551"/>
      <c r="AB48" s="1551"/>
      <c r="AC48" s="1551"/>
      <c r="AD48" s="1551"/>
      <c r="AE48" s="1552"/>
      <c r="AF48" s="429" t="s">
        <v>200</v>
      </c>
    </row>
    <row r="49" spans="1:32" ht="8.1" customHeight="1">
      <c r="A49" s="1566"/>
      <c r="B49" s="1078"/>
      <c r="C49" s="1078"/>
      <c r="D49" s="1078"/>
      <c r="E49" s="1078"/>
      <c r="F49" s="1078"/>
      <c r="G49" s="1078"/>
      <c r="H49" s="1078"/>
      <c r="I49" s="1078"/>
      <c r="J49" s="1078"/>
      <c r="K49" s="1078"/>
      <c r="L49" s="1078"/>
      <c r="M49" s="1078"/>
      <c r="N49" s="1078"/>
      <c r="O49" s="1078"/>
      <c r="P49" s="1078"/>
      <c r="Q49" s="1078"/>
      <c r="R49" s="1078"/>
      <c r="S49" s="1078"/>
      <c r="T49" s="1078"/>
      <c r="U49" s="1078"/>
      <c r="V49" s="1078"/>
      <c r="W49" s="1078"/>
      <c r="X49" s="719"/>
      <c r="Y49" s="1644"/>
      <c r="Z49" s="1604"/>
      <c r="AA49" s="1604"/>
      <c r="AB49" s="1604"/>
      <c r="AC49" s="1604"/>
      <c r="AD49" s="1604"/>
      <c r="AE49" s="1604"/>
      <c r="AF49" s="1645"/>
    </row>
    <row r="50" spans="1:32" ht="18" customHeight="1">
      <c r="A50" s="1560" t="s">
        <v>3869</v>
      </c>
      <c r="B50" s="1078"/>
      <c r="C50" s="1078"/>
      <c r="D50" s="1078"/>
      <c r="E50" s="1078"/>
      <c r="F50" s="1078"/>
      <c r="G50" s="1564"/>
      <c r="H50" s="1544">
        <f>MIN(IF(OR(EXACT(O18,"X"),EXACT(O18,"x")),MAX(+P40*9728,H46),IF(OR(EXACT(U18,"X"),EXACT(U18,"x")),MAX(+U40*3892,P46),+MAX(H48,H46)+MAX(+P48,P46))),1867728)</f>
        <v>116736.0</v>
      </c>
      <c r="I50" s="1545"/>
      <c r="J50" s="1545"/>
      <c r="K50" s="1545"/>
      <c r="L50" s="1545"/>
      <c r="M50" s="1546"/>
      <c r="N50" s="1567" t="s">
        <v>200</v>
      </c>
      <c r="O50" s="1078"/>
      <c r="P50" s="1660" t="s">
        <v>3877</v>
      </c>
      <c r="Q50" s="1661"/>
      <c r="R50" s="1661"/>
      <c r="S50" s="1661"/>
      <c r="T50" s="1661"/>
      <c r="U50" s="1662"/>
      <c r="V50" s="1668"/>
      <c r="W50" s="1078"/>
      <c r="X50" s="719"/>
      <c r="Y50" s="428"/>
      <c r="Z50" s="1646"/>
      <c r="AA50" s="1551"/>
      <c r="AB50" s="1551"/>
      <c r="AC50" s="1551"/>
      <c r="AD50" s="1551"/>
      <c r="AE50" s="1552"/>
      <c r="AF50" s="429" t="s">
        <v>200</v>
      </c>
    </row>
    <row r="51" spans="1:32" ht="6.95" customHeight="1">
      <c r="A51" s="1548"/>
      <c r="B51" s="1078"/>
      <c r="C51" s="1078"/>
      <c r="D51" s="1078"/>
      <c r="E51" s="1078"/>
      <c r="F51" s="1078"/>
      <c r="G51" s="1078"/>
      <c r="H51" s="1670"/>
      <c r="I51" s="681"/>
      <c r="J51" s="681"/>
      <c r="K51" s="681"/>
      <c r="L51" s="681"/>
      <c r="M51" s="681"/>
      <c r="N51" s="1078"/>
      <c r="O51" s="1671"/>
      <c r="P51" s="1663"/>
      <c r="Q51" s="703"/>
      <c r="R51" s="703"/>
      <c r="S51" s="703"/>
      <c r="T51" s="703"/>
      <c r="U51" s="1664"/>
      <c r="V51" s="1669"/>
      <c r="W51" s="1078"/>
      <c r="X51" s="719"/>
      <c r="Y51" s="1656"/>
      <c r="Z51" s="1078"/>
      <c r="AA51" s="1078"/>
      <c r="AB51" s="1078"/>
      <c r="AC51" s="1078"/>
      <c r="AD51" s="1078"/>
      <c r="AE51" s="1078"/>
      <c r="AF51" s="719"/>
    </row>
    <row r="52" spans="1:32" ht="18" customHeight="1">
      <c r="A52" s="1560" t="s">
        <v>3870</v>
      </c>
      <c r="B52" s="1078"/>
      <c r="C52" s="1078"/>
      <c r="D52" s="1078"/>
      <c r="E52" s="1078"/>
      <c r="F52" s="1078"/>
      <c r="G52" s="1564"/>
      <c r="H52" s="1550">
        <f>+H50</f>
        <v>116736.0</v>
      </c>
      <c r="I52" s="1551"/>
      <c r="J52" s="1551"/>
      <c r="K52" s="1551"/>
      <c r="L52" s="1551"/>
      <c r="M52" s="1552"/>
      <c r="N52" s="1567" t="s">
        <v>200</v>
      </c>
      <c r="O52" s="1078"/>
      <c r="P52" s="1663"/>
      <c r="Q52" s="703"/>
      <c r="R52" s="703"/>
      <c r="S52" s="703"/>
      <c r="T52" s="703"/>
      <c r="U52" s="1664"/>
      <c r="V52" s="1669"/>
      <c r="W52" s="1078"/>
      <c r="X52" s="719"/>
      <c r="Y52" s="1657"/>
      <c r="Z52" s="1078"/>
      <c r="AA52" s="1078"/>
      <c r="AB52" s="1078"/>
      <c r="AC52" s="1078"/>
      <c r="AD52" s="1078"/>
      <c r="AE52" s="1078"/>
      <c r="AF52" s="719"/>
    </row>
    <row r="53" spans="1:32" ht="7.5" customHeight="1">
      <c r="A53" s="1548"/>
      <c r="B53" s="1078"/>
      <c r="C53" s="1078"/>
      <c r="D53" s="1078"/>
      <c r="E53" s="1078"/>
      <c r="F53" s="1078"/>
      <c r="G53" s="1078"/>
      <c r="H53" s="1670"/>
      <c r="I53" s="681"/>
      <c r="J53" s="681"/>
      <c r="K53" s="681"/>
      <c r="L53" s="681"/>
      <c r="M53" s="681"/>
      <c r="N53" s="1078"/>
      <c r="O53" s="1671"/>
      <c r="P53" s="1663"/>
      <c r="Q53" s="703"/>
      <c r="R53" s="703"/>
      <c r="S53" s="703"/>
      <c r="T53" s="703"/>
      <c r="U53" s="1664"/>
      <c r="V53" s="1669"/>
      <c r="W53" s="1078"/>
      <c r="X53" s="719"/>
      <c r="Y53" s="1644"/>
      <c r="Z53" s="1604"/>
      <c r="AA53" s="1604"/>
      <c r="AB53" s="1604"/>
      <c r="AC53" s="1604"/>
      <c r="AD53" s="1604"/>
      <c r="AE53" s="1604"/>
      <c r="AF53" s="1645"/>
    </row>
    <row r="54" spans="1:32" ht="18" customHeight="1">
      <c r="A54" s="1560" t="s">
        <v>3871</v>
      </c>
      <c r="B54" s="1078"/>
      <c r="C54" s="1078"/>
      <c r="D54" s="1078"/>
      <c r="E54" s="1078"/>
      <c r="F54" s="1078"/>
      <c r="G54" s="1564"/>
      <c r="H54" s="1550">
        <f>+'DAP2'!E4</f>
        <v>0.0</v>
      </c>
      <c r="I54" s="1633"/>
      <c r="J54" s="1633"/>
      <c r="K54" s="1633"/>
      <c r="L54" s="1633"/>
      <c r="M54" s="1634"/>
      <c r="N54" s="1567" t="s">
        <v>200</v>
      </c>
      <c r="O54" s="1078"/>
      <c r="P54" s="1665"/>
      <c r="Q54" s="1666"/>
      <c r="R54" s="1666"/>
      <c r="S54" s="1666"/>
      <c r="T54" s="1666"/>
      <c r="U54" s="1667"/>
      <c r="V54" s="1669"/>
      <c r="W54" s="1078"/>
      <c r="X54" s="719"/>
      <c r="Y54" s="428"/>
      <c r="Z54" s="1646"/>
      <c r="AA54" s="1551"/>
      <c r="AB54" s="1551"/>
      <c r="AC54" s="1551"/>
      <c r="AD54" s="1551"/>
      <c r="AE54" s="1552"/>
      <c r="AF54" s="429" t="s">
        <v>200</v>
      </c>
    </row>
    <row r="55" spans="1:32" ht="7.5" customHeight="1">
      <c r="A55" s="1566"/>
      <c r="B55" s="1078"/>
      <c r="C55" s="1078"/>
      <c r="D55" s="1078"/>
      <c r="E55" s="1078"/>
      <c r="F55" s="1078"/>
      <c r="G55" s="1078"/>
      <c r="H55" s="1078"/>
      <c r="I55" s="1078"/>
      <c r="J55" s="1078"/>
      <c r="K55" s="1078"/>
      <c r="L55" s="1078"/>
      <c r="M55" s="1078"/>
      <c r="N55" s="1078"/>
      <c r="O55" s="1078"/>
      <c r="P55" s="1078"/>
      <c r="Q55" s="1078"/>
      <c r="R55" s="1078"/>
      <c r="S55" s="1078"/>
      <c r="T55" s="1078"/>
      <c r="U55" s="1078"/>
      <c r="V55" s="1078"/>
      <c r="W55" s="1078"/>
      <c r="X55" s="719"/>
      <c r="Y55" s="1644"/>
      <c r="Z55" s="1604"/>
      <c r="AA55" s="1604"/>
      <c r="AB55" s="1604"/>
      <c r="AC55" s="1604"/>
      <c r="AD55" s="1604"/>
      <c r="AE55" s="1604"/>
      <c r="AF55" s="1645"/>
    </row>
    <row r="56" spans="1:32" ht="18.75" customHeight="1">
      <c r="A56" s="1560" t="s">
        <v>3872</v>
      </c>
      <c r="B56" s="1078"/>
      <c r="C56" s="1078"/>
      <c r="D56" s="1078"/>
      <c r="E56" s="1078"/>
      <c r="F56" s="1078"/>
      <c r="G56" s="1564"/>
      <c r="H56" s="1659">
        <f>+H54+H52</f>
        <v>116736.0</v>
      </c>
      <c r="I56" s="1551"/>
      <c r="J56" s="1551"/>
      <c r="K56" s="1551"/>
      <c r="L56" s="1551"/>
      <c r="M56" s="1552"/>
      <c r="N56" s="1567" t="s">
        <v>200</v>
      </c>
      <c r="O56" s="1078"/>
      <c r="P56" s="1078"/>
      <c r="Q56" s="1078"/>
      <c r="R56" s="1078"/>
      <c r="S56" s="1078"/>
      <c r="T56" s="1078"/>
      <c r="U56" s="1078"/>
      <c r="V56" s="1078"/>
      <c r="W56" s="1078"/>
      <c r="X56" s="719"/>
      <c r="Y56" s="428"/>
      <c r="Z56" s="1646"/>
      <c r="AA56" s="1551"/>
      <c r="AB56" s="1551"/>
      <c r="AC56" s="1551"/>
      <c r="AD56" s="1551"/>
      <c r="AE56" s="1552"/>
      <c r="AF56" s="429" t="s">
        <v>200</v>
      </c>
    </row>
    <row r="57" spans="1:32" ht="6.75" customHeight="1">
      <c r="A57" s="1566"/>
      <c r="B57" s="1078"/>
      <c r="C57" s="1078"/>
      <c r="D57" s="1078"/>
      <c r="E57" s="1078"/>
      <c r="F57" s="1078"/>
      <c r="G57" s="1078"/>
      <c r="H57" s="1078"/>
      <c r="I57" s="1078"/>
      <c r="J57" s="1078"/>
      <c r="K57" s="1078"/>
      <c r="L57" s="1078"/>
      <c r="M57" s="1078"/>
      <c r="N57" s="1078"/>
      <c r="O57" s="1078"/>
      <c r="P57" s="1078"/>
      <c r="Q57" s="1078"/>
      <c r="R57" s="1078"/>
      <c r="S57" s="1078"/>
      <c r="T57" s="1078"/>
      <c r="U57" s="1078"/>
      <c r="V57" s="1078"/>
      <c r="W57" s="1078"/>
      <c r="X57" s="719"/>
      <c r="Y57" s="1644"/>
      <c r="Z57" s="1604"/>
      <c r="AA57" s="1604"/>
      <c r="AB57" s="1604"/>
      <c r="AC57" s="1604"/>
      <c r="AD57" s="1604"/>
      <c r="AE57" s="1604"/>
      <c r="AF57" s="1645"/>
    </row>
    <row r="58" spans="1:32" ht="18.95" customHeight="1">
      <c r="A58" s="1560" t="s">
        <v>3873</v>
      </c>
      <c r="B58" s="1078"/>
      <c r="C58" s="1078"/>
      <c r="D58" s="1078"/>
      <c r="E58" s="1078"/>
      <c r="F58" s="1078"/>
      <c r="G58" s="1564"/>
      <c r="H58" s="1658">
        <f>IF(H56&lt;1867728,H52,MAX(0,1867728-H54))</f>
        <v>116736.0</v>
      </c>
      <c r="I58" s="1545"/>
      <c r="J58" s="1545"/>
      <c r="K58" s="1545"/>
      <c r="L58" s="1545"/>
      <c r="M58" s="1546"/>
      <c r="N58" s="1567" t="s">
        <v>200</v>
      </c>
      <c r="O58" s="1078"/>
      <c r="P58" s="1078"/>
      <c r="Q58" s="1078"/>
      <c r="R58" s="1078"/>
      <c r="S58" s="1078"/>
      <c r="T58" s="1078"/>
      <c r="U58" s="1078"/>
      <c r="V58" s="1078"/>
      <c r="W58" s="1078"/>
      <c r="X58" s="719"/>
      <c r="Y58" s="428"/>
      <c r="Z58" s="1646"/>
      <c r="AA58" s="1551"/>
      <c r="AB58" s="1551"/>
      <c r="AC58" s="1551"/>
      <c r="AD58" s="1551"/>
      <c r="AE58" s="1552"/>
      <c r="AF58" s="429" t="s">
        <v>200</v>
      </c>
    </row>
    <row r="59" spans="1:32" ht="7.5" customHeight="1">
      <c r="A59" s="1566"/>
      <c r="B59" s="1078"/>
      <c r="C59" s="1078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719"/>
      <c r="Y59" s="1644"/>
      <c r="Z59" s="1604"/>
      <c r="AA59" s="1604"/>
      <c r="AB59" s="1604"/>
      <c r="AC59" s="1604"/>
      <c r="AD59" s="1604"/>
      <c r="AE59" s="1604"/>
      <c r="AF59" s="1645"/>
    </row>
    <row r="60" spans="1:32" ht="18.95" customHeight="1">
      <c r="A60" s="1560" t="s">
        <v>3874</v>
      </c>
      <c r="B60" s="1078"/>
      <c r="C60" s="1078"/>
      <c r="D60" s="1078"/>
      <c r="E60" s="1078"/>
      <c r="F60" s="1078"/>
      <c r="G60" s="1564"/>
      <c r="H60" s="1659">
        <f>+CEILING(H58*0.292,1)</f>
        <v>34087.0</v>
      </c>
      <c r="I60" s="1551"/>
      <c r="J60" s="1551"/>
      <c r="K60" s="1551"/>
      <c r="L60" s="1551"/>
      <c r="M60" s="1552"/>
      <c r="N60" s="1567" t="s">
        <v>200</v>
      </c>
      <c r="O60" s="1078"/>
      <c r="P60" s="1078"/>
      <c r="Q60" s="1078"/>
      <c r="R60" s="1078"/>
      <c r="S60" s="1078"/>
      <c r="T60" s="1078"/>
      <c r="U60" s="1078"/>
      <c r="V60" s="1078"/>
      <c r="W60" s="1078"/>
      <c r="X60" s="719"/>
      <c r="Y60" s="428"/>
      <c r="Z60" s="1646"/>
      <c r="AA60" s="1551"/>
      <c r="AB60" s="1551"/>
      <c r="AC60" s="1551"/>
      <c r="AD60" s="1551"/>
      <c r="AE60" s="1552"/>
      <c r="AF60" s="429" t="s">
        <v>200</v>
      </c>
    </row>
    <row r="61" spans="1:32" ht="7.5" customHeight="1">
      <c r="A61" s="1566"/>
      <c r="B61" s="1078"/>
      <c r="C61" s="1078"/>
      <c r="D61" s="1078"/>
      <c r="E61" s="1078"/>
      <c r="F61" s="1078"/>
      <c r="G61" s="1078"/>
      <c r="H61" s="1078"/>
      <c r="I61" s="1078"/>
      <c r="J61" s="1078"/>
      <c r="K61" s="1078"/>
      <c r="L61" s="1078"/>
      <c r="M61" s="1078"/>
      <c r="N61" s="1078"/>
      <c r="O61" s="1078"/>
      <c r="P61" s="1078"/>
      <c r="Q61" s="1078"/>
      <c r="R61" s="1078"/>
      <c r="S61" s="1078"/>
      <c r="T61" s="1078"/>
      <c r="U61" s="1078"/>
      <c r="V61" s="1078"/>
      <c r="W61" s="1078"/>
      <c r="X61" s="719"/>
      <c r="Y61" s="1644"/>
      <c r="Z61" s="1604"/>
      <c r="AA61" s="1604"/>
      <c r="AB61" s="1604"/>
      <c r="AC61" s="1604"/>
      <c r="AD61" s="1604"/>
      <c r="AE61" s="1604"/>
      <c r="AF61" s="1645"/>
    </row>
    <row r="62" spans="1:32" ht="18.95" customHeight="1">
      <c r="A62" s="1560" t="s">
        <v>3875</v>
      </c>
      <c r="B62" s="1573"/>
      <c r="C62" s="1573"/>
      <c r="D62" s="1573"/>
      <c r="E62" s="1573"/>
      <c r="F62" s="1573"/>
      <c r="G62" s="1672"/>
      <c r="H62" s="1550">
        <v>0.0</v>
      </c>
      <c r="I62" s="1673"/>
      <c r="J62" s="1673"/>
      <c r="K62" s="1673"/>
      <c r="L62" s="1673"/>
      <c r="M62" s="1674"/>
      <c r="N62" s="1655" t="s">
        <v>200</v>
      </c>
      <c r="O62" s="1675"/>
      <c r="P62" s="1675"/>
      <c r="Q62" s="1675"/>
      <c r="R62" s="1675"/>
      <c r="S62" s="1675"/>
      <c r="T62" s="1675"/>
      <c r="U62" s="1675"/>
      <c r="V62" s="1675"/>
      <c r="W62" s="1675"/>
      <c r="X62" s="1676"/>
      <c r="Y62" s="428"/>
      <c r="Z62" s="1646"/>
      <c r="AA62" s="1677"/>
      <c r="AB62" s="1677"/>
      <c r="AC62" s="1677"/>
      <c r="AD62" s="1677"/>
      <c r="AE62" s="1678"/>
      <c r="AF62" s="429" t="s">
        <v>200</v>
      </c>
    </row>
    <row r="63" spans="1:32" ht="7.5" customHeight="1">
      <c r="A63" s="1566"/>
      <c r="B63" s="1078"/>
      <c r="C63" s="1078"/>
      <c r="D63" s="1078"/>
      <c r="E63" s="1078"/>
      <c r="F63" s="1078"/>
      <c r="G63" s="1078"/>
      <c r="H63" s="1078"/>
      <c r="I63" s="1078"/>
      <c r="J63" s="1078"/>
      <c r="K63" s="1078"/>
      <c r="L63" s="1078"/>
      <c r="M63" s="1078"/>
      <c r="N63" s="1078"/>
      <c r="O63" s="1078"/>
      <c r="P63" s="1078"/>
      <c r="Q63" s="1078"/>
      <c r="R63" s="1078"/>
      <c r="S63" s="1078"/>
      <c r="T63" s="1078"/>
      <c r="U63" s="1078"/>
      <c r="V63" s="1078"/>
      <c r="W63" s="1078"/>
      <c r="X63" s="719"/>
      <c r="Y63" s="1644"/>
      <c r="Z63" s="1604"/>
      <c r="AA63" s="1604"/>
      <c r="AB63" s="1604"/>
      <c r="AC63" s="1604"/>
      <c r="AD63" s="1604"/>
      <c r="AE63" s="1604"/>
      <c r="AF63" s="1645"/>
    </row>
    <row r="64" spans="1:32" ht="18.95" customHeight="1">
      <c r="A64" s="1687" t="s">
        <v>3876</v>
      </c>
      <c r="B64" s="1043"/>
      <c r="C64" s="1043"/>
      <c r="D64" s="703"/>
      <c r="E64" s="703"/>
      <c r="F64" s="703"/>
      <c r="G64" s="703"/>
      <c r="H64" s="1658">
        <f>+H60-H62</f>
        <v>34087.0</v>
      </c>
      <c r="I64" s="1679"/>
      <c r="J64" s="1679"/>
      <c r="K64" s="1679"/>
      <c r="L64" s="1679"/>
      <c r="M64" s="901"/>
      <c r="N64" s="1567" t="s">
        <v>200</v>
      </c>
      <c r="O64" s="1078"/>
      <c r="P64" s="1078"/>
      <c r="Q64" s="1078"/>
      <c r="R64" s="1078"/>
      <c r="S64" s="1078"/>
      <c r="T64" s="1078"/>
      <c r="U64" s="1078"/>
      <c r="V64" s="1078"/>
      <c r="W64" s="1078"/>
      <c r="X64" s="719"/>
      <c r="Y64" s="428"/>
      <c r="Z64" s="1646"/>
      <c r="AA64" s="1551"/>
      <c r="AB64" s="1551"/>
      <c r="AC64" s="1551"/>
      <c r="AD64" s="1551"/>
      <c r="AE64" s="1552"/>
      <c r="AF64" s="429" t="s">
        <v>200</v>
      </c>
    </row>
    <row r="65" spans="1:32" ht="7.5" customHeight="1">
      <c r="A65" s="1688"/>
      <c r="B65" s="1043"/>
      <c r="C65" s="1043"/>
      <c r="D65" s="703"/>
      <c r="E65" s="703"/>
      <c r="F65" s="703"/>
      <c r="G65" s="703"/>
      <c r="H65" s="1604"/>
      <c r="I65" s="1604"/>
      <c r="J65" s="1604"/>
      <c r="K65" s="1604"/>
      <c r="L65" s="1604"/>
      <c r="M65" s="1604"/>
      <c r="N65" s="1604"/>
      <c r="O65" s="1604"/>
      <c r="P65" s="1604"/>
      <c r="Q65" s="1604"/>
      <c r="R65" s="1604"/>
      <c r="S65" s="1604"/>
      <c r="T65" s="1604"/>
      <c r="U65" s="1604"/>
      <c r="V65" s="1604"/>
      <c r="W65" s="1604"/>
      <c r="X65" s="1686"/>
      <c r="Y65" s="1644"/>
      <c r="Z65" s="1604"/>
      <c r="AA65" s="1604"/>
      <c r="AB65" s="1604"/>
      <c r="AC65" s="1604"/>
      <c r="AD65" s="1604"/>
      <c r="AE65" s="1604"/>
      <c r="AF65" s="1645"/>
    </row>
    <row r="66" spans="1:32" ht="21.95" customHeight="1">
      <c r="A66" s="1691" t="s">
        <v>3946</v>
      </c>
      <c r="B66" s="1507"/>
      <c r="C66" s="1507"/>
      <c r="D66" s="1507"/>
      <c r="E66" s="1507"/>
      <c r="F66" s="1507"/>
      <c r="G66" s="1507"/>
      <c r="H66" s="1507"/>
      <c r="I66" s="1507"/>
      <c r="J66" s="1507"/>
      <c r="K66" s="1507"/>
      <c r="L66" s="1507"/>
      <c r="M66" s="1507"/>
      <c r="N66" s="1507"/>
      <c r="O66" s="1507"/>
      <c r="P66" s="1507"/>
      <c r="Q66" s="1507"/>
      <c r="R66" s="1507"/>
      <c r="S66" s="1507"/>
      <c r="T66" s="1507"/>
      <c r="U66" s="1507"/>
      <c r="V66" s="1507"/>
      <c r="W66" s="1507"/>
      <c r="X66" s="1507"/>
      <c r="Y66" s="1507"/>
      <c r="Z66" s="1507"/>
      <c r="AA66" s="1507"/>
      <c r="AB66" s="1507"/>
      <c r="AC66" s="1507"/>
      <c r="AD66" s="1679"/>
      <c r="AE66" s="1507"/>
      <c r="AF66" s="901"/>
    </row>
    <row r="67" spans="1:32" ht="21.95" customHeight="1">
      <c r="A67" s="1692" t="s">
        <v>3947</v>
      </c>
      <c r="B67" s="1693"/>
      <c r="C67" s="1693"/>
      <c r="D67" s="1693"/>
      <c r="E67" s="1693"/>
      <c r="F67" s="1693"/>
      <c r="G67" s="1693"/>
      <c r="H67" s="1693"/>
      <c r="I67" s="1693"/>
      <c r="J67" s="1693"/>
      <c r="K67" s="1693"/>
      <c r="L67" s="1693"/>
      <c r="M67" s="1693"/>
      <c r="N67" s="1693"/>
      <c r="O67" s="1693"/>
      <c r="P67" s="1693"/>
      <c r="Q67" s="1693"/>
      <c r="R67" s="1693"/>
      <c r="S67" s="1693"/>
      <c r="T67" s="1693"/>
      <c r="U67" s="1693"/>
      <c r="V67" s="1693"/>
      <c r="W67" s="1693"/>
      <c r="X67" s="1693"/>
      <c r="Y67" s="1694"/>
      <c r="Z67" s="1694"/>
      <c r="AA67" s="1694"/>
      <c r="AB67" s="1694"/>
      <c r="AC67" s="572" t="s">
        <v>233</v>
      </c>
      <c r="AD67" s="573"/>
      <c r="AE67" s="574" t="s">
        <v>139</v>
      </c>
      <c r="AF67" s="573" t="s">
        <v>255</v>
      </c>
    </row>
    <row r="68" spans="1:32" ht="42.75" customHeight="1">
      <c r="A68" s="1685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  <c r="S68" s="681"/>
      <c r="T68" s="681"/>
      <c r="U68" s="681"/>
      <c r="V68" s="681"/>
      <c r="W68" s="681"/>
      <c r="X68" s="681"/>
      <c r="Y68" s="1078"/>
      <c r="Z68" s="1078"/>
      <c r="AA68" s="1078"/>
      <c r="AB68" s="1078"/>
      <c r="AC68" s="1078"/>
      <c r="AD68" s="1689" t="s">
        <v>168</v>
      </c>
      <c r="AE68" s="1689"/>
      <c r="AF68" s="1690"/>
    </row>
    <row r="69" spans="1:32" ht="12.75">
      <c r="A69" s="1680" t="str">
        <f>+'DAP1'!A46</f>
        <v>Formulář zpracovala ASPEKT HM, daňová, účetní a auditorská kancelář, www.danovapriznani.cz, business.center.cz</v>
      </c>
      <c r="B69" s="1681"/>
      <c r="C69" s="1681"/>
      <c r="D69" s="1681"/>
      <c r="E69" s="1681"/>
      <c r="F69" s="1681"/>
      <c r="G69" s="1681"/>
      <c r="H69" s="1681"/>
      <c r="I69" s="1681"/>
      <c r="J69" s="1681"/>
      <c r="K69" s="1681"/>
      <c r="L69" s="1681"/>
      <c r="M69" s="1681"/>
      <c r="N69" s="1681"/>
      <c r="O69" s="1681"/>
      <c r="P69" s="1681"/>
      <c r="Q69" s="1681"/>
      <c r="R69" s="1681"/>
      <c r="S69" s="1681"/>
      <c r="T69" s="1681"/>
      <c r="U69" s="1681"/>
      <c r="V69" s="1681"/>
      <c r="W69" s="1681"/>
      <c r="X69" s="1681"/>
      <c r="Y69" s="571"/>
      <c r="Z69" s="571"/>
      <c r="AA69" s="571"/>
      <c r="AB69" s="1682" t="s">
        <v>3949</v>
      </c>
      <c r="AC69" s="1683"/>
      <c r="AD69" s="1683"/>
      <c r="AE69" s="1683"/>
      <c r="AF69" s="1684"/>
    </row>
    <row r="70" spans="1:32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1:32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32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2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2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2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2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2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2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2.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2.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2.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2.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2.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2.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2.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2.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2.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2.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2.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2.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2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2.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2.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2.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2.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2.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2.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2.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2.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2.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2.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2.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2.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2.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2.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2.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2.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2.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2.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2.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2.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2.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="21" customFormat="1" ht="12.75"/>
    <row r="161" s="21" customFormat="1" ht="12.75"/>
  </sheetData>
  <sheetProtection algorithmName="SHA-512" hashValue="yU2QWbOs6Kq2dV7Y0LNEIWGcDM25JGN8GIyzpzOHthFhg6OphvT3Ih51bX713jIwktbeshdkc6nKiZknBrBXeA==" saltValue="+Lfr23ZJA/aE3/gz4R+XjQ==" spinCount="100000" sheet="1" objects="1" scenarios="1"/>
  <mergeCells count="208">
    <mergeCell ref="Y14:AF14"/>
    <mergeCell ref="P13:W13"/>
    <mergeCell ref="P14:W14"/>
    <mergeCell ref="D13:N13"/>
    <mergeCell ref="D14:N14"/>
    <mergeCell ref="A13:B13"/>
    <mergeCell ref="A14:B14"/>
    <mergeCell ref="P11:T11"/>
    <mergeCell ref="D12:N12"/>
    <mergeCell ref="Y63:AF63"/>
    <mergeCell ref="H64:M64"/>
    <mergeCell ref="N64:X64"/>
    <mergeCell ref="Z64:AE64"/>
    <mergeCell ref="Y65:AF65"/>
    <mergeCell ref="A69:X69"/>
    <mergeCell ref="A63:X63"/>
    <mergeCell ref="AB69:AF69"/>
    <mergeCell ref="A68:AC68"/>
    <mergeCell ref="H65:X65"/>
    <mergeCell ref="A64:C65"/>
    <mergeCell ref="D64:G65"/>
    <mergeCell ref="AD68:AF68"/>
    <mergeCell ref="A66:AF66"/>
    <mergeCell ref="A67:X67"/>
    <mergeCell ref="Y67:AB67"/>
    <mergeCell ref="A60:G60"/>
    <mergeCell ref="H60:M60"/>
    <mergeCell ref="N60:X60"/>
    <mergeCell ref="Z60:AE60"/>
    <mergeCell ref="Y61:AF61"/>
    <mergeCell ref="A62:G62"/>
    <mergeCell ref="H62:M62"/>
    <mergeCell ref="N62:X62"/>
    <mergeCell ref="Z62:AE62"/>
    <mergeCell ref="A61:X61"/>
    <mergeCell ref="Y57:AF57"/>
    <mergeCell ref="A58:G58"/>
    <mergeCell ref="H58:M58"/>
    <mergeCell ref="N58:X58"/>
    <mergeCell ref="Z58:AE58"/>
    <mergeCell ref="Y59:AF59"/>
    <mergeCell ref="A57:X57"/>
    <mergeCell ref="A59:X59"/>
    <mergeCell ref="A50:G50"/>
    <mergeCell ref="A52:G52"/>
    <mergeCell ref="A54:G54"/>
    <mergeCell ref="A56:G56"/>
    <mergeCell ref="N56:X56"/>
    <mergeCell ref="H56:M56"/>
    <mergeCell ref="Z56:AE56"/>
    <mergeCell ref="Z54:AE54"/>
    <mergeCell ref="Y55:AF55"/>
    <mergeCell ref="P50:U54"/>
    <mergeCell ref="V50:X54"/>
    <mergeCell ref="H53:O53"/>
    <mergeCell ref="H51:O51"/>
    <mergeCell ref="A55:X55"/>
    <mergeCell ref="H54:M54"/>
    <mergeCell ref="N54:O54"/>
    <mergeCell ref="A51:G51"/>
    <mergeCell ref="A53:G53"/>
    <mergeCell ref="H50:M50"/>
    <mergeCell ref="H52:M52"/>
    <mergeCell ref="N50:O50"/>
    <mergeCell ref="N52:O52"/>
    <mergeCell ref="Y49:AF49"/>
    <mergeCell ref="Z50:AE50"/>
    <mergeCell ref="Y51:AF52"/>
    <mergeCell ref="Y53:AF53"/>
    <mergeCell ref="H47:M47"/>
    <mergeCell ref="H44:M44"/>
    <mergeCell ref="A46:G46"/>
    <mergeCell ref="A49:X49"/>
    <mergeCell ref="Y45:AF45"/>
    <mergeCell ref="Z46:AE46"/>
    <mergeCell ref="P44:U44"/>
    <mergeCell ref="P46:U46"/>
    <mergeCell ref="Y47:AF47"/>
    <mergeCell ref="Z48:AE48"/>
    <mergeCell ref="V47:X47"/>
    <mergeCell ref="V48:X48"/>
    <mergeCell ref="A48:G48"/>
    <mergeCell ref="N48:O48"/>
    <mergeCell ref="H48:M48"/>
    <mergeCell ref="V43:X43"/>
    <mergeCell ref="V44:X44"/>
    <mergeCell ref="V45:X45"/>
    <mergeCell ref="V46:X46"/>
    <mergeCell ref="A45:G45"/>
    <mergeCell ref="H43:M43"/>
    <mergeCell ref="W39:X39"/>
    <mergeCell ref="P43:U43"/>
    <mergeCell ref="N46:O46"/>
    <mergeCell ref="Q40:T40"/>
    <mergeCell ref="V40:X40"/>
    <mergeCell ref="Y43:AF43"/>
    <mergeCell ref="Z44:AE44"/>
    <mergeCell ref="D11:N11"/>
    <mergeCell ref="A41:N41"/>
    <mergeCell ref="O41:Q41"/>
    <mergeCell ref="R41:S41"/>
    <mergeCell ref="T41:V41"/>
    <mergeCell ref="W41:X41"/>
    <mergeCell ref="Y41:AA41"/>
    <mergeCell ref="AB41:AC41"/>
    <mergeCell ref="AD41:AF41"/>
    <mergeCell ref="Y36:AF36"/>
    <mergeCell ref="N36:X36"/>
    <mergeCell ref="AD21:AF21"/>
    <mergeCell ref="P18:T18"/>
    <mergeCell ref="O37:Q37"/>
    <mergeCell ref="A40:O40"/>
    <mergeCell ref="Z42:AE42"/>
    <mergeCell ref="N42:X42"/>
    <mergeCell ref="H30:K30"/>
    <mergeCell ref="A26:AF26"/>
    <mergeCell ref="AB37:AC37"/>
    <mergeCell ref="AD37:AF37"/>
    <mergeCell ref="AA38:AD38"/>
    <mergeCell ref="B1:Z1"/>
    <mergeCell ref="B2:Z2"/>
    <mergeCell ref="A3:C3"/>
    <mergeCell ref="S3:W3"/>
    <mergeCell ref="E3:I3"/>
    <mergeCell ref="A4:J4"/>
    <mergeCell ref="A7:AF7"/>
    <mergeCell ref="A8:AF8"/>
    <mergeCell ref="A17:AF17"/>
    <mergeCell ref="R4:AF4"/>
    <mergeCell ref="A16:AF16"/>
    <mergeCell ref="AA1:AE3"/>
    <mergeCell ref="H9:J9"/>
    <mergeCell ref="L4:P4"/>
    <mergeCell ref="A15:AF15"/>
    <mergeCell ref="Y9:AF9"/>
    <mergeCell ref="Y10:AF10"/>
    <mergeCell ref="Q9:W9"/>
    <mergeCell ref="Q10:W10"/>
    <mergeCell ref="H10:O10"/>
    <mergeCell ref="V11:AF11"/>
    <mergeCell ref="P12:T12"/>
    <mergeCell ref="A5:F5"/>
    <mergeCell ref="A6:F6"/>
    <mergeCell ref="AA40:AD40"/>
    <mergeCell ref="AD39:AF39"/>
    <mergeCell ref="AB39:AC39"/>
    <mergeCell ref="Y39:AA39"/>
    <mergeCell ref="A27:AF27"/>
    <mergeCell ref="H32:K32"/>
    <mergeCell ref="O39:Q39"/>
    <mergeCell ref="W37:X37"/>
    <mergeCell ref="R39:S39"/>
    <mergeCell ref="T39:V39"/>
    <mergeCell ref="Y37:AA37"/>
    <mergeCell ref="A35:X35"/>
    <mergeCell ref="Y35:AF35"/>
    <mergeCell ref="T37:V37"/>
    <mergeCell ref="Q38:T38"/>
    <mergeCell ref="R37:S37"/>
    <mergeCell ref="V38:X38"/>
    <mergeCell ref="U6:AF6"/>
    <mergeCell ref="G5:T6"/>
    <mergeCell ref="U5:AF5"/>
    <mergeCell ref="A31:AF31"/>
    <mergeCell ref="A33:AF33"/>
    <mergeCell ref="A10:F10"/>
    <mergeCell ref="A9:F9"/>
    <mergeCell ref="A30:F30"/>
    <mergeCell ref="A32:F32"/>
    <mergeCell ref="L28:AD28"/>
    <mergeCell ref="L30:AD30"/>
    <mergeCell ref="L32:AD32"/>
    <mergeCell ref="AB18:AF18"/>
    <mergeCell ref="A29:AF29"/>
    <mergeCell ref="H28:K28"/>
    <mergeCell ref="A19:F19"/>
    <mergeCell ref="AD19:AF19"/>
    <mergeCell ref="A28:F28"/>
    <mergeCell ref="A20:E20"/>
    <mergeCell ref="A22:E22"/>
    <mergeCell ref="A12:B12"/>
    <mergeCell ref="A11:B11"/>
    <mergeCell ref="V12:AF12"/>
    <mergeCell ref="Y13:AF13"/>
    <mergeCell ref="V18:Z18"/>
    <mergeCell ref="A23:F23"/>
    <mergeCell ref="AD23:AF23"/>
    <mergeCell ref="A24:E25"/>
    <mergeCell ref="G25:AF25"/>
    <mergeCell ref="A18:N18"/>
    <mergeCell ref="P48:U48"/>
    <mergeCell ref="A37:N37"/>
    <mergeCell ref="A47:G47"/>
    <mergeCell ref="A36:G36"/>
    <mergeCell ref="H36:M36"/>
    <mergeCell ref="P47:U47"/>
    <mergeCell ref="H45:M45"/>
    <mergeCell ref="A34:AF34"/>
    <mergeCell ref="A42:G42"/>
    <mergeCell ref="H42:M42"/>
    <mergeCell ref="A44:G44"/>
    <mergeCell ref="A43:G43"/>
    <mergeCell ref="P45:U45"/>
    <mergeCell ref="H46:M46"/>
    <mergeCell ref="A39:N39"/>
    <mergeCell ref="N44:O44"/>
    <mergeCell ref="A38:O38"/>
    <mergeCell ref="A21:F21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2" r:id="rId4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99"/>
    <pageSetUpPr fitToPage="1"/>
  </sheetPr>
  <dimension ref="A1:CI77"/>
  <sheetViews>
    <sheetView workbookViewId="0" topLeftCell="A1">
      <selection pane="topLeft" activeCell="AH9" sqref="AH9:AN9"/>
    </sheetView>
  </sheetViews>
  <sheetFormatPr defaultColWidth="9.144285714285713" defaultRowHeight="12.75"/>
  <cols>
    <col min="1" max="2" width="2.4285714285714284" style="123" customWidth="1"/>
    <col min="3" max="3" width="16.714285714285715" style="123" customWidth="1"/>
    <col min="4" max="4" width="3.142857142857143" style="123" customWidth="1"/>
    <col min="5" max="5" width="2.4285714285714284" style="123" customWidth="1"/>
    <col min="6" max="6" width="1.7142857142857142" style="123" customWidth="1"/>
    <col min="7" max="40" width="2.4285714285714284" style="123" customWidth="1"/>
    <col min="41" max="41" width="3" style="123" customWidth="1"/>
    <col min="42" max="81" width="9.142857142857142" style="21"/>
    <col min="82" max="16384" width="9.142857142857142" style="123"/>
  </cols>
  <sheetData>
    <row r="1" spans="1:41 82:83" ht="18" customHeight="1">
      <c r="A1" s="1787"/>
      <c r="B1" s="1625"/>
      <c r="C1" s="1625"/>
      <c r="D1" s="1777" t="s">
        <v>3953</v>
      </c>
      <c r="E1" s="1777"/>
      <c r="F1" s="1777"/>
      <c r="G1" s="1777"/>
      <c r="H1" s="1777"/>
      <c r="I1" s="1777"/>
      <c r="J1" s="1777"/>
      <c r="K1" s="1777"/>
      <c r="L1" s="1625"/>
      <c r="M1" s="1625"/>
      <c r="N1" s="1625"/>
      <c r="O1" s="1625"/>
      <c r="P1" s="1625"/>
      <c r="Q1" s="1625"/>
      <c r="R1" s="1625"/>
      <c r="S1" s="1625"/>
      <c r="T1" s="1625"/>
      <c r="U1" s="1625"/>
      <c r="V1" s="1625"/>
      <c r="W1" s="1625"/>
      <c r="X1" s="1625"/>
      <c r="Y1" s="1625"/>
      <c r="Z1" s="1625"/>
      <c r="AA1" s="1625"/>
      <c r="AB1" s="1625"/>
      <c r="AC1" s="1625"/>
      <c r="AD1" s="1625"/>
      <c r="AE1" s="1625"/>
      <c r="AF1" s="1625"/>
      <c r="AG1" s="1625"/>
      <c r="AH1" s="1625"/>
      <c r="AI1" s="1625"/>
      <c r="AJ1" s="287"/>
      <c r="AK1" s="287"/>
      <c r="AL1" s="287"/>
      <c r="AM1" s="287"/>
      <c r="AN1" s="287"/>
      <c r="AO1" s="287"/>
      <c r="CD1" s="21"/>
      <c r="CE1" s="21"/>
    </row>
    <row r="2" spans="1:41 82:83" ht="12.75">
      <c r="A2" s="1784"/>
      <c r="B2" s="1784"/>
      <c r="C2" s="1784"/>
      <c r="D2" s="1801"/>
      <c r="E2" s="676"/>
      <c r="F2" s="676"/>
      <c r="G2" s="676"/>
      <c r="H2" s="676"/>
      <c r="I2" s="676"/>
      <c r="J2" s="676"/>
      <c r="K2" s="676"/>
      <c r="L2" s="676"/>
      <c r="M2" s="676"/>
      <c r="N2" s="1778" t="s">
        <v>156</v>
      </c>
      <c r="O2" s="1779"/>
      <c r="P2" s="1779"/>
      <c r="Q2" s="1779"/>
      <c r="R2" s="1779"/>
      <c r="S2" s="1779"/>
      <c r="T2" s="1779"/>
      <c r="U2" s="1779"/>
      <c r="V2" s="1779"/>
      <c r="W2" s="1785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19"/>
      <c r="AJ2" s="287"/>
      <c r="AK2" s="287"/>
      <c r="AL2" s="287"/>
      <c r="AM2" s="287"/>
      <c r="AN2" s="287"/>
      <c r="AO2" s="287"/>
      <c r="CD2" s="21"/>
      <c r="CE2" s="21"/>
    </row>
    <row r="3" spans="1:41 82:83" ht="12.75">
      <c r="A3" s="1784"/>
      <c r="B3" s="1784"/>
      <c r="C3" s="1784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1780" t="str">
        <f>+'SP1'!Y10</f>
        <v/>
      </c>
      <c r="O3" s="1781"/>
      <c r="P3" s="1781"/>
      <c r="Q3" s="1781"/>
      <c r="R3" s="1781"/>
      <c r="S3" s="1781"/>
      <c r="T3" s="1781"/>
      <c r="U3" s="1781"/>
      <c r="V3" s="1315"/>
      <c r="W3" s="1621"/>
      <c r="X3" s="1786"/>
      <c r="Y3" s="1786"/>
      <c r="Z3" s="1786"/>
      <c r="AA3" s="1786"/>
      <c r="AB3" s="1786"/>
      <c r="AC3" s="1786"/>
      <c r="AD3" s="1786"/>
      <c r="AE3" s="1786"/>
      <c r="AF3" s="1786"/>
      <c r="AG3" s="1786"/>
      <c r="AH3" s="1786"/>
      <c r="AI3" s="1786"/>
      <c r="AJ3" s="1786"/>
      <c r="AK3" s="1786"/>
      <c r="AL3" s="1786"/>
      <c r="AM3" s="1786"/>
      <c r="AN3" s="1786"/>
      <c r="AO3" s="1786"/>
      <c r="CD3" s="21"/>
      <c r="CE3" s="21"/>
    </row>
    <row r="4" spans="1:41" ht="5.1" customHeight="1">
      <c r="A4" s="1612"/>
      <c r="B4" s="1612"/>
      <c r="C4" s="1612"/>
      <c r="D4" s="1612"/>
      <c r="E4" s="1612"/>
      <c r="F4" s="1612"/>
      <c r="G4" s="1612"/>
      <c r="H4" s="1612"/>
      <c r="I4" s="1612"/>
      <c r="J4" s="1612"/>
      <c r="K4" s="1612"/>
      <c r="L4" s="1612"/>
      <c r="M4" s="1612"/>
      <c r="N4" s="1612"/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2"/>
      <c r="Z4" s="1612"/>
      <c r="AA4" s="1612"/>
      <c r="AB4" s="1784"/>
      <c r="AC4" s="1784"/>
      <c r="AD4" s="1784"/>
      <c r="AE4" s="1784"/>
      <c r="AF4" s="1784"/>
      <c r="AG4" s="1784"/>
      <c r="AH4" s="1784"/>
      <c r="AI4" s="1784"/>
      <c r="AJ4" s="1784"/>
      <c r="AK4" s="1784"/>
      <c r="AL4" s="1784"/>
      <c r="AM4" s="1784"/>
      <c r="AN4" s="1784"/>
      <c r="AO4" s="1784"/>
    </row>
    <row r="5" spans="1:41" ht="12" customHeight="1">
      <c r="A5" s="1557" t="s">
        <v>3950</v>
      </c>
      <c r="B5" s="1558"/>
      <c r="C5" s="1558"/>
      <c r="D5" s="1558"/>
      <c r="E5" s="1558"/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9"/>
    </row>
    <row r="6" spans="1:41" ht="4.5" customHeight="1">
      <c r="A6" s="1566"/>
      <c r="B6" s="1078"/>
      <c r="C6" s="1078"/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078"/>
      <c r="V6" s="1078"/>
      <c r="W6" s="1078"/>
      <c r="X6" s="1078"/>
      <c r="Y6" s="1078"/>
      <c r="Z6" s="1078"/>
      <c r="AA6" s="1078"/>
      <c r="AB6" s="1078"/>
      <c r="AC6" s="1078"/>
      <c r="AD6" s="1078"/>
      <c r="AE6" s="1078"/>
      <c r="AF6" s="1078"/>
      <c r="AG6" s="1078"/>
      <c r="AH6" s="1078"/>
      <c r="AI6" s="1078"/>
      <c r="AJ6" s="1078"/>
      <c r="AK6" s="1078"/>
      <c r="AL6" s="1078"/>
      <c r="AM6" s="1078"/>
      <c r="AN6" s="1078"/>
      <c r="AO6" s="719"/>
    </row>
    <row r="7" spans="1:41" ht="18.75" customHeight="1">
      <c r="A7" s="1732" t="s">
        <v>3955</v>
      </c>
      <c r="B7" s="703"/>
      <c r="C7" s="703"/>
      <c r="D7" s="703"/>
      <c r="E7" s="703"/>
      <c r="F7" s="703"/>
      <c r="G7" s="1078"/>
      <c r="H7" s="1078"/>
      <c r="I7" s="1078"/>
      <c r="J7" s="1078"/>
      <c r="K7" s="1564"/>
      <c r="L7" s="269" t="s">
        <v>255</v>
      </c>
      <c r="M7" s="1733" t="s">
        <v>3956</v>
      </c>
      <c r="N7" s="1078"/>
      <c r="O7" s="1078"/>
      <c r="P7" s="1564"/>
      <c r="Q7" s="269"/>
      <c r="R7" s="1733" t="s">
        <v>3957</v>
      </c>
      <c r="S7" s="1078"/>
      <c r="T7" s="1078"/>
      <c r="U7" s="1734" t="s">
        <v>3958</v>
      </c>
      <c r="V7" s="1734"/>
      <c r="W7" s="1734"/>
      <c r="X7" s="1734"/>
      <c r="Y7" s="1734"/>
      <c r="Z7" s="1734"/>
      <c r="AA7" s="1734"/>
      <c r="AB7" s="1734"/>
      <c r="AC7" s="1734"/>
      <c r="AD7" s="1734"/>
      <c r="AE7" s="1734"/>
      <c r="AF7" s="1734"/>
      <c r="AG7" s="1734"/>
      <c r="AH7" s="1734"/>
      <c r="AI7" s="1734"/>
      <c r="AJ7" s="1734"/>
      <c r="AK7" s="1734"/>
      <c r="AL7" s="1734"/>
      <c r="AM7" s="1735"/>
      <c r="AN7" s="269"/>
      <c r="AO7" s="627"/>
    </row>
    <row r="8" spans="1:41" ht="5.1" customHeight="1" thickBot="1">
      <c r="A8" s="1566"/>
      <c r="B8" s="1078"/>
      <c r="C8" s="1078"/>
      <c r="D8" s="1078"/>
      <c r="E8" s="1078"/>
      <c r="F8" s="1078"/>
      <c r="G8" s="1078"/>
      <c r="H8" s="1078"/>
      <c r="I8" s="1078"/>
      <c r="J8" s="1078"/>
      <c r="K8" s="1078"/>
      <c r="L8" s="1078"/>
      <c r="M8" s="1078"/>
      <c r="N8" s="1078"/>
      <c r="O8" s="1078"/>
      <c r="P8" s="1078"/>
      <c r="Q8" s="1078"/>
      <c r="R8" s="1078"/>
      <c r="S8" s="1078"/>
      <c r="T8" s="1078"/>
      <c r="U8" s="1078"/>
      <c r="V8" s="1078"/>
      <c r="W8" s="1078"/>
      <c r="X8" s="1078"/>
      <c r="Y8" s="1078"/>
      <c r="Z8" s="1078"/>
      <c r="AA8" s="1078"/>
      <c r="AB8" s="1078"/>
      <c r="AC8" s="1078"/>
      <c r="AD8" s="1078"/>
      <c r="AE8" s="1078"/>
      <c r="AF8" s="1078"/>
      <c r="AG8" s="1078"/>
      <c r="AH8" s="1078"/>
      <c r="AI8" s="1078"/>
      <c r="AJ8" s="1078"/>
      <c r="AK8" s="1078"/>
      <c r="AL8" s="1078"/>
      <c r="AM8" s="1078"/>
      <c r="AN8" s="1078"/>
      <c r="AO8" s="719"/>
    </row>
    <row r="9" spans="1:41" ht="18.95" customHeight="1" thickBot="1">
      <c r="A9" s="1573" t="s">
        <v>3910</v>
      </c>
      <c r="B9" s="1078"/>
      <c r="C9" s="1078"/>
      <c r="D9" s="1736">
        <f>IF(('SP1'!P38+'SP1'!U38)=0,0,CEILING(IF(OR(EXACT(L7,"X"),EXACT(L7,"x")),MIN(161297,MAX(10082,'SP1'!H36*0.5/('SP1'!P38+'SP1'!U38))),MIN(161297,MAX(4034,'SP1'!H36*0.5/('SP1'!P38+'SP1'!U38)))),1))</f>
        <v>10082.0</v>
      </c>
      <c r="E9" s="1737"/>
      <c r="F9" s="1737"/>
      <c r="G9" s="1737"/>
      <c r="H9" s="1737"/>
      <c r="I9" s="1737"/>
      <c r="J9" s="1738"/>
      <c r="K9" s="1739" t="s">
        <v>3912</v>
      </c>
      <c r="L9" s="755"/>
      <c r="M9" s="755"/>
      <c r="N9" s="755"/>
      <c r="O9" s="755"/>
      <c r="P9" s="755"/>
      <c r="Q9" s="755"/>
      <c r="R9" s="755"/>
      <c r="S9" s="1736">
        <f>+CEILING(D9*0.292,1)</f>
        <v>2944.0</v>
      </c>
      <c r="T9" s="1737"/>
      <c r="U9" s="1737"/>
      <c r="V9" s="1737"/>
      <c r="W9" s="1737"/>
      <c r="X9" s="1737"/>
      <c r="Y9" s="1738"/>
      <c r="Z9" s="1739" t="s">
        <v>3911</v>
      </c>
      <c r="AA9" s="755"/>
      <c r="AB9" s="755"/>
      <c r="AC9" s="755"/>
      <c r="AD9" s="755"/>
      <c r="AE9" s="755"/>
      <c r="AF9" s="755"/>
      <c r="AG9" s="755"/>
      <c r="AH9" s="1736">
        <f>+CEILING(MAX(168,+'SP1'!H52/('SP1'!P40+'SP1'!U40)*0.021),1)</f>
        <v>205.0</v>
      </c>
      <c r="AI9" s="1737"/>
      <c r="AJ9" s="1737"/>
      <c r="AK9" s="1737"/>
      <c r="AL9" s="1737"/>
      <c r="AM9" s="1737"/>
      <c r="AN9" s="1738"/>
      <c r="AO9" s="626"/>
    </row>
    <row r="10" spans="1:41" ht="4.5" customHeight="1">
      <c r="A10" s="1566"/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  <c r="AF10" s="1078"/>
      <c r="AG10" s="1078"/>
      <c r="AH10" s="1078"/>
      <c r="AI10" s="1078"/>
      <c r="AJ10" s="1078"/>
      <c r="AK10" s="1078"/>
      <c r="AL10" s="1078"/>
      <c r="AM10" s="1078"/>
      <c r="AN10" s="1078"/>
      <c r="AO10" s="719"/>
    </row>
    <row r="11" spans="1:41" ht="12.75">
      <c r="A11" s="1557" t="s">
        <v>3748</v>
      </c>
      <c r="B11" s="1615"/>
      <c r="C11" s="1615"/>
      <c r="D11" s="1615"/>
      <c r="E11" s="1615"/>
      <c r="F11" s="1615"/>
      <c r="G11" s="1615"/>
      <c r="H11" s="1615"/>
      <c r="I11" s="1615"/>
      <c r="J11" s="1615"/>
      <c r="K11" s="1615"/>
      <c r="L11" s="1615"/>
      <c r="M11" s="1615"/>
      <c r="N11" s="1615"/>
      <c r="O11" s="1615"/>
      <c r="P11" s="1615"/>
      <c r="Q11" s="1615"/>
      <c r="R11" s="1615"/>
      <c r="S11" s="1615"/>
      <c r="T11" s="1615"/>
      <c r="U11" s="1615"/>
      <c r="V11" s="1615"/>
      <c r="W11" s="1615"/>
      <c r="X11" s="1615"/>
      <c r="Y11" s="1615"/>
      <c r="Z11" s="1615"/>
      <c r="AA11" s="1615"/>
      <c r="AB11" s="1615"/>
      <c r="AC11" s="1615"/>
      <c r="AD11" s="1615"/>
      <c r="AE11" s="1615"/>
      <c r="AF11" s="1615"/>
      <c r="AG11" s="1615"/>
      <c r="AH11" s="1615"/>
      <c r="AI11" s="1615"/>
      <c r="AJ11" s="1615"/>
      <c r="AK11" s="1615"/>
      <c r="AL11" s="1615"/>
      <c r="AM11" s="1615"/>
      <c r="AN11" s="1615"/>
      <c r="AO11" s="1559"/>
    </row>
    <row r="12" spans="1:41" ht="5.1" customHeight="1">
      <c r="A12" s="1729"/>
      <c r="B12" s="1730"/>
      <c r="C12" s="1730"/>
      <c r="D12" s="1730"/>
      <c r="E12" s="1730"/>
      <c r="F12" s="1730"/>
      <c r="G12" s="1730"/>
      <c r="H12" s="1730"/>
      <c r="I12" s="1730"/>
      <c r="J12" s="1730"/>
      <c r="K12" s="1730"/>
      <c r="L12" s="1730"/>
      <c r="M12" s="1730"/>
      <c r="N12" s="1730"/>
      <c r="O12" s="1730"/>
      <c r="P12" s="1730"/>
      <c r="Q12" s="1730"/>
      <c r="R12" s="1730"/>
      <c r="S12" s="1730"/>
      <c r="T12" s="1730"/>
      <c r="U12" s="1730"/>
      <c r="V12" s="1730"/>
      <c r="W12" s="1730"/>
      <c r="X12" s="1730"/>
      <c r="Y12" s="1730"/>
      <c r="Z12" s="1730"/>
      <c r="AA12" s="1730"/>
      <c r="AB12" s="1730"/>
      <c r="AC12" s="1730"/>
      <c r="AD12" s="1730"/>
      <c r="AE12" s="1730"/>
      <c r="AF12" s="1730"/>
      <c r="AG12" s="1730"/>
      <c r="AH12" s="1730"/>
      <c r="AI12" s="1730"/>
      <c r="AJ12" s="1730"/>
      <c r="AK12" s="1730"/>
      <c r="AL12" s="1730"/>
      <c r="AM12" s="1730"/>
      <c r="AN12" s="1730"/>
      <c r="AO12" s="1731"/>
    </row>
    <row r="13" spans="1:41" ht="18.95" customHeight="1">
      <c r="A13" s="1740" t="s">
        <v>324</v>
      </c>
      <c r="B13" s="1078"/>
      <c r="C13" s="1078"/>
      <c r="D13" s="1078"/>
      <c r="E13" s="1078"/>
      <c r="F13" s="1078"/>
      <c r="G13" s="1741">
        <f>+IF('SP1'!H64&lt;0,-'SP1'!H64,0)</f>
        <v>0.0</v>
      </c>
      <c r="H13" s="1742"/>
      <c r="I13" s="1742"/>
      <c r="J13" s="1742"/>
      <c r="K13" s="1742"/>
      <c r="L13" s="1742"/>
      <c r="M13" s="1742"/>
      <c r="N13" s="1742"/>
      <c r="O13" s="1743"/>
      <c r="P13" s="1740" t="s">
        <v>200</v>
      </c>
      <c r="Q13" s="1078"/>
      <c r="R13" s="1609" t="s">
        <v>3980</v>
      </c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1744"/>
      <c r="AN13" s="646"/>
      <c r="AO13" s="647"/>
    </row>
    <row r="14" spans="1:41" ht="5.1" customHeight="1">
      <c r="A14" s="1566"/>
      <c r="B14" s="1600"/>
      <c r="C14" s="1600"/>
      <c r="D14" s="1600"/>
      <c r="E14" s="1600"/>
      <c r="F14" s="1600"/>
      <c r="G14" s="1600"/>
      <c r="H14" s="1600"/>
      <c r="I14" s="1600"/>
      <c r="J14" s="1600"/>
      <c r="K14" s="1600"/>
      <c r="L14" s="1600"/>
      <c r="M14" s="1600"/>
      <c r="N14" s="1600"/>
      <c r="O14" s="1600"/>
      <c r="P14" s="1600"/>
      <c r="Q14" s="1600"/>
      <c r="R14" s="1600"/>
      <c r="S14" s="1600"/>
      <c r="T14" s="1600"/>
      <c r="U14" s="1600"/>
      <c r="V14" s="1600"/>
      <c r="W14" s="1600"/>
      <c r="X14" s="1600"/>
      <c r="Y14" s="1600"/>
      <c r="Z14" s="1600"/>
      <c r="AA14" s="1600"/>
      <c r="AB14" s="1600"/>
      <c r="AC14" s="1600"/>
      <c r="AD14" s="1600"/>
      <c r="AE14" s="1600"/>
      <c r="AF14" s="1600"/>
      <c r="AG14" s="1600"/>
      <c r="AH14" s="1600"/>
      <c r="AI14" s="1600"/>
      <c r="AJ14" s="1600"/>
      <c r="AK14" s="1600"/>
      <c r="AL14" s="1600"/>
      <c r="AM14" s="1600"/>
      <c r="AN14" s="1600"/>
      <c r="AO14" s="1761"/>
    </row>
    <row r="15" spans="1:41" ht="12.75">
      <c r="A15" s="1724" t="s">
        <v>3754</v>
      </c>
      <c r="B15" s="1531"/>
      <c r="C15" s="1531"/>
      <c r="D15" s="1531"/>
      <c r="E15" s="1531"/>
      <c r="F15" s="1531"/>
      <c r="G15" s="1531"/>
      <c r="H15" s="1531"/>
      <c r="I15" s="1531"/>
      <c r="J15" s="1531"/>
      <c r="K15" s="1531"/>
      <c r="L15" s="1531"/>
      <c r="M15" s="1531"/>
      <c r="N15" s="1531"/>
      <c r="O15" s="1531"/>
      <c r="P15" s="1531"/>
      <c r="Q15" s="1531"/>
      <c r="R15" s="1531"/>
      <c r="S15" s="1531"/>
      <c r="T15" s="1531"/>
      <c r="U15" s="1531"/>
      <c r="V15" s="1531"/>
      <c r="W15" s="1531"/>
      <c r="X15" s="1531"/>
      <c r="Y15" s="1531"/>
      <c r="Z15" s="1531"/>
      <c r="AA15" s="1531"/>
      <c r="AB15" s="1531"/>
      <c r="AC15" s="1531"/>
      <c r="AD15" s="1531"/>
      <c r="AE15" s="1531"/>
      <c r="AF15" s="1531"/>
      <c r="AG15" s="1531"/>
      <c r="AH15" s="1531"/>
      <c r="AI15" s="1531"/>
      <c r="AJ15" s="1531"/>
      <c r="AK15" s="1531"/>
      <c r="AL15" s="1531"/>
      <c r="AM15" s="1531"/>
      <c r="AN15" s="1531"/>
      <c r="AO15" s="1725"/>
    </row>
    <row r="16" spans="1:41" ht="15" customHeight="1">
      <c r="A16" s="293" t="s">
        <v>231</v>
      </c>
      <c r="B16" s="269"/>
      <c r="C16" s="288" t="s">
        <v>3519</v>
      </c>
      <c r="D16" s="1758"/>
      <c r="E16" s="1758"/>
      <c r="F16" s="1758"/>
      <c r="G16" s="1758"/>
      <c r="H16" s="1758"/>
      <c r="I16" s="1758"/>
      <c r="J16" s="1758"/>
      <c r="K16" s="1758"/>
      <c r="L16" s="1758"/>
      <c r="M16" s="1758"/>
      <c r="N16" s="1758"/>
      <c r="O16" s="1758"/>
      <c r="P16" s="1758"/>
      <c r="Q16" s="1758"/>
      <c r="R16" s="1758"/>
      <c r="S16" s="1758"/>
      <c r="T16" s="1758"/>
      <c r="U16" s="1758"/>
      <c r="V16" s="1758"/>
      <c r="W16" s="1758"/>
      <c r="X16" s="1758"/>
      <c r="Y16" s="1758"/>
      <c r="Z16" s="1758"/>
      <c r="AA16" s="1758"/>
      <c r="AB16" s="1078"/>
      <c r="AC16" s="1078"/>
      <c r="AD16" s="1078"/>
      <c r="AE16" s="1078"/>
      <c r="AF16" s="1078"/>
      <c r="AG16" s="1078"/>
      <c r="AH16" s="1078"/>
      <c r="AI16" s="1078"/>
      <c r="AJ16" s="1078"/>
      <c r="AK16" s="1078"/>
      <c r="AL16" s="1078"/>
      <c r="AM16" s="1078"/>
      <c r="AN16" s="1078"/>
      <c r="AO16" s="1564"/>
    </row>
    <row r="17" spans="1:81" s="124" customFormat="1" ht="9.95" customHeight="1">
      <c r="A17" s="1560" t="s">
        <v>3749</v>
      </c>
      <c r="B17" s="1078"/>
      <c r="C17" s="1078"/>
      <c r="D17" s="1078"/>
      <c r="E17" s="1078"/>
      <c r="F17" s="1078"/>
      <c r="G17" s="1078"/>
      <c r="H17" s="1720" t="s">
        <v>264</v>
      </c>
      <c r="I17" s="1078"/>
      <c r="J17" s="1078"/>
      <c r="K17" s="1078"/>
      <c r="L17" s="1078"/>
      <c r="M17" s="1720" t="s">
        <v>265</v>
      </c>
      <c r="N17" s="1720"/>
      <c r="O17" s="1720"/>
      <c r="P17" s="1720"/>
      <c r="Q17" s="1720"/>
      <c r="R17" s="1720"/>
      <c r="S17" s="1720"/>
      <c r="T17" s="1720"/>
      <c r="U17" s="1720"/>
      <c r="V17" s="296"/>
      <c r="W17" s="1720" t="s">
        <v>227</v>
      </c>
      <c r="X17" s="1720"/>
      <c r="Y17" s="1720"/>
      <c r="Z17" s="1720"/>
      <c r="AA17" s="296"/>
      <c r="AB17" s="296"/>
      <c r="AC17" s="1720" t="s">
        <v>300</v>
      </c>
      <c r="AD17" s="1750"/>
      <c r="AE17" s="1750"/>
      <c r="AF17" s="1750"/>
      <c r="AG17" s="1750"/>
      <c r="AH17" s="1750"/>
      <c r="AI17" s="296"/>
      <c r="AJ17" s="1720" t="s">
        <v>267</v>
      </c>
      <c r="AK17" s="1720"/>
      <c r="AL17" s="1720"/>
      <c r="AM17" s="1720"/>
      <c r="AN17" s="1750"/>
      <c r="AO17" s="1792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</row>
    <row r="18" spans="1:41" ht="15" customHeight="1">
      <c r="A18" s="1757"/>
      <c r="B18" s="1633"/>
      <c r="C18" s="1633"/>
      <c r="D18" s="1633"/>
      <c r="E18" s="1633"/>
      <c r="F18" s="1634"/>
      <c r="G18" s="494"/>
      <c r="H18" s="1754" t="str">
        <f>+IF(ISERR(MID(ZAKL_DATA!B32,1,+FIND("-",ZAKL_DATA!B32)-1))," ",MID(ZAKL_DATA!B32,1,+FIND("-",ZAKL_DATA!B32)-1))</f>
        <v xml:space="preserve"> </v>
      </c>
      <c r="I18" s="1755"/>
      <c r="J18" s="1755"/>
      <c r="K18" s="1756"/>
      <c r="L18" s="267" t="s">
        <v>165</v>
      </c>
      <c r="M18" s="1708">
        <f>IF(ISERR(+MID(ZAKL_DATA!B32,+FIND("-",ZAKL_DATA!B32)+1,20)),ZAKL_DATA!B32,+MID(ZAKL_DATA!B32,+FIND("-",ZAKL_DATA!B32)+1,20))</f>
        <v>0.0</v>
      </c>
      <c r="N18" s="1802"/>
      <c r="O18" s="1802"/>
      <c r="P18" s="1802"/>
      <c r="Q18" s="1802"/>
      <c r="R18" s="1802"/>
      <c r="S18" s="1802"/>
      <c r="T18" s="1802"/>
      <c r="U18" s="1709"/>
      <c r="V18" s="295" t="s">
        <v>266</v>
      </c>
      <c r="W18" s="1726">
        <f>+ZAKL_DATA!B33</f>
        <v>0.0</v>
      </c>
      <c r="X18" s="1727"/>
      <c r="Y18" s="1727"/>
      <c r="Z18" s="1728"/>
      <c r="AA18" s="1628"/>
      <c r="AB18" s="1628"/>
      <c r="AC18" s="1796" t="str">
        <f>+N3</f>
        <v/>
      </c>
      <c r="AD18" s="1727"/>
      <c r="AE18" s="1727"/>
      <c r="AF18" s="1727"/>
      <c r="AG18" s="1727"/>
      <c r="AH18" s="1728"/>
      <c r="AI18" s="289"/>
      <c r="AJ18" s="1726"/>
      <c r="AK18" s="1793"/>
      <c r="AL18" s="1793"/>
      <c r="AM18" s="1793"/>
      <c r="AN18" s="1794"/>
      <c r="AO18" s="1795"/>
    </row>
    <row r="19" spans="1:41" ht="9.95" customHeight="1">
      <c r="A19" s="1627"/>
      <c r="B19" s="1628"/>
      <c r="C19" s="1628"/>
      <c r="D19" s="1628"/>
      <c r="E19" s="1628"/>
      <c r="F19" s="1628"/>
      <c r="G19" s="1628"/>
      <c r="H19" s="1628"/>
      <c r="I19" s="1628"/>
      <c r="J19" s="1628"/>
      <c r="K19" s="1628"/>
      <c r="L19" s="1628"/>
      <c r="M19" s="1628"/>
      <c r="N19" s="1628"/>
      <c r="O19" s="1628"/>
      <c r="P19" s="1628"/>
      <c r="Q19" s="1628"/>
      <c r="R19" s="1628"/>
      <c r="S19" s="1628"/>
      <c r="T19" s="1628"/>
      <c r="U19" s="1628"/>
      <c r="V19" s="1628"/>
      <c r="W19" s="1628"/>
      <c r="X19" s="1628"/>
      <c r="Y19" s="1628"/>
      <c r="Z19" s="1628"/>
      <c r="AA19" s="1628"/>
      <c r="AB19" s="1628"/>
      <c r="AC19" s="1628"/>
      <c r="AD19" s="1628"/>
      <c r="AE19" s="1628"/>
      <c r="AF19" s="1628"/>
      <c r="AG19" s="1628"/>
      <c r="AH19" s="1628"/>
      <c r="AI19" s="1628"/>
      <c r="AJ19" s="1628"/>
      <c r="AK19" s="1628"/>
      <c r="AL19" s="1628"/>
      <c r="AM19" s="1628"/>
      <c r="AN19" s="1628"/>
      <c r="AO19" s="1629"/>
    </row>
    <row r="20" spans="1:41" ht="15" customHeight="1">
      <c r="A20" s="293" t="s">
        <v>232</v>
      </c>
      <c r="B20" s="269"/>
      <c r="C20" s="1798" t="s">
        <v>3883</v>
      </c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  <c r="Y20" s="703"/>
      <c r="Z20" s="703"/>
      <c r="AA20" s="703"/>
      <c r="AB20" s="703"/>
      <c r="AC20" s="703"/>
      <c r="AD20" s="703"/>
      <c r="AE20" s="703"/>
      <c r="AF20" s="703"/>
      <c r="AG20" s="703"/>
      <c r="AH20" s="703"/>
      <c r="AI20" s="703"/>
      <c r="AJ20" s="703"/>
      <c r="AK20" s="703"/>
      <c r="AL20" s="703"/>
      <c r="AM20" s="703"/>
      <c r="AN20" s="703"/>
      <c r="AO20" s="1799"/>
    </row>
    <row r="21" spans="1:41" ht="12" customHeight="1">
      <c r="A21" s="1821" t="s">
        <v>268</v>
      </c>
      <c r="B21" s="1540"/>
      <c r="C21" s="1540"/>
      <c r="D21" s="1540"/>
      <c r="E21" s="1078"/>
      <c r="F21" s="1573" t="s">
        <v>42</v>
      </c>
      <c r="G21" s="1078"/>
      <c r="H21" s="1078"/>
      <c r="I21" s="1078"/>
      <c r="J21" s="1078"/>
      <c r="K21" s="1573" t="s">
        <v>269</v>
      </c>
      <c r="L21" s="1720"/>
      <c r="M21" s="1720"/>
      <c r="N21" s="1720"/>
      <c r="O21" s="1720"/>
      <c r="P21" s="1720"/>
      <c r="Q21" s="1720"/>
      <c r="R21" s="1720"/>
      <c r="S21" s="1720"/>
      <c r="T21" s="1078"/>
      <c r="U21" s="1078"/>
      <c r="V21" s="1078"/>
      <c r="W21" s="1078"/>
      <c r="X21" s="1078"/>
      <c r="Y21" s="1078"/>
      <c r="Z21" s="1078"/>
      <c r="AA21" s="1078"/>
      <c r="AB21" s="1078"/>
      <c r="AC21" s="1573" t="s">
        <v>43</v>
      </c>
      <c r="AD21" s="1078"/>
      <c r="AE21" s="1078"/>
      <c r="AF21" s="1078"/>
      <c r="AG21" s="1078"/>
      <c r="AH21" s="1815" t="s">
        <v>270</v>
      </c>
      <c r="AI21" s="1815"/>
      <c r="AJ21" s="1815"/>
      <c r="AK21" s="1815"/>
      <c r="AL21" s="1815"/>
      <c r="AM21" s="1815"/>
      <c r="AN21" s="1815"/>
      <c r="AO21" s="1816"/>
    </row>
    <row r="22" spans="1:41" ht="15" customHeight="1">
      <c r="A22" s="1818"/>
      <c r="B22" s="1819"/>
      <c r="C22" s="1819"/>
      <c r="D22" s="1820"/>
      <c r="E22" s="1078"/>
      <c r="F22" s="1776"/>
      <c r="G22" s="1755"/>
      <c r="H22" s="1755"/>
      <c r="I22" s="1756"/>
      <c r="J22" s="267"/>
      <c r="K22" s="1803"/>
      <c r="L22" s="1804"/>
      <c r="M22" s="1804"/>
      <c r="N22" s="1804"/>
      <c r="O22" s="1804"/>
      <c r="P22" s="1804"/>
      <c r="Q22" s="1804"/>
      <c r="R22" s="1804"/>
      <c r="S22" s="1804"/>
      <c r="T22" s="1633"/>
      <c r="U22" s="1633"/>
      <c r="V22" s="1633"/>
      <c r="W22" s="1633"/>
      <c r="X22" s="1633"/>
      <c r="Y22" s="1633"/>
      <c r="Z22" s="1633"/>
      <c r="AA22" s="1634"/>
      <c r="AB22" s="1078"/>
      <c r="AC22" s="1754"/>
      <c r="AD22" s="1755"/>
      <c r="AE22" s="1755"/>
      <c r="AF22" s="1756"/>
      <c r="AG22" s="267"/>
      <c r="AH22" s="1817"/>
      <c r="AI22" s="1551"/>
      <c r="AJ22" s="1551"/>
      <c r="AK22" s="1551"/>
      <c r="AL22" s="1551"/>
      <c r="AM22" s="1551"/>
      <c r="AN22" s="1551"/>
      <c r="AO22" s="1552"/>
    </row>
    <row r="23" spans="1:41" ht="7.5" customHeight="1">
      <c r="A23" s="1765"/>
      <c r="B23" s="1653"/>
      <c r="C23" s="1653"/>
      <c r="D23" s="1653"/>
      <c r="E23" s="1653"/>
      <c r="F23" s="1653"/>
      <c r="G23" s="1653"/>
      <c r="H23" s="1653"/>
      <c r="I23" s="1653"/>
      <c r="J23" s="1653"/>
      <c r="K23" s="1653"/>
      <c r="L23" s="1653"/>
      <c r="M23" s="1653"/>
      <c r="N23" s="1653"/>
      <c r="O23" s="1653"/>
      <c r="P23" s="1653"/>
      <c r="Q23" s="1653"/>
      <c r="R23" s="1653"/>
      <c r="S23" s="1653"/>
      <c r="T23" s="1653"/>
      <c r="U23" s="1653"/>
      <c r="V23" s="1653"/>
      <c r="W23" s="1653"/>
      <c r="X23" s="1653"/>
      <c r="Y23" s="1653"/>
      <c r="Z23" s="1653"/>
      <c r="AA23" s="1653"/>
      <c r="AB23" s="1653"/>
      <c r="AC23" s="1653"/>
      <c r="AD23" s="1653"/>
      <c r="AE23" s="1653"/>
      <c r="AF23" s="1653"/>
      <c r="AG23" s="1653"/>
      <c r="AH23" s="1653"/>
      <c r="AI23" s="1653"/>
      <c r="AJ23" s="1653"/>
      <c r="AK23" s="1653"/>
      <c r="AL23" s="1653"/>
      <c r="AM23" s="1653"/>
      <c r="AN23" s="1653"/>
      <c r="AO23" s="1766"/>
    </row>
    <row r="24" spans="1:41" ht="15" customHeight="1">
      <c r="A24" s="1782" t="s">
        <v>3964</v>
      </c>
      <c r="B24" s="1783"/>
      <c r="C24" s="1783"/>
      <c r="D24" s="1783"/>
      <c r="E24" s="1783"/>
      <c r="F24" s="1783"/>
      <c r="G24" s="1783"/>
      <c r="H24" s="1783"/>
      <c r="I24" s="1783"/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83"/>
      <c r="AE24" s="1783"/>
      <c r="AF24" s="1783"/>
      <c r="AG24" s="1545"/>
      <c r="AH24" s="1545"/>
      <c r="AI24" s="1545"/>
      <c r="AJ24" s="1545"/>
      <c r="AK24" s="1545"/>
      <c r="AL24" s="1545"/>
      <c r="AM24" s="1545"/>
      <c r="AN24" s="1545"/>
      <c r="AO24" s="1546"/>
    </row>
    <row r="25" spans="1:41 82:87" ht="8.1" customHeight="1">
      <c r="A25" s="1805"/>
      <c r="B25" s="1806"/>
      <c r="C25" s="1806"/>
      <c r="D25" s="1806"/>
      <c r="E25" s="1806"/>
      <c r="F25" s="1806"/>
      <c r="G25" s="1806"/>
      <c r="H25" s="1806"/>
      <c r="I25" s="1806"/>
      <c r="J25" s="1806"/>
      <c r="K25" s="1806"/>
      <c r="L25" s="1806"/>
      <c r="M25" s="1806"/>
      <c r="N25" s="1806"/>
      <c r="O25" s="1806"/>
      <c r="P25" s="1806"/>
      <c r="Q25" s="1806"/>
      <c r="R25" s="1806"/>
      <c r="S25" s="1806"/>
      <c r="T25" s="1806"/>
      <c r="U25" s="1806"/>
      <c r="V25" s="1806"/>
      <c r="W25" s="1806"/>
      <c r="X25" s="1806"/>
      <c r="Y25" s="1806"/>
      <c r="Z25" s="1806"/>
      <c r="AA25" s="1806"/>
      <c r="AB25" s="1806"/>
      <c r="AC25" s="1806"/>
      <c r="AD25" s="1806"/>
      <c r="AE25" s="1806"/>
      <c r="AF25" s="1806"/>
      <c r="AG25" s="1806"/>
      <c r="AH25" s="1806"/>
      <c r="AI25" s="1806"/>
      <c r="AJ25" s="1806"/>
      <c r="AK25" s="1806"/>
      <c r="AL25" s="1806"/>
      <c r="AM25" s="1806"/>
      <c r="AN25" s="1806"/>
      <c r="AO25" s="1807"/>
      <c r="CD25" s="21"/>
      <c r="CE25" s="21"/>
      <c r="CF25" s="21"/>
      <c r="CG25" s="21"/>
      <c r="CH25" s="21"/>
      <c r="CI25" s="21"/>
    </row>
    <row r="26" spans="1:41 82:87" ht="21.95" customHeight="1">
      <c r="A26" s="1723" t="s">
        <v>3959</v>
      </c>
      <c r="B26" s="1193"/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705" t="s">
        <v>231</v>
      </c>
      <c r="R26" s="1706"/>
      <c r="S26" s="269"/>
      <c r="T26" s="1705" t="s">
        <v>232</v>
      </c>
      <c r="U26" s="1706"/>
      <c r="V26" s="269"/>
      <c r="W26" s="1705" t="s">
        <v>217</v>
      </c>
      <c r="X26" s="1706"/>
      <c r="Y26" s="269"/>
      <c r="Z26" s="1705" t="s">
        <v>218</v>
      </c>
      <c r="AA26" s="1706"/>
      <c r="AB26" s="269"/>
      <c r="AC26" s="1705" t="s">
        <v>219</v>
      </c>
      <c r="AD26" s="1706"/>
      <c r="AE26" s="269"/>
      <c r="AF26" s="1705" t="s">
        <v>220</v>
      </c>
      <c r="AG26" s="1706"/>
      <c r="AH26" s="269"/>
      <c r="AI26" s="1705" t="s">
        <v>3960</v>
      </c>
      <c r="AJ26" s="1706"/>
      <c r="AK26" s="269"/>
      <c r="AL26" s="1705" t="s">
        <v>3961</v>
      </c>
      <c r="AM26" s="1706"/>
      <c r="AN26" s="269"/>
      <c r="AO26" s="575"/>
      <c r="CD26" s="21"/>
      <c r="CE26" s="21"/>
      <c r="CF26" s="21"/>
      <c r="CG26" s="21"/>
      <c r="CH26" s="21"/>
      <c r="CI26" s="21"/>
    </row>
    <row r="27" spans="1:41 82:87" ht="8.1" customHeight="1">
      <c r="A27" s="1808"/>
      <c r="B27" s="1600"/>
      <c r="C27" s="1600"/>
      <c r="D27" s="1600"/>
      <c r="E27" s="1600"/>
      <c r="F27" s="1600"/>
      <c r="G27" s="1600"/>
      <c r="H27" s="1600"/>
      <c r="I27" s="1600"/>
      <c r="J27" s="1600"/>
      <c r="K27" s="1600"/>
      <c r="L27" s="1600"/>
      <c r="M27" s="1600"/>
      <c r="N27" s="1600"/>
      <c r="O27" s="1600"/>
      <c r="P27" s="1600"/>
      <c r="Q27" s="1600"/>
      <c r="R27" s="1600"/>
      <c r="S27" s="1600"/>
      <c r="T27" s="1600"/>
      <c r="U27" s="1600"/>
      <c r="V27" s="1600"/>
      <c r="W27" s="1600"/>
      <c r="X27" s="1600"/>
      <c r="Y27" s="1600"/>
      <c r="Z27" s="1600"/>
      <c r="AA27" s="1600"/>
      <c r="AB27" s="1600"/>
      <c r="AC27" s="1600"/>
      <c r="AD27" s="1600"/>
      <c r="AE27" s="1600"/>
      <c r="AF27" s="1600"/>
      <c r="AG27" s="1600"/>
      <c r="AH27" s="1600"/>
      <c r="AI27" s="1600"/>
      <c r="AJ27" s="1600"/>
      <c r="AK27" s="1600"/>
      <c r="AL27" s="1600"/>
      <c r="AM27" s="1600"/>
      <c r="AN27" s="1600"/>
      <c r="AO27" s="1797"/>
      <c r="CD27" s="21"/>
      <c r="CE27" s="21"/>
      <c r="CF27" s="21"/>
      <c r="CG27" s="21"/>
      <c r="CH27" s="21"/>
      <c r="CI27" s="21"/>
    </row>
    <row r="28" spans="1:41 82:87" ht="21.95" customHeight="1">
      <c r="A28" s="1560" t="s">
        <v>3878</v>
      </c>
      <c r="B28" s="1078"/>
      <c r="C28" s="1078"/>
      <c r="D28" s="1078"/>
      <c r="E28" s="1078"/>
      <c r="F28" s="1078"/>
      <c r="G28" s="1078"/>
      <c r="H28" s="1078"/>
      <c r="I28" s="1705" t="s">
        <v>233</v>
      </c>
      <c r="J28" s="1706"/>
      <c r="K28" s="269" t="s">
        <v>255</v>
      </c>
      <c r="L28" s="1705" t="s">
        <v>139</v>
      </c>
      <c r="M28" s="1706"/>
      <c r="N28" s="269"/>
      <c r="O28" s="419"/>
      <c r="P28" s="1573" t="s">
        <v>3951</v>
      </c>
      <c r="Q28" s="1078"/>
      <c r="R28" s="1078"/>
      <c r="S28" s="1078"/>
      <c r="T28" s="1078"/>
      <c r="U28" s="1078"/>
      <c r="V28" s="1078"/>
      <c r="W28" s="1078"/>
      <c r="X28" s="1078"/>
      <c r="Y28" s="1078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1705" t="s">
        <v>233</v>
      </c>
      <c r="AJ28" s="1706"/>
      <c r="AK28" s="269"/>
      <c r="AL28" s="1705" t="s">
        <v>139</v>
      </c>
      <c r="AM28" s="1706"/>
      <c r="AN28" s="269" t="s">
        <v>255</v>
      </c>
      <c r="AO28" s="575"/>
      <c r="CD28" s="21"/>
      <c r="CE28" s="21"/>
      <c r="CF28" s="21"/>
      <c r="CG28" s="21"/>
      <c r="CH28" s="21"/>
      <c r="CI28" s="21"/>
    </row>
    <row r="29" spans="1:41 82:87" ht="8.1" customHeight="1">
      <c r="A29" s="1548"/>
      <c r="B29" s="1600"/>
      <c r="C29" s="1600"/>
      <c r="D29" s="1600"/>
      <c r="E29" s="1600"/>
      <c r="F29" s="1600"/>
      <c r="G29" s="1600"/>
      <c r="H29" s="1600"/>
      <c r="I29" s="1600"/>
      <c r="J29" s="1600"/>
      <c r="K29" s="1600"/>
      <c r="L29" s="1600"/>
      <c r="M29" s="1600"/>
      <c r="N29" s="1600"/>
      <c r="O29" s="1600"/>
      <c r="P29" s="1600"/>
      <c r="Q29" s="1600"/>
      <c r="R29" s="1600"/>
      <c r="S29" s="1600"/>
      <c r="T29" s="1600"/>
      <c r="U29" s="1600"/>
      <c r="V29" s="1600"/>
      <c r="W29" s="1600"/>
      <c r="X29" s="1600"/>
      <c r="Y29" s="1600"/>
      <c r="Z29" s="1600"/>
      <c r="AA29" s="1600"/>
      <c r="AB29" s="1600"/>
      <c r="AC29" s="1600"/>
      <c r="AD29" s="1600"/>
      <c r="AE29" s="1600"/>
      <c r="AF29" s="1600"/>
      <c r="AG29" s="1600"/>
      <c r="AH29" s="1600"/>
      <c r="AI29" s="1600"/>
      <c r="AJ29" s="1600"/>
      <c r="AK29" s="1600"/>
      <c r="AL29" s="1600"/>
      <c r="AM29" s="1600"/>
      <c r="AN29" s="1600"/>
      <c r="AO29" s="1797"/>
      <c r="CD29" s="21"/>
      <c r="CE29" s="21"/>
      <c r="CF29" s="21"/>
      <c r="CG29" s="21"/>
      <c r="CH29" s="21"/>
      <c r="CI29" s="21"/>
    </row>
    <row r="30" spans="1:41 82:87" ht="21.95" customHeight="1">
      <c r="A30" s="1798" t="s">
        <v>3952</v>
      </c>
      <c r="B30" s="703"/>
      <c r="C30" s="703"/>
      <c r="D30" s="703"/>
      <c r="E30" s="703"/>
      <c r="F30" s="703"/>
      <c r="G30" s="703"/>
      <c r="H30" s="703"/>
      <c r="I30" s="1705" t="s">
        <v>233</v>
      </c>
      <c r="J30" s="1706"/>
      <c r="K30" s="269"/>
      <c r="L30" s="1705" t="s">
        <v>139</v>
      </c>
      <c r="M30" s="1706"/>
      <c r="N30" s="269" t="s">
        <v>255</v>
      </c>
      <c r="O30" s="419"/>
      <c r="P30" s="1586" t="s">
        <v>3879</v>
      </c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1811"/>
      <c r="AH30" s="1812"/>
      <c r="AI30" s="1813"/>
      <c r="AJ30" s="1813"/>
      <c r="AK30" s="1813"/>
      <c r="AL30" s="1813"/>
      <c r="AM30" s="1813"/>
      <c r="AN30" s="1814"/>
      <c r="AO30" s="575"/>
      <c r="CD30" s="21"/>
      <c r="CE30" s="21"/>
      <c r="CF30" s="21"/>
      <c r="CG30" s="21"/>
      <c r="CH30" s="21"/>
      <c r="CI30" s="21"/>
    </row>
    <row r="31" spans="1:41 82:87" ht="8.1" customHeight="1">
      <c r="A31" s="1822"/>
      <c r="B31" s="1653"/>
      <c r="C31" s="1653"/>
      <c r="D31" s="1653"/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653"/>
      <c r="Q31" s="1653"/>
      <c r="R31" s="1653"/>
      <c r="S31" s="1653"/>
      <c r="T31" s="1653"/>
      <c r="U31" s="1653"/>
      <c r="V31" s="1653"/>
      <c r="W31" s="1653"/>
      <c r="X31" s="1653"/>
      <c r="Y31" s="1653"/>
      <c r="Z31" s="1653"/>
      <c r="AA31" s="1653"/>
      <c r="AB31" s="1653"/>
      <c r="AC31" s="1653"/>
      <c r="AD31" s="1653"/>
      <c r="AE31" s="1653"/>
      <c r="AF31" s="1653"/>
      <c r="AG31" s="1653"/>
      <c r="AH31" s="1653"/>
      <c r="AI31" s="1653"/>
      <c r="AJ31" s="1653"/>
      <c r="AK31" s="1653"/>
      <c r="AL31" s="1653"/>
      <c r="AM31" s="1653"/>
      <c r="AN31" s="1653"/>
      <c r="AO31" s="1823"/>
      <c r="CD31" s="21"/>
      <c r="CE31" s="21"/>
      <c r="CF31" s="21"/>
      <c r="CG31" s="21"/>
      <c r="CH31" s="21"/>
      <c r="CI31" s="21"/>
    </row>
    <row r="32" spans="1:41" ht="15" customHeight="1">
      <c r="A32" s="1557" t="s">
        <v>3787</v>
      </c>
      <c r="B32" s="1615"/>
      <c r="C32" s="1615"/>
      <c r="D32" s="1615"/>
      <c r="E32" s="1615"/>
      <c r="F32" s="1615"/>
      <c r="G32" s="1615"/>
      <c r="H32" s="1615"/>
      <c r="I32" s="1615"/>
      <c r="J32" s="1615"/>
      <c r="K32" s="1615"/>
      <c r="L32" s="1615"/>
      <c r="M32" s="1615"/>
      <c r="N32" s="1615"/>
      <c r="O32" s="1615"/>
      <c r="P32" s="1615"/>
      <c r="Q32" s="1615"/>
      <c r="R32" s="1615"/>
      <c r="S32" s="1615"/>
      <c r="T32" s="1615"/>
      <c r="U32" s="1615"/>
      <c r="V32" s="1615"/>
      <c r="W32" s="1615"/>
      <c r="X32" s="1615"/>
      <c r="Y32" s="1615"/>
      <c r="Z32" s="1615"/>
      <c r="AA32" s="1615"/>
      <c r="AB32" s="1615"/>
      <c r="AC32" s="1615"/>
      <c r="AD32" s="1615"/>
      <c r="AE32" s="1615"/>
      <c r="AF32" s="1615"/>
      <c r="AG32" s="1615"/>
      <c r="AH32" s="1615"/>
      <c r="AI32" s="1615"/>
      <c r="AJ32" s="1615"/>
      <c r="AK32" s="1615"/>
      <c r="AL32" s="1615"/>
      <c r="AM32" s="1615"/>
      <c r="AN32" s="1615"/>
      <c r="AO32" s="1559"/>
    </row>
    <row r="33" spans="1:41" ht="12" customHeight="1">
      <c r="A33" s="1824" t="s">
        <v>246</v>
      </c>
      <c r="B33" s="1825"/>
      <c r="C33" s="1825"/>
      <c r="D33" s="1825"/>
      <c r="E33" s="1825"/>
      <c r="F33" s="1825"/>
      <c r="G33" s="1825"/>
      <c r="H33" s="1825"/>
      <c r="I33" s="1825"/>
      <c r="J33" s="1825"/>
      <c r="K33" s="1825"/>
      <c r="L33" s="1826" t="s">
        <v>325</v>
      </c>
      <c r="M33" s="1827"/>
      <c r="N33" s="1827"/>
      <c r="O33" s="1827"/>
      <c r="P33" s="1827"/>
      <c r="Q33" s="1827"/>
      <c r="R33" s="1827"/>
      <c r="S33" s="1827"/>
      <c r="T33" s="1827"/>
      <c r="U33" s="1827"/>
      <c r="V33" s="1827"/>
      <c r="W33" s="1827"/>
      <c r="X33" s="1827"/>
      <c r="Y33" s="1827"/>
      <c r="Z33" s="1827"/>
      <c r="AA33" s="1827"/>
      <c r="AB33" s="1827"/>
      <c r="AC33" s="1827"/>
      <c r="AD33" s="1827"/>
      <c r="AE33" s="1827"/>
      <c r="AF33" s="1827"/>
      <c r="AG33" s="1827"/>
      <c r="AH33" s="1827"/>
      <c r="AI33" s="1827"/>
      <c r="AJ33" s="1827"/>
      <c r="AK33" s="1827"/>
      <c r="AL33" s="1827"/>
      <c r="AM33" s="1827"/>
      <c r="AN33" s="1827"/>
      <c r="AO33" s="1828"/>
    </row>
    <row r="34" spans="1:41" ht="15" customHeight="1">
      <c r="A34" s="1809"/>
      <c r="B34" s="1755"/>
      <c r="C34" s="1755"/>
      <c r="D34" s="1755"/>
      <c r="E34" s="1756"/>
      <c r="F34" s="513"/>
      <c r="G34" s="1078"/>
      <c r="H34" s="1078"/>
      <c r="I34" s="1078"/>
      <c r="J34" s="1078"/>
      <c r="K34" s="1078"/>
      <c r="L34" s="1810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  <c r="AD34" s="1633"/>
      <c r="AE34" s="1633"/>
      <c r="AF34" s="1633"/>
      <c r="AG34" s="1633"/>
      <c r="AH34" s="1633"/>
      <c r="AI34" s="1633"/>
      <c r="AJ34" s="1633"/>
      <c r="AK34" s="1633"/>
      <c r="AL34" s="1633"/>
      <c r="AM34" s="1633"/>
      <c r="AN34" s="1634"/>
      <c r="AO34" s="512"/>
    </row>
    <row r="35" spans="1:41" ht="5.1" customHeight="1">
      <c r="A35" s="1627"/>
      <c r="B35" s="1628"/>
      <c r="C35" s="1628"/>
      <c r="D35" s="1628"/>
      <c r="E35" s="1628"/>
      <c r="F35" s="1628"/>
      <c r="G35" s="1628"/>
      <c r="H35" s="1628"/>
      <c r="I35" s="1628"/>
      <c r="J35" s="1628"/>
      <c r="K35" s="1628"/>
      <c r="L35" s="1628"/>
      <c r="M35" s="1628"/>
      <c r="N35" s="1628"/>
      <c r="O35" s="1628"/>
      <c r="P35" s="1628"/>
      <c r="Q35" s="1628"/>
      <c r="R35" s="1628"/>
      <c r="S35" s="1628"/>
      <c r="T35" s="1628"/>
      <c r="U35" s="1628"/>
      <c r="V35" s="1628"/>
      <c r="W35" s="1628"/>
      <c r="X35" s="1628"/>
      <c r="Y35" s="1628"/>
      <c r="Z35" s="1628"/>
      <c r="AA35" s="1628"/>
      <c r="AB35" s="1628"/>
      <c r="AC35" s="1628"/>
      <c r="AD35" s="1628"/>
      <c r="AE35" s="1628"/>
      <c r="AF35" s="1628"/>
      <c r="AG35" s="1628"/>
      <c r="AH35" s="1628"/>
      <c r="AI35" s="1628"/>
      <c r="AJ35" s="1628"/>
      <c r="AK35" s="1628"/>
      <c r="AL35" s="1628"/>
      <c r="AM35" s="1628"/>
      <c r="AN35" s="1628"/>
      <c r="AO35" s="1629"/>
    </row>
    <row r="36" spans="1:41" ht="12.75">
      <c r="A36" s="1557" t="s">
        <v>3788</v>
      </c>
      <c r="B36" s="1615"/>
      <c r="C36" s="1615"/>
      <c r="D36" s="1615"/>
      <c r="E36" s="1615"/>
      <c r="F36" s="1615"/>
      <c r="G36" s="1615"/>
      <c r="H36" s="1615"/>
      <c r="I36" s="1615"/>
      <c r="J36" s="1615"/>
      <c r="K36" s="1615"/>
      <c r="L36" s="1615"/>
      <c r="M36" s="1615"/>
      <c r="N36" s="1615"/>
      <c r="O36" s="1615"/>
      <c r="P36" s="1615"/>
      <c r="Q36" s="1615"/>
      <c r="R36" s="1615"/>
      <c r="S36" s="1615"/>
      <c r="T36" s="1615"/>
      <c r="U36" s="1615"/>
      <c r="V36" s="1615"/>
      <c r="W36" s="1615"/>
      <c r="X36" s="1615"/>
      <c r="Y36" s="1615"/>
      <c r="Z36" s="1615"/>
      <c r="AA36" s="1615"/>
      <c r="AB36" s="1615"/>
      <c r="AC36" s="1615"/>
      <c r="AD36" s="1615"/>
      <c r="AE36" s="1615"/>
      <c r="AF36" s="1615"/>
      <c r="AG36" s="1615"/>
      <c r="AH36" s="1615"/>
      <c r="AI36" s="1800"/>
      <c r="AJ36" s="1800"/>
      <c r="AK36" s="1800"/>
      <c r="AL36" s="1800"/>
      <c r="AM36" s="1800"/>
      <c r="AN36" s="1800"/>
      <c r="AO36" s="901"/>
    </row>
    <row r="37" spans="1:41" ht="5.1" customHeight="1">
      <c r="A37" s="1566"/>
      <c r="B37" s="1600"/>
      <c r="C37" s="1600"/>
      <c r="D37" s="1600"/>
      <c r="E37" s="1600"/>
      <c r="F37" s="1600"/>
      <c r="G37" s="1600"/>
      <c r="H37" s="1600"/>
      <c r="I37" s="1600"/>
      <c r="J37" s="1600"/>
      <c r="K37" s="1600"/>
      <c r="L37" s="1600"/>
      <c r="M37" s="1600"/>
      <c r="N37" s="1600"/>
      <c r="O37" s="1600"/>
      <c r="P37" s="1600"/>
      <c r="Q37" s="1600"/>
      <c r="R37" s="1600"/>
      <c r="S37" s="1600"/>
      <c r="T37" s="1600"/>
      <c r="U37" s="1600"/>
      <c r="V37" s="1600"/>
      <c r="W37" s="1600"/>
      <c r="X37" s="1600"/>
      <c r="Y37" s="1600"/>
      <c r="Z37" s="1600"/>
      <c r="AA37" s="1600"/>
      <c r="AB37" s="1600"/>
      <c r="AC37" s="1600"/>
      <c r="AD37" s="1600"/>
      <c r="AE37" s="1600"/>
      <c r="AF37" s="1600"/>
      <c r="AG37" s="1600"/>
      <c r="AH37" s="1600"/>
      <c r="AI37" s="1790"/>
      <c r="AJ37" s="1790"/>
      <c r="AK37" s="1790"/>
      <c r="AL37" s="1790"/>
      <c r="AM37" s="1790"/>
      <c r="AN37" s="1790"/>
      <c r="AO37" s="1791"/>
    </row>
    <row r="38" spans="1:41" ht="9.95" customHeight="1">
      <c r="A38" s="1788" t="s">
        <v>96</v>
      </c>
      <c r="B38" s="1789"/>
      <c r="C38" s="1789"/>
      <c r="D38" s="1789"/>
      <c r="E38" s="1579"/>
      <c r="F38" s="1579"/>
      <c r="G38" s="1579"/>
      <c r="H38" s="1579"/>
      <c r="I38" s="1579"/>
      <c r="J38" s="1579"/>
      <c r="K38" s="1579"/>
      <c r="L38" s="1834"/>
      <c r="M38" s="1720" t="s">
        <v>95</v>
      </c>
      <c r="N38" s="1720"/>
      <c r="O38" s="1720"/>
      <c r="P38" s="1720"/>
      <c r="Q38" s="1720"/>
      <c r="R38" s="1720"/>
      <c r="S38" s="1750"/>
      <c r="T38" s="1750"/>
      <c r="U38" s="1750"/>
      <c r="V38" s="292"/>
      <c r="W38" s="1720" t="s">
        <v>114</v>
      </c>
      <c r="X38" s="1720"/>
      <c r="Y38" s="1720"/>
      <c r="Z38" s="1720"/>
      <c r="AA38" s="292"/>
      <c r="AB38" s="1720" t="s">
        <v>146</v>
      </c>
      <c r="AC38" s="1720"/>
      <c r="AD38" s="1720"/>
      <c r="AE38" s="1720"/>
      <c r="AF38" s="1750"/>
      <c r="AG38" s="1750"/>
      <c r="AH38" s="292"/>
      <c r="AI38" s="1751" t="s">
        <v>272</v>
      </c>
      <c r="AJ38" s="1752"/>
      <c r="AK38" s="1752"/>
      <c r="AL38" s="1752"/>
      <c r="AM38" s="1752"/>
      <c r="AN38" s="1752"/>
      <c r="AO38" s="1753"/>
    </row>
    <row r="39" spans="1:41" ht="18" customHeight="1">
      <c r="A39" s="1841" t="str">
        <f>+CONCATENATE('1Př2'!D44)</f>
        <v/>
      </c>
      <c r="B39" s="1842"/>
      <c r="C39" s="1842"/>
      <c r="D39" s="1842"/>
      <c r="E39" s="1842"/>
      <c r="F39" s="1842"/>
      <c r="G39" s="1842"/>
      <c r="H39" s="1842"/>
      <c r="I39" s="1842"/>
      <c r="J39" s="1842"/>
      <c r="K39" s="1843"/>
      <c r="L39" s="1653"/>
      <c r="M39" s="1835" t="str">
        <f>+CONCATENATE('1Př2'!B44)</f>
        <v/>
      </c>
      <c r="N39" s="1836"/>
      <c r="O39" s="1836"/>
      <c r="P39" s="1836"/>
      <c r="Q39" s="1836"/>
      <c r="R39" s="1836"/>
      <c r="S39" s="1836"/>
      <c r="T39" s="1836"/>
      <c r="U39" s="1837"/>
      <c r="V39" s="292"/>
      <c r="W39" s="1838"/>
      <c r="X39" s="1771"/>
      <c r="Y39" s="1771"/>
      <c r="Z39" s="1772"/>
      <c r="AA39" s="292"/>
      <c r="AB39" s="1770" t="str">
        <f>+MID('1Př2'!F44,1,10)</f>
        <v/>
      </c>
      <c r="AC39" s="1771"/>
      <c r="AD39" s="1771"/>
      <c r="AE39" s="1771"/>
      <c r="AF39" s="1839"/>
      <c r="AG39" s="1840"/>
      <c r="AH39" s="292"/>
      <c r="AI39" s="1838"/>
      <c r="AJ39" s="1771"/>
      <c r="AK39" s="1771"/>
      <c r="AL39" s="1771"/>
      <c r="AM39" s="1839"/>
      <c r="AN39" s="1839"/>
      <c r="AO39" s="1840"/>
    </row>
    <row r="40" spans="1:41" ht="9.95" customHeight="1">
      <c r="A40" s="1821" t="s">
        <v>268</v>
      </c>
      <c r="B40" s="1638"/>
      <c r="C40" s="1638"/>
      <c r="D40" s="1638"/>
      <c r="E40" s="1540"/>
      <c r="F40" s="1540"/>
      <c r="G40" s="1540"/>
      <c r="H40" s="1540"/>
      <c r="I40" s="1540"/>
      <c r="J40" s="1540"/>
      <c r="K40" s="1540"/>
      <c r="L40" s="419"/>
      <c r="M40" s="1573" t="s">
        <v>42</v>
      </c>
      <c r="N40" s="1573"/>
      <c r="O40" s="1573"/>
      <c r="P40" s="1573"/>
      <c r="Q40" s="576"/>
      <c r="R40" s="1573" t="s">
        <v>269</v>
      </c>
      <c r="S40" s="1573"/>
      <c r="T40" s="1573"/>
      <c r="U40" s="1573"/>
      <c r="V40" s="1573"/>
      <c r="W40" s="1573"/>
      <c r="X40" s="1585"/>
      <c r="Y40" s="1585"/>
      <c r="Z40" s="1585"/>
      <c r="AA40" s="419"/>
      <c r="AB40" s="1573" t="s">
        <v>43</v>
      </c>
      <c r="AC40" s="1585"/>
      <c r="AD40" s="1585"/>
      <c r="AE40" s="1585"/>
      <c r="AF40" s="1585"/>
      <c r="AG40" s="1573" t="s">
        <v>270</v>
      </c>
      <c r="AH40" s="1573"/>
      <c r="AI40" s="1573"/>
      <c r="AJ40" s="1573"/>
      <c r="AK40" s="1573"/>
      <c r="AL40" s="1573"/>
      <c r="AM40" s="1585"/>
      <c r="AN40" s="1585"/>
      <c r="AO40" s="1585"/>
    </row>
    <row r="41" spans="1:41" ht="18" customHeight="1">
      <c r="A41" s="1641" t="str">
        <f>+IF(EXACT(A39,"")," ",CONCATENATE(ZAKL_DATA!B16))</f>
        <v xml:space="preserve"> </v>
      </c>
      <c r="B41" s="1773"/>
      <c r="C41" s="1773"/>
      <c r="D41" s="1773"/>
      <c r="E41" s="1773"/>
      <c r="F41" s="1773"/>
      <c r="G41" s="1773"/>
      <c r="H41" s="1773"/>
      <c r="I41" s="1773"/>
      <c r="J41" s="1773"/>
      <c r="K41" s="1774"/>
      <c r="L41" s="419"/>
      <c r="M41" s="1641" t="str">
        <f>+IF(EXACT(A39,"")," ",CONCATENATE(ZAKL_DATA!B17))</f>
        <v xml:space="preserve"> </v>
      </c>
      <c r="N41" s="1775"/>
      <c r="O41" s="1775"/>
      <c r="P41" s="1643"/>
      <c r="Q41" s="576"/>
      <c r="R41" s="1844" t="str">
        <f>+IF(EXACT(A39,"")," ",CONCATENATE(ZAKL_DATA!B18))</f>
        <v xml:space="preserve"> </v>
      </c>
      <c r="S41" s="1845"/>
      <c r="T41" s="1845"/>
      <c r="U41" s="1845"/>
      <c r="V41" s="1845"/>
      <c r="W41" s="1845"/>
      <c r="X41" s="1845"/>
      <c r="Y41" s="1845"/>
      <c r="Z41" s="1846"/>
      <c r="AA41" s="419"/>
      <c r="AB41" s="1641" t="str">
        <f>+IF(EXACT(A39,"")," ",CONCATENATE(ZAKL_DATA!B19))</f>
        <v xml:space="preserve"> </v>
      </c>
      <c r="AC41" s="1775"/>
      <c r="AD41" s="1775"/>
      <c r="AE41" s="1643"/>
      <c r="AF41" s="577"/>
      <c r="AG41" s="1844" t="str">
        <f>+IF(EXACT(A39,"")," ",CONCATENATE(ZAKL_DATA!B20))</f>
        <v xml:space="preserve"> </v>
      </c>
      <c r="AH41" s="1845"/>
      <c r="AI41" s="1845"/>
      <c r="AJ41" s="1845"/>
      <c r="AK41" s="1845"/>
      <c r="AL41" s="1845"/>
      <c r="AM41" s="1845"/>
      <c r="AN41" s="1845"/>
      <c r="AO41" s="1846"/>
    </row>
    <row r="42" spans="1:41" ht="5.1" customHeight="1">
      <c r="A42" s="1765"/>
      <c r="B42" s="1653"/>
      <c r="C42" s="1653"/>
      <c r="D42" s="1653"/>
      <c r="E42" s="1653"/>
      <c r="F42" s="1653"/>
      <c r="G42" s="1653"/>
      <c r="H42" s="1653"/>
      <c r="I42" s="1653"/>
      <c r="J42" s="1653"/>
      <c r="K42" s="1653"/>
      <c r="L42" s="1653"/>
      <c r="M42" s="1653"/>
      <c r="N42" s="1653"/>
      <c r="O42" s="1653"/>
      <c r="P42" s="1653"/>
      <c r="Q42" s="1653"/>
      <c r="R42" s="1653"/>
      <c r="S42" s="1653"/>
      <c r="T42" s="1653"/>
      <c r="U42" s="1653"/>
      <c r="V42" s="1653"/>
      <c r="W42" s="1653"/>
      <c r="X42" s="1653"/>
      <c r="Y42" s="1653"/>
      <c r="Z42" s="1653"/>
      <c r="AA42" s="1653"/>
      <c r="AB42" s="1653"/>
      <c r="AC42" s="1653"/>
      <c r="AD42" s="1653"/>
      <c r="AE42" s="1653"/>
      <c r="AF42" s="1653"/>
      <c r="AG42" s="1653"/>
      <c r="AH42" s="1653"/>
      <c r="AI42" s="1653"/>
      <c r="AJ42" s="1653"/>
      <c r="AK42" s="1653"/>
      <c r="AL42" s="1653"/>
      <c r="AM42" s="1653"/>
      <c r="AN42" s="1653"/>
      <c r="AO42" s="1766"/>
    </row>
    <row r="43" spans="1:41" ht="12.75">
      <c r="A43" s="1557" t="s">
        <v>3789</v>
      </c>
      <c r="B43" s="1615"/>
      <c r="C43" s="1615"/>
      <c r="D43" s="1615"/>
      <c r="E43" s="1615"/>
      <c r="F43" s="1615"/>
      <c r="G43" s="1615"/>
      <c r="H43" s="1615"/>
      <c r="I43" s="1615"/>
      <c r="J43" s="1615"/>
      <c r="K43" s="1615"/>
      <c r="L43" s="1615"/>
      <c r="M43" s="1615"/>
      <c r="N43" s="1615"/>
      <c r="O43" s="1615"/>
      <c r="P43" s="1615"/>
      <c r="Q43" s="1615"/>
      <c r="R43" s="1615"/>
      <c r="S43" s="1615"/>
      <c r="T43" s="1615"/>
      <c r="U43" s="1615"/>
      <c r="V43" s="1615"/>
      <c r="W43" s="1615"/>
      <c r="X43" s="1615"/>
      <c r="Y43" s="1615"/>
      <c r="Z43" s="1615"/>
      <c r="AA43" s="1615"/>
      <c r="AB43" s="1615"/>
      <c r="AC43" s="1615"/>
      <c r="AD43" s="1615"/>
      <c r="AE43" s="1615"/>
      <c r="AF43" s="1615"/>
      <c r="AG43" s="1615"/>
      <c r="AH43" s="1615"/>
      <c r="AI43" s="1615"/>
      <c r="AJ43" s="1615"/>
      <c r="AK43" s="1615"/>
      <c r="AL43" s="1615"/>
      <c r="AM43" s="1615"/>
      <c r="AN43" s="1615"/>
      <c r="AO43" s="1559"/>
    </row>
    <row r="44" spans="1:41" ht="26.1" customHeight="1">
      <c r="A44" s="1829" t="s">
        <v>3954</v>
      </c>
      <c r="B44" s="1830"/>
      <c r="C44" s="1830"/>
      <c r="D44" s="1830"/>
      <c r="E44" s="1830"/>
      <c r="F44" s="1830"/>
      <c r="G44" s="1830"/>
      <c r="H44" s="1830"/>
      <c r="I44" s="1830"/>
      <c r="J44" s="1830"/>
      <c r="K44" s="1830"/>
      <c r="L44" s="1830"/>
      <c r="M44" s="1830"/>
      <c r="N44" s="1830"/>
      <c r="O44" s="1830"/>
      <c r="P44" s="1830"/>
      <c r="Q44" s="1830"/>
      <c r="R44" s="1830"/>
      <c r="S44" s="1830"/>
      <c r="T44" s="1830"/>
      <c r="U44" s="1830"/>
      <c r="V44" s="1830"/>
      <c r="W44" s="1830"/>
      <c r="X44" s="1830"/>
      <c r="Y44" s="1830"/>
      <c r="Z44" s="1830"/>
      <c r="AA44" s="1830"/>
      <c r="AB44" s="1830"/>
      <c r="AC44" s="1830"/>
      <c r="AD44" s="1830"/>
      <c r="AE44" s="1830"/>
      <c r="AF44" s="1830"/>
      <c r="AG44" s="1830"/>
      <c r="AH44" s="1830"/>
      <c r="AI44" s="1830"/>
      <c r="AJ44" s="1830"/>
      <c r="AK44" s="1830"/>
      <c r="AL44" s="1830"/>
      <c r="AM44" s="1830"/>
      <c r="AN44" s="1830"/>
      <c r="AO44" s="1831"/>
    </row>
    <row r="45" spans="1:41" ht="12.75">
      <c r="A45" s="517"/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9"/>
    </row>
    <row r="46" spans="1:41" ht="12.75">
      <c r="A46" s="496"/>
      <c r="B46" s="269"/>
      <c r="C46" s="1586" t="s">
        <v>3790</v>
      </c>
      <c r="D46" s="1832"/>
      <c r="E46" s="1832"/>
      <c r="F46" s="1832"/>
      <c r="G46" s="1832"/>
      <c r="H46" s="1832"/>
      <c r="I46" s="1832"/>
      <c r="J46" s="1832"/>
      <c r="K46" s="1832"/>
      <c r="L46" s="1832"/>
      <c r="M46" s="1832"/>
      <c r="N46" s="1832"/>
      <c r="O46" s="1832"/>
      <c r="P46" s="1832"/>
      <c r="Q46" s="1832"/>
      <c r="R46" s="1832"/>
      <c r="S46" s="1832"/>
      <c r="T46" s="1832"/>
      <c r="U46" s="1832"/>
      <c r="V46" s="1832"/>
      <c r="W46" s="1832"/>
      <c r="X46" s="1832"/>
      <c r="Y46" s="1832"/>
      <c r="Z46" s="1832"/>
      <c r="AA46" s="1832"/>
      <c r="AB46" s="1832"/>
      <c r="AC46" s="1832"/>
      <c r="AD46" s="1832"/>
      <c r="AE46" s="1832"/>
      <c r="AF46" s="1832"/>
      <c r="AG46" s="1832"/>
      <c r="AH46" s="1832"/>
      <c r="AI46" s="1832"/>
      <c r="AJ46" s="1832"/>
      <c r="AK46" s="1832"/>
      <c r="AL46" s="1832"/>
      <c r="AM46" s="1832"/>
      <c r="AN46" s="1832"/>
      <c r="AO46" s="1833"/>
    </row>
    <row r="47" spans="1:41" ht="25.5" customHeight="1">
      <c r="A47" s="518"/>
      <c r="B47" s="518"/>
      <c r="C47" s="1832"/>
      <c r="D47" s="1832"/>
      <c r="E47" s="1832"/>
      <c r="F47" s="1832"/>
      <c r="G47" s="1832"/>
      <c r="H47" s="1832"/>
      <c r="I47" s="1832"/>
      <c r="J47" s="1832"/>
      <c r="K47" s="1832"/>
      <c r="L47" s="1832"/>
      <c r="M47" s="1832"/>
      <c r="N47" s="1832"/>
      <c r="O47" s="1832"/>
      <c r="P47" s="1832"/>
      <c r="Q47" s="1832"/>
      <c r="R47" s="1832"/>
      <c r="S47" s="1832"/>
      <c r="T47" s="1832"/>
      <c r="U47" s="1832"/>
      <c r="V47" s="1832"/>
      <c r="W47" s="1832"/>
      <c r="X47" s="1832"/>
      <c r="Y47" s="1832"/>
      <c r="Z47" s="1832"/>
      <c r="AA47" s="1832"/>
      <c r="AB47" s="1832"/>
      <c r="AC47" s="1832"/>
      <c r="AD47" s="1832"/>
      <c r="AE47" s="1832"/>
      <c r="AF47" s="1832"/>
      <c r="AG47" s="1832"/>
      <c r="AH47" s="1832"/>
      <c r="AI47" s="1832"/>
      <c r="AJ47" s="1832"/>
      <c r="AK47" s="1832"/>
      <c r="AL47" s="1832"/>
      <c r="AM47" s="1832"/>
      <c r="AN47" s="1832"/>
      <c r="AO47" s="1833"/>
    </row>
    <row r="48" spans="1:41" ht="4.5" customHeight="1">
      <c r="A48" s="1627"/>
      <c r="B48" s="1628"/>
      <c r="C48" s="1628"/>
      <c r="D48" s="1628"/>
      <c r="E48" s="1628"/>
      <c r="F48" s="1628"/>
      <c r="G48" s="1628"/>
      <c r="H48" s="1628"/>
      <c r="I48" s="1628"/>
      <c r="J48" s="1628"/>
      <c r="K48" s="1628"/>
      <c r="L48" s="1628"/>
      <c r="M48" s="1628"/>
      <c r="N48" s="1628"/>
      <c r="O48" s="1628"/>
      <c r="P48" s="1628"/>
      <c r="Q48" s="1628"/>
      <c r="R48" s="1628"/>
      <c r="S48" s="1628"/>
      <c r="T48" s="1628"/>
      <c r="U48" s="1628"/>
      <c r="V48" s="1628"/>
      <c r="W48" s="1628"/>
      <c r="X48" s="1628"/>
      <c r="Y48" s="1628"/>
      <c r="Z48" s="1628"/>
      <c r="AA48" s="1628"/>
      <c r="AB48" s="1628"/>
      <c r="AC48" s="1628"/>
      <c r="AD48" s="1628"/>
      <c r="AE48" s="1628"/>
      <c r="AF48" s="1628"/>
      <c r="AG48" s="1628"/>
      <c r="AH48" s="1628"/>
      <c r="AI48" s="1628"/>
      <c r="AJ48" s="1628"/>
      <c r="AK48" s="289"/>
      <c r="AL48" s="289"/>
      <c r="AM48" s="289"/>
      <c r="AN48" s="289"/>
      <c r="AO48" s="291"/>
    </row>
    <row r="49" spans="1:41" ht="12.75">
      <c r="A49" s="1557" t="s">
        <v>3750</v>
      </c>
      <c r="B49" s="1615"/>
      <c r="C49" s="1615"/>
      <c r="D49" s="1615"/>
      <c r="E49" s="1615"/>
      <c r="F49" s="1615"/>
      <c r="G49" s="1615"/>
      <c r="H49" s="1615"/>
      <c r="I49" s="1615"/>
      <c r="J49" s="1615"/>
      <c r="K49" s="1615"/>
      <c r="L49" s="1615"/>
      <c r="M49" s="1615"/>
      <c r="N49" s="1615"/>
      <c r="O49" s="1615"/>
      <c r="P49" s="1615"/>
      <c r="Q49" s="1615"/>
      <c r="R49" s="1615"/>
      <c r="S49" s="1615"/>
      <c r="T49" s="1615"/>
      <c r="U49" s="1615"/>
      <c r="V49" s="1615"/>
      <c r="W49" s="1615"/>
      <c r="X49" s="1615"/>
      <c r="Y49" s="1615"/>
      <c r="Z49" s="1615"/>
      <c r="AA49" s="1615"/>
      <c r="AB49" s="1615"/>
      <c r="AC49" s="1615"/>
      <c r="AD49" s="1615"/>
      <c r="AE49" s="1615"/>
      <c r="AF49" s="1615"/>
      <c r="AG49" s="1615"/>
      <c r="AH49" s="1615"/>
      <c r="AI49" s="1615"/>
      <c r="AJ49" s="1615"/>
      <c r="AK49" s="1615"/>
      <c r="AL49" s="1615"/>
      <c r="AM49" s="1615"/>
      <c r="AN49" s="1615"/>
      <c r="AO49" s="1559"/>
    </row>
    <row r="50" spans="1:41" ht="12.75" customHeight="1">
      <c r="A50" s="1691"/>
      <c r="B50" s="1507"/>
      <c r="C50" s="1507"/>
      <c r="D50" s="1507"/>
      <c r="E50" s="1507"/>
      <c r="F50" s="1507"/>
      <c r="G50" s="1507"/>
      <c r="H50" s="1507"/>
      <c r="I50" s="1507"/>
      <c r="J50" s="1507"/>
      <c r="K50" s="1507"/>
      <c r="L50" s="1507"/>
      <c r="M50" s="1507"/>
      <c r="N50" s="1507"/>
      <c r="O50" s="1507"/>
      <c r="P50" s="1507"/>
      <c r="Q50" s="1507"/>
      <c r="R50" s="1507"/>
      <c r="S50" s="1507"/>
      <c r="T50" s="1507"/>
      <c r="U50" s="1507"/>
      <c r="V50" s="1507"/>
      <c r="W50" s="1507"/>
      <c r="X50" s="1507"/>
      <c r="Y50" s="1507"/>
      <c r="Z50" s="1507"/>
      <c r="AA50" s="1507"/>
      <c r="AB50" s="1507"/>
      <c r="AC50" s="1507"/>
      <c r="AD50" s="1507"/>
      <c r="AE50" s="1507"/>
      <c r="AF50" s="1507"/>
      <c r="AG50" s="1507"/>
      <c r="AH50" s="1507"/>
      <c r="AI50" s="1696" t="s">
        <v>273</v>
      </c>
      <c r="AJ50" s="1704"/>
      <c r="AK50" s="1704"/>
      <c r="AL50" s="1507"/>
      <c r="AM50" s="1507"/>
      <c r="AN50" s="1507"/>
      <c r="AO50" s="1606"/>
    </row>
    <row r="51" spans="1:41" ht="18.75" customHeight="1">
      <c r="A51" s="1560" t="s">
        <v>3880</v>
      </c>
      <c r="B51" s="1078"/>
      <c r="C51" s="1078"/>
      <c r="D51" s="269"/>
      <c r="E51" s="1705" t="s">
        <v>139</v>
      </c>
      <c r="F51" s="1706"/>
      <c r="G51" s="269" t="s">
        <v>255</v>
      </c>
      <c r="H51" s="1707"/>
      <c r="I51" s="1078"/>
      <c r="J51" s="1078"/>
      <c r="K51" s="1078"/>
      <c r="L51" s="1078"/>
      <c r="M51" s="1078"/>
      <c r="N51" s="1078"/>
      <c r="O51" s="1078"/>
      <c r="P51" s="1078"/>
      <c r="Q51" s="1573" t="s">
        <v>3881</v>
      </c>
      <c r="R51" s="1078"/>
      <c r="S51" s="1078"/>
      <c r="T51" s="1078"/>
      <c r="U51" s="1705" t="s">
        <v>233</v>
      </c>
      <c r="V51" s="1706"/>
      <c r="W51" s="269"/>
      <c r="X51" s="1705" t="s">
        <v>139</v>
      </c>
      <c r="Y51" s="1706"/>
      <c r="Z51" s="269" t="s">
        <v>255</v>
      </c>
      <c r="AA51" s="1707"/>
      <c r="AB51" s="1078"/>
      <c r="AC51" s="1078"/>
      <c r="AD51" s="1078"/>
      <c r="AE51" s="1078"/>
      <c r="AF51" s="1078"/>
      <c r="AG51" s="1078"/>
      <c r="AH51" s="1564"/>
      <c r="AI51" s="1708">
        <v>0.0</v>
      </c>
      <c r="AJ51" s="1709"/>
      <c r="AK51" s="1548"/>
      <c r="AL51" s="1078"/>
      <c r="AM51" s="1078"/>
      <c r="AN51" s="1078"/>
      <c r="AO51" s="1564"/>
    </row>
    <row r="52" spans="1:41" ht="4.5" customHeight="1">
      <c r="A52" s="1627"/>
      <c r="B52" s="1628"/>
      <c r="C52" s="1628"/>
      <c r="D52" s="1628"/>
      <c r="E52" s="1628"/>
      <c r="F52" s="1628"/>
      <c r="G52" s="1628"/>
      <c r="H52" s="1628"/>
      <c r="I52" s="1628"/>
      <c r="J52" s="1628"/>
      <c r="K52" s="1628"/>
      <c r="L52" s="1628"/>
      <c r="M52" s="1628"/>
      <c r="N52" s="1628"/>
      <c r="O52" s="1628"/>
      <c r="P52" s="1628"/>
      <c r="Q52" s="1628"/>
      <c r="R52" s="1628"/>
      <c r="S52" s="1628"/>
      <c r="T52" s="1628"/>
      <c r="U52" s="1628"/>
      <c r="V52" s="1628"/>
      <c r="W52" s="1628"/>
      <c r="X52" s="1628"/>
      <c r="Y52" s="1628"/>
      <c r="Z52" s="1628"/>
      <c r="AA52" s="1628"/>
      <c r="AB52" s="1628"/>
      <c r="AC52" s="1628"/>
      <c r="AD52" s="1628"/>
      <c r="AE52" s="1628"/>
      <c r="AF52" s="1628"/>
      <c r="AG52" s="1628"/>
      <c r="AH52" s="1628"/>
      <c r="AI52" s="1628"/>
      <c r="AJ52" s="1628"/>
      <c r="AK52" s="1628"/>
      <c r="AL52" s="1628"/>
      <c r="AM52" s="1628"/>
      <c r="AN52" s="1628"/>
      <c r="AO52" s="1629"/>
    </row>
    <row r="53" spans="1:41" ht="39.95" customHeight="1">
      <c r="A53" s="1723" t="s">
        <v>3962</v>
      </c>
      <c r="B53" s="1573"/>
      <c r="C53" s="1573"/>
      <c r="D53" s="1573"/>
      <c r="E53" s="1573"/>
      <c r="F53" s="1573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  <c r="AE53" s="1573"/>
      <c r="AF53" s="1573"/>
      <c r="AG53" s="1573"/>
      <c r="AH53" s="1573"/>
      <c r="AI53" s="1573"/>
      <c r="AJ53" s="1573"/>
      <c r="AK53" s="1573"/>
      <c r="AL53" s="1573"/>
      <c r="AM53" s="1573"/>
      <c r="AN53" s="1573"/>
      <c r="AO53" s="1672"/>
    </row>
    <row r="54" spans="1:41" ht="5.1" customHeight="1">
      <c r="A54" s="1627"/>
      <c r="B54" s="1628"/>
      <c r="C54" s="1628"/>
      <c r="D54" s="1628"/>
      <c r="E54" s="1628"/>
      <c r="F54" s="1628"/>
      <c r="G54" s="1628"/>
      <c r="H54" s="1628"/>
      <c r="I54" s="1628"/>
      <c r="J54" s="1628"/>
      <c r="K54" s="1628"/>
      <c r="L54" s="1628"/>
      <c r="M54" s="1628"/>
      <c r="N54" s="1628"/>
      <c r="O54" s="1628"/>
      <c r="P54" s="1628"/>
      <c r="Q54" s="1628"/>
      <c r="R54" s="1628"/>
      <c r="S54" s="1628"/>
      <c r="T54" s="1628"/>
      <c r="U54" s="1628"/>
      <c r="V54" s="1628"/>
      <c r="W54" s="1628"/>
      <c r="X54" s="1628"/>
      <c r="Y54" s="1628"/>
      <c r="Z54" s="1628"/>
      <c r="AA54" s="1628"/>
      <c r="AB54" s="1628"/>
      <c r="AC54" s="1628"/>
      <c r="AD54" s="1628"/>
      <c r="AE54" s="1628"/>
      <c r="AF54" s="1628"/>
      <c r="AG54" s="1628"/>
      <c r="AH54" s="1628"/>
      <c r="AI54" s="1628"/>
      <c r="AJ54" s="1628"/>
      <c r="AK54" s="1628"/>
      <c r="AL54" s="1628"/>
      <c r="AM54" s="1628"/>
      <c r="AN54" s="1628"/>
      <c r="AO54" s="1629"/>
    </row>
    <row r="55" spans="1:41" ht="12.75">
      <c r="A55" s="1577" t="s">
        <v>44</v>
      </c>
      <c r="B55" s="1720"/>
      <c r="C55" s="1720"/>
      <c r="D55" s="1653"/>
      <c r="E55" s="1653"/>
      <c r="F55" s="1653"/>
      <c r="G55" s="1653"/>
      <c r="H55" s="1653"/>
      <c r="I55" s="1653"/>
      <c r="J55" s="1653"/>
      <c r="K55" s="1653"/>
      <c r="L55" s="1653"/>
      <c r="M55" s="1653"/>
      <c r="N55" s="1653"/>
      <c r="O55" s="1653"/>
      <c r="P55" s="1653"/>
      <c r="Q55" s="1653"/>
      <c r="R55" s="1653"/>
      <c r="S55" s="1653"/>
      <c r="T55" s="1653"/>
      <c r="U55" s="1653"/>
      <c r="V55" s="1653"/>
      <c r="W55" s="1653"/>
      <c r="X55" s="1653"/>
      <c r="Y55" s="1653"/>
      <c r="Z55" s="1653"/>
      <c r="AA55" s="1653"/>
      <c r="AB55" s="1653"/>
      <c r="AC55" s="1653"/>
      <c r="AD55" s="1653"/>
      <c r="AE55" s="1653"/>
      <c r="AF55" s="1653"/>
      <c r="AG55" s="296"/>
      <c r="AH55" s="417"/>
      <c r="AI55" s="1702" t="s">
        <v>307</v>
      </c>
      <c r="AJ55" s="1702"/>
      <c r="AK55" s="1702"/>
      <c r="AL55" s="1702"/>
      <c r="AM55" s="1702"/>
      <c r="AN55" s="1702"/>
      <c r="AO55" s="1703"/>
    </row>
    <row r="56" spans="1:41" ht="18" customHeight="1">
      <c r="A56" s="1770">
        <f ca="1">+TODAY()</f>
        <v>44994.0</v>
      </c>
      <c r="B56" s="1771"/>
      <c r="C56" s="1772"/>
      <c r="D56" s="292"/>
      <c r="E56" s="1653"/>
      <c r="F56" s="1653"/>
      <c r="G56" s="1767"/>
      <c r="H56" s="1767"/>
      <c r="I56" s="1767"/>
      <c r="J56" s="1767"/>
      <c r="K56" s="1767"/>
      <c r="L56" s="1711" t="s">
        <v>274</v>
      </c>
      <c r="M56" s="1712"/>
      <c r="N56" s="1712"/>
      <c r="O56" s="1712"/>
      <c r="P56" s="1712"/>
      <c r="Q56" s="1712"/>
      <c r="R56" s="1712"/>
      <c r="S56" s="1712"/>
      <c r="T56" s="1712"/>
      <c r="U56" s="1713"/>
      <c r="V56" s="287"/>
      <c r="W56" s="1711" t="s">
        <v>275</v>
      </c>
      <c r="X56" s="1712"/>
      <c r="Y56" s="1712"/>
      <c r="Z56" s="1712"/>
      <c r="AA56" s="1712"/>
      <c r="AB56" s="1712"/>
      <c r="AC56" s="1712"/>
      <c r="AD56" s="1713"/>
      <c r="AE56" s="1628"/>
      <c r="AF56" s="1628"/>
      <c r="AG56" s="1628"/>
      <c r="AH56" s="1628"/>
      <c r="AI56" s="1769"/>
      <c r="AJ56" s="1763"/>
      <c r="AK56" s="1763"/>
      <c r="AL56" s="1763"/>
      <c r="AM56" s="1763"/>
      <c r="AN56" s="1763"/>
      <c r="AO56" s="1764"/>
    </row>
    <row r="57" spans="1:41" ht="12.75">
      <c r="A57" s="1560"/>
      <c r="B57" s="1078"/>
      <c r="C57" s="1078"/>
      <c r="D57" s="292"/>
      <c r="E57" s="1767"/>
      <c r="F57" s="1767"/>
      <c r="G57" s="1767"/>
      <c r="H57" s="1767"/>
      <c r="I57" s="1767"/>
      <c r="J57" s="1767"/>
      <c r="K57" s="1767"/>
      <c r="L57" s="1714"/>
      <c r="M57" s="1715"/>
      <c r="N57" s="1715"/>
      <c r="O57" s="1715"/>
      <c r="P57" s="1715"/>
      <c r="Q57" s="1715"/>
      <c r="R57" s="1715"/>
      <c r="S57" s="1715"/>
      <c r="T57" s="1715"/>
      <c r="U57" s="1716"/>
      <c r="V57" s="287"/>
      <c r="W57" s="1714"/>
      <c r="X57" s="1715"/>
      <c r="Y57" s="1715"/>
      <c r="Z57" s="1715"/>
      <c r="AA57" s="1715"/>
      <c r="AB57" s="1715"/>
      <c r="AC57" s="1715"/>
      <c r="AD57" s="1716"/>
      <c r="AE57" s="289"/>
      <c r="AF57" s="289"/>
      <c r="AG57" s="289"/>
      <c r="AH57" s="289"/>
      <c r="AI57" s="1759" t="s">
        <v>3618</v>
      </c>
      <c r="AJ57" s="1759"/>
      <c r="AK57" s="1759"/>
      <c r="AL57" s="1759"/>
      <c r="AM57" s="1759"/>
      <c r="AN57" s="1759"/>
      <c r="AO57" s="1760"/>
    </row>
    <row r="58" spans="1:41" ht="18" customHeight="1">
      <c r="A58" s="1710"/>
      <c r="B58" s="1078"/>
      <c r="C58" s="1078"/>
      <c r="D58" s="289"/>
      <c r="E58" s="1768"/>
      <c r="F58" s="1768"/>
      <c r="G58" s="1768"/>
      <c r="H58" s="1768"/>
      <c r="I58" s="1768"/>
      <c r="J58" s="1768"/>
      <c r="K58" s="1768"/>
      <c r="L58" s="1714"/>
      <c r="M58" s="1715"/>
      <c r="N58" s="1715"/>
      <c r="O58" s="1715"/>
      <c r="P58" s="1715"/>
      <c r="Q58" s="1715"/>
      <c r="R58" s="1715"/>
      <c r="S58" s="1715"/>
      <c r="T58" s="1715"/>
      <c r="U58" s="1716"/>
      <c r="V58" s="287"/>
      <c r="W58" s="1714"/>
      <c r="X58" s="1715"/>
      <c r="Y58" s="1715"/>
      <c r="Z58" s="1715"/>
      <c r="AA58" s="1715"/>
      <c r="AB58" s="1715"/>
      <c r="AC58" s="1715"/>
      <c r="AD58" s="1716"/>
      <c r="AE58" s="289"/>
      <c r="AF58" s="289"/>
      <c r="AG58" s="289"/>
      <c r="AH58" s="289"/>
      <c r="AI58" s="1762"/>
      <c r="AJ58" s="1763"/>
      <c r="AK58" s="1763"/>
      <c r="AL58" s="1763"/>
      <c r="AM58" s="1763"/>
      <c r="AN58" s="1763"/>
      <c r="AO58" s="1764"/>
    </row>
    <row r="59" spans="1:41" ht="38.1" customHeight="1">
      <c r="A59" s="290"/>
      <c r="B59" s="1628"/>
      <c r="C59" s="1628"/>
      <c r="D59" s="1628"/>
      <c r="E59" s="1768"/>
      <c r="F59" s="1768"/>
      <c r="G59" s="1768"/>
      <c r="H59" s="1768"/>
      <c r="I59" s="1768"/>
      <c r="J59" s="1768"/>
      <c r="K59" s="1768"/>
      <c r="L59" s="1714"/>
      <c r="M59" s="1715"/>
      <c r="N59" s="1715"/>
      <c r="O59" s="1715"/>
      <c r="P59" s="1715"/>
      <c r="Q59" s="1715"/>
      <c r="R59" s="1715"/>
      <c r="S59" s="1715"/>
      <c r="T59" s="1715"/>
      <c r="U59" s="1716"/>
      <c r="V59" s="287"/>
      <c r="W59" s="1714"/>
      <c r="X59" s="1715"/>
      <c r="Y59" s="1715"/>
      <c r="Z59" s="1715"/>
      <c r="AA59" s="1715"/>
      <c r="AB59" s="1715"/>
      <c r="AC59" s="1715"/>
      <c r="AD59" s="1716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91"/>
    </row>
    <row r="60" spans="1:41" ht="12.75">
      <c r="A60" s="290"/>
      <c r="B60" s="1628"/>
      <c r="C60" s="1628"/>
      <c r="D60" s="1628"/>
      <c r="E60" s="1768"/>
      <c r="F60" s="1768"/>
      <c r="G60" s="1768"/>
      <c r="H60" s="1768"/>
      <c r="I60" s="1768"/>
      <c r="J60" s="1768"/>
      <c r="K60" s="1768"/>
      <c r="L60" s="1717"/>
      <c r="M60" s="1718"/>
      <c r="N60" s="1718"/>
      <c r="O60" s="1718"/>
      <c r="P60" s="1718"/>
      <c r="Q60" s="1718"/>
      <c r="R60" s="1718"/>
      <c r="S60" s="1718"/>
      <c r="T60" s="1718"/>
      <c r="U60" s="1719"/>
      <c r="V60" s="287"/>
      <c r="W60" s="1717"/>
      <c r="X60" s="1718"/>
      <c r="Y60" s="1718"/>
      <c r="Z60" s="1718"/>
      <c r="AA60" s="1718"/>
      <c r="AB60" s="1718"/>
      <c r="AC60" s="1718"/>
      <c r="AD60" s="1719"/>
      <c r="AE60" s="1628"/>
      <c r="AF60" s="1628"/>
      <c r="AG60" s="1628"/>
      <c r="AH60" s="1628"/>
      <c r="AI60" s="1721" t="s">
        <v>276</v>
      </c>
      <c r="AJ60" s="1721"/>
      <c r="AK60" s="1721"/>
      <c r="AL60" s="1721"/>
      <c r="AM60" s="1721"/>
      <c r="AN60" s="1721"/>
      <c r="AO60" s="1722"/>
    </row>
    <row r="61" spans="1:41" ht="15" customHeight="1">
      <c r="A61" s="1748" t="str">
        <f>+'DAP1'!A46</f>
        <v>Formulář zpracovala ASPEKT HM, daňová, účetní a auditorská kancelář, www.danovapriznani.cz, business.center.cz</v>
      </c>
      <c r="B61" s="1749"/>
      <c r="C61" s="1749"/>
      <c r="D61" s="1749"/>
      <c r="E61" s="1749"/>
      <c r="F61" s="1749"/>
      <c r="G61" s="1749"/>
      <c r="H61" s="1749"/>
      <c r="I61" s="1749"/>
      <c r="J61" s="1749"/>
      <c r="K61" s="1749"/>
      <c r="L61" s="1749"/>
      <c r="M61" s="1749"/>
      <c r="N61" s="1749"/>
      <c r="O61" s="1749"/>
      <c r="P61" s="1749"/>
      <c r="Q61" s="1749"/>
      <c r="R61" s="1749"/>
      <c r="S61" s="1749"/>
      <c r="T61" s="1749"/>
      <c r="U61" s="1749"/>
      <c r="V61" s="1749"/>
      <c r="W61" s="1749"/>
      <c r="X61" s="1749"/>
      <c r="Y61" s="1749"/>
      <c r="Z61" s="1749"/>
      <c r="AA61" s="1749"/>
      <c r="AB61" s="1749"/>
      <c r="AC61" s="1749"/>
      <c r="AD61" s="1749"/>
      <c r="AE61" s="1749"/>
      <c r="AF61" s="1749"/>
      <c r="AG61" s="1749"/>
      <c r="AH61" s="1749"/>
      <c r="AI61" s="1749"/>
      <c r="AJ61" s="1745" t="s">
        <v>3963</v>
      </c>
      <c r="AK61" s="1746"/>
      <c r="AL61" s="1746"/>
      <c r="AM61" s="1746"/>
      <c r="AN61" s="1746"/>
      <c r="AO61" s="1747"/>
    </row>
    <row r="62" spans="1:41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  <row r="218" s="21" customFormat="1" ht="12.75"/>
    <row r="219" s="21" customFormat="1" ht="12.75"/>
    <row r="220" s="21" customFormat="1" ht="12.75"/>
    <row r="221" s="21" customFormat="1" ht="12.75"/>
    <row r="222" s="21" customFormat="1" ht="12.75"/>
    <row r="223" s="21" customFormat="1" ht="12.75"/>
    <row r="224" s="21" customFormat="1" ht="12.75"/>
    <row r="225" s="21" customFormat="1" ht="12.75"/>
    <row r="226" s="21" customFormat="1" ht="12.75"/>
    <row r="227" s="21" customFormat="1" ht="12.75"/>
    <row r="228" s="21" customFormat="1" ht="12.75"/>
    <row r="229" s="21" customFormat="1" ht="12.75"/>
    <row r="230" s="21" customFormat="1" ht="12.75"/>
    <row r="231" s="21" customFormat="1" ht="12.75"/>
    <row r="232" s="21" customFormat="1" ht="12.75"/>
    <row r="233" s="21" customFormat="1" ht="12.75"/>
    <row r="234" s="21" customFormat="1" ht="12.75"/>
    <row r="235" s="21" customFormat="1" ht="12.75"/>
    <row r="236" s="21" customFormat="1" ht="12.75"/>
    <row r="237" s="21" customFormat="1" ht="12.75"/>
    <row r="238" s="21" customFormat="1" ht="12.75"/>
    <row r="239" s="21" customFormat="1" ht="12.75"/>
    <row r="240" s="21" customFormat="1" ht="12.75"/>
    <row r="241" s="21" customFormat="1" ht="12.75"/>
    <row r="242" s="21" customFormat="1" ht="12.75"/>
    <row r="243" s="21" customFormat="1" ht="12.75"/>
    <row r="244" s="21" customFormat="1" ht="12.75"/>
    <row r="245" s="21" customFormat="1" ht="12.75"/>
    <row r="246" s="21" customFormat="1" ht="12.75"/>
    <row r="247" s="21" customFormat="1" ht="12.75"/>
    <row r="248" s="21" customFormat="1" ht="12.75"/>
    <row r="249" s="21" customFormat="1" ht="12.75"/>
    <row r="250" s="21" customFormat="1" ht="12.75"/>
    <row r="251" s="21" customFormat="1" ht="12.75"/>
    <row r="252" s="21" customFormat="1" ht="12.75"/>
    <row r="253" s="21" customFormat="1" ht="12.75"/>
    <row r="254" s="21" customFormat="1" ht="12.75"/>
    <row r="255" s="21" customFormat="1" ht="12.75"/>
    <row r="256" s="21" customFormat="1" ht="12.75"/>
    <row r="257" s="21" customFormat="1" ht="12.75"/>
    <row r="258" s="21" customFormat="1" ht="12.75"/>
    <row r="259" s="21" customFormat="1" ht="12.75"/>
    <row r="260" s="21" customFormat="1" ht="12.75"/>
    <row r="261" s="21" customFormat="1" ht="12.75"/>
    <row r="262" s="21" customFormat="1" ht="12.75"/>
    <row r="263" s="21" customFormat="1" ht="12.75"/>
    <row r="264" s="21" customFormat="1" ht="12.75"/>
    <row r="265" s="21" customFormat="1" ht="12.75"/>
    <row r="266" s="21" customFormat="1" ht="12.75"/>
    <row r="267" s="21" customFormat="1" ht="12.75"/>
    <row r="268" s="21" customFormat="1" ht="12.75"/>
    <row r="269" s="21" customFormat="1" ht="12.75"/>
    <row r="270" s="21" customFormat="1" ht="12.75"/>
    <row r="271" s="21" customFormat="1" ht="12.75"/>
    <row r="272" s="21" customFormat="1" ht="12.75"/>
    <row r="273" s="21" customFormat="1" ht="12.75"/>
    <row r="274" s="21" customFormat="1" ht="12.75"/>
    <row r="275" s="21" customFormat="1" ht="12.75"/>
    <row r="276" s="21" customFormat="1" ht="12.75"/>
    <row r="277" s="21" customFormat="1" ht="12.75"/>
    <row r="278" s="21" customFormat="1" ht="12.75"/>
    <row r="279" s="21" customFormat="1" ht="12.75"/>
    <row r="280" s="21" customFormat="1" ht="12.75"/>
    <row r="281" s="21" customFormat="1" ht="12.75"/>
    <row r="282" s="21" customFormat="1" ht="12.75"/>
    <row r="283" s="21" customFormat="1" ht="12.75"/>
    <row r="284" s="21" customFormat="1" ht="12.75"/>
    <row r="285" s="21" customFormat="1" ht="12.75"/>
    <row r="286" s="21" customFormat="1" ht="12.75"/>
    <row r="287" s="21" customFormat="1" ht="12.75"/>
    <row r="288" s="21" customFormat="1" ht="12.75"/>
    <row r="289" s="21" customFormat="1" ht="12.75"/>
    <row r="290" s="21" customFormat="1" ht="12.75"/>
    <row r="291" s="21" customFormat="1" ht="12.75"/>
    <row r="292" s="21" customFormat="1" ht="12.75"/>
    <row r="293" s="21" customFormat="1" ht="12.75"/>
    <row r="294" s="21" customFormat="1" ht="12.75"/>
    <row r="295" s="21" customFormat="1" ht="12.75"/>
    <row r="296" s="21" customFormat="1" ht="12.75"/>
    <row r="297" s="21" customFormat="1" ht="12.75"/>
    <row r="298" s="21" customFormat="1" ht="12.75"/>
    <row r="299" s="21" customFormat="1" ht="12.75"/>
    <row r="300" s="21" customFormat="1" ht="12.75"/>
    <row r="301" s="21" customFormat="1" ht="12.75"/>
    <row r="302" s="21" customFormat="1" ht="12.75"/>
    <row r="303" s="21" customFormat="1" ht="12.75"/>
    <row r="304" s="21" customFormat="1" ht="12.75"/>
    <row r="305" s="21" customFormat="1" ht="12.75"/>
    <row r="306" s="21" customFormat="1" ht="12.75"/>
    <row r="307" s="21" customFormat="1" ht="12.75"/>
    <row r="308" s="21" customFormat="1" ht="12.75"/>
    <row r="309" s="21" customFormat="1" ht="12.75"/>
    <row r="310" s="21" customFormat="1" ht="12.75"/>
    <row r="311" s="21" customFormat="1" ht="12.75"/>
    <row r="312" s="21" customFormat="1" ht="12.75"/>
    <row r="313" s="21" customFormat="1" ht="12.75"/>
    <row r="314" s="21" customFormat="1" ht="12.75"/>
    <row r="315" s="21" customFormat="1" ht="12.75"/>
    <row r="316" s="21" customFormat="1" ht="12.75"/>
    <row r="317" s="21" customFormat="1" ht="12.75"/>
    <row r="318" s="21" customFormat="1" ht="12.75"/>
    <row r="319" s="21" customFormat="1" ht="12.75"/>
    <row r="320" s="21" customFormat="1" ht="12.75"/>
    <row r="321" s="21" customFormat="1" ht="12.75"/>
    <row r="322" s="21" customFormat="1" ht="12.75"/>
    <row r="323" s="21" customFormat="1" ht="12.75"/>
    <row r="324" s="21" customFormat="1" ht="12.75"/>
    <row r="325" s="21" customFormat="1" ht="12.75"/>
    <row r="326" s="21" customFormat="1" ht="12.75"/>
    <row r="327" s="21" customFormat="1" ht="12.75"/>
    <row r="328" s="21" customFormat="1" ht="12.75"/>
    <row r="329" s="21" customFormat="1" ht="12.75"/>
    <row r="330" s="21" customFormat="1" ht="12.75"/>
    <row r="331" s="21" customFormat="1" ht="12.75"/>
    <row r="332" s="21" customFormat="1" ht="12.75"/>
    <row r="333" s="21" customFormat="1" ht="12.75"/>
    <row r="334" s="21" customFormat="1" ht="12.75"/>
    <row r="335" s="21" customFormat="1" ht="12.75"/>
    <row r="336" s="21" customFormat="1" ht="12.75"/>
    <row r="337" s="21" customFormat="1" ht="12.75"/>
    <row r="338" s="21" customFormat="1" ht="12.75"/>
    <row r="339" s="21" customFormat="1" ht="12.75"/>
    <row r="340" s="21" customFormat="1" ht="12.75"/>
    <row r="341" s="21" customFormat="1" ht="12.75"/>
    <row r="342" s="21" customFormat="1" ht="12.75"/>
    <row r="343" s="21" customFormat="1" ht="12.75"/>
    <row r="344" s="21" customFormat="1" ht="12.75"/>
    <row r="345" s="21" customFormat="1" ht="12.75"/>
    <row r="346" s="21" customFormat="1" ht="12.75"/>
    <row r="347" s="21" customFormat="1" ht="12.75"/>
    <row r="348" s="21" customFormat="1" ht="12.75"/>
    <row r="349" s="21" customFormat="1" ht="12.75"/>
    <row r="350" s="21" customFormat="1" ht="12.75"/>
    <row r="351" s="21" customFormat="1" ht="12.75"/>
    <row r="352" s="21" customFormat="1" ht="12.75"/>
    <row r="353" s="21" customFormat="1" ht="12.75"/>
    <row r="354" s="21" customFormat="1" ht="12.75"/>
    <row r="355" s="21" customFormat="1" ht="12.75"/>
    <row r="356" s="21" customFormat="1" ht="12.75"/>
    <row r="357" s="21" customFormat="1" ht="12.75"/>
    <row r="358" s="21" customFormat="1" ht="12.75"/>
    <row r="359" s="21" customFormat="1" ht="12.75"/>
    <row r="360" s="21" customFormat="1" ht="12.75"/>
    <row r="361" s="21" customFormat="1" ht="12.75"/>
    <row r="362" s="21" customFormat="1" ht="12.75"/>
    <row r="363" s="21" customFormat="1" ht="12.75"/>
    <row r="364" s="21" customFormat="1" ht="12.75"/>
    <row r="365" s="21" customFormat="1" ht="12.75"/>
    <row r="366" s="21" customFormat="1" ht="12.75"/>
    <row r="367" s="21" customFormat="1" ht="12.75"/>
    <row r="368" s="21" customFormat="1" ht="12.75"/>
    <row r="369" s="21" customFormat="1" ht="12.75"/>
    <row r="370" s="21" customFormat="1" ht="12.75"/>
    <row r="371" s="21" customFormat="1" ht="12.75"/>
    <row r="372" s="21" customFormat="1" ht="12.75"/>
    <row r="373" s="21" customFormat="1" ht="12.75"/>
    <row r="374" s="21" customFormat="1" ht="12.75"/>
    <row r="375" s="21" customFormat="1" ht="12.75"/>
    <row r="376" s="21" customFormat="1" ht="12.75"/>
    <row r="377" s="21" customFormat="1" ht="12.75"/>
    <row r="378" s="21" customFormat="1" ht="12.75"/>
    <row r="379" s="21" customFormat="1" ht="12.75"/>
    <row r="380" s="21" customFormat="1" ht="12.75"/>
    <row r="381" s="21" customFormat="1" ht="12.75"/>
    <row r="382" s="21" customFormat="1" ht="12.75"/>
    <row r="383" s="21" customFormat="1" ht="12.75"/>
    <row r="384" s="21" customFormat="1" ht="12.75"/>
    <row r="385" s="21" customFormat="1" ht="12.75"/>
    <row r="386" s="21" customFormat="1" ht="12.75"/>
    <row r="387" s="21" customFormat="1" ht="12.75"/>
    <row r="388" s="21" customFormat="1" ht="12.75"/>
    <row r="389" s="21" customFormat="1" ht="12.75"/>
    <row r="390" s="21" customFormat="1" ht="12.75"/>
    <row r="391" s="21" customFormat="1" ht="12.75"/>
    <row r="392" s="21" customFormat="1" ht="12.75"/>
    <row r="393" s="21" customFormat="1" ht="12.75"/>
    <row r="394" s="21" customFormat="1" ht="12.75"/>
    <row r="395" s="21" customFormat="1" ht="12.75"/>
    <row r="396" s="21" customFormat="1" ht="12.75"/>
    <row r="397" s="21" customFormat="1" ht="12.75"/>
    <row r="398" s="21" customFormat="1" ht="12.75"/>
    <row r="399" s="21" customFormat="1" ht="12.75"/>
    <row r="400" s="21" customFormat="1" ht="12.75"/>
    <row r="401" s="21" customFormat="1" ht="12.75"/>
    <row r="402" s="21" customFormat="1" ht="12.75"/>
    <row r="403" s="21" customFormat="1" ht="12.75"/>
    <row r="404" s="21" customFormat="1" ht="12.75"/>
    <row r="405" s="21" customFormat="1" ht="12.75"/>
    <row r="406" s="21" customFormat="1" ht="12.75"/>
    <row r="407" s="21" customFormat="1" ht="12.75"/>
    <row r="408" s="21" customFormat="1" ht="12.75"/>
    <row r="409" s="21" customFormat="1" ht="12.75"/>
    <row r="410" s="21" customFormat="1" ht="12.75"/>
    <row r="411" s="21" customFormat="1" ht="12.75"/>
    <row r="412" s="21" customFormat="1" ht="12.75"/>
    <row r="413" s="21" customFormat="1" ht="12.75"/>
    <row r="414" s="21" customFormat="1" ht="12.75"/>
    <row r="415" s="21" customFormat="1" ht="12.75"/>
    <row r="416" s="21" customFormat="1" ht="12.75"/>
    <row r="417" s="21" customFormat="1" ht="12.75"/>
    <row r="418" s="21" customFormat="1" ht="12.75"/>
    <row r="419" s="21" customFormat="1" ht="12.75"/>
    <row r="420" s="21" customFormat="1" ht="12.75"/>
    <row r="421" s="21" customFormat="1" ht="12.75"/>
    <row r="422" s="21" customFormat="1" ht="12.75"/>
    <row r="423" s="21" customFormat="1" ht="12.75"/>
    <row r="424" s="21" customFormat="1" ht="12.75"/>
    <row r="425" s="21" customFormat="1" ht="12.75"/>
    <row r="426" s="21" customFormat="1" ht="12.75"/>
    <row r="427" s="21" customFormat="1" ht="12.75"/>
    <row r="428" s="21" customFormat="1" ht="12.75"/>
    <row r="429" s="21" customFormat="1" ht="12.75"/>
    <row r="430" s="21" customFormat="1" ht="12.75"/>
    <row r="431" s="21" customFormat="1" ht="12.75"/>
    <row r="432" s="21" customFormat="1" ht="12.75"/>
    <row r="433" s="21" customFormat="1" ht="12.75"/>
    <row r="434" s="21" customFormat="1" ht="12.75"/>
    <row r="435" s="21" customFormat="1" ht="12.75"/>
    <row r="436" s="21" customFormat="1" ht="12.75"/>
    <row r="437" s="21" customFormat="1" ht="12.75"/>
    <row r="438" s="21" customFormat="1" ht="12.75"/>
    <row r="439" s="21" customFormat="1" ht="12.75"/>
    <row r="440" s="21" customFormat="1" ht="12.75"/>
    <row r="441" s="21" customFormat="1" ht="12.75"/>
    <row r="442" s="21" customFormat="1" ht="12.75"/>
    <row r="443" s="21" customFormat="1" ht="12.75"/>
    <row r="444" s="21" customFormat="1" ht="12.75"/>
    <row r="445" s="21" customFormat="1" ht="12.75"/>
    <row r="446" s="21" customFormat="1" ht="12.75"/>
    <row r="447" s="21" customFormat="1" ht="12.75"/>
    <row r="448" s="21" customFormat="1" ht="12.75"/>
    <row r="449" s="21" customFormat="1" ht="12.75"/>
    <row r="450" s="21" customFormat="1" ht="12.75"/>
    <row r="451" s="21" customFormat="1" ht="12.75"/>
    <row r="452" s="21" customFormat="1" ht="12.75"/>
    <row r="453" s="21" customFormat="1" ht="12.75"/>
    <row r="454" s="21" customFormat="1" ht="12.75"/>
    <row r="455" s="21" customFormat="1" ht="12.75"/>
    <row r="456" s="21" customFormat="1" ht="12.75"/>
    <row r="457" s="21" customFormat="1" ht="12.75"/>
    <row r="458" s="21" customFormat="1" ht="12.75"/>
    <row r="459" s="21" customFormat="1" ht="12.75"/>
    <row r="460" s="21" customFormat="1" ht="12.75"/>
    <row r="461" s="21" customFormat="1" ht="12.75"/>
    <row r="462" s="21" customFormat="1" ht="12.75"/>
    <row r="463" s="21" customFormat="1" ht="12.75"/>
    <row r="464" s="21" customFormat="1" ht="12.75"/>
    <row r="465" s="21" customFormat="1" ht="12.75"/>
    <row r="466" s="21" customFormat="1" ht="12.75"/>
    <row r="467" s="21" customFormat="1" ht="12.75"/>
    <row r="468" s="21" customFormat="1" ht="12.75"/>
    <row r="469" s="21" customFormat="1" ht="12.75"/>
    <row r="470" s="21" customFormat="1" ht="12.75"/>
    <row r="471" s="21" customFormat="1" ht="12.75"/>
    <row r="472" s="21" customFormat="1" ht="12.75"/>
    <row r="473" s="21" customFormat="1" ht="12.75"/>
    <row r="474" s="21" customFormat="1" ht="12.75"/>
    <row r="475" s="21" customFormat="1" ht="12.75"/>
    <row r="476" s="21" customFormat="1" ht="12.75"/>
    <row r="477" s="21" customFormat="1" ht="12.75"/>
    <row r="478" s="21" customFormat="1" ht="12.75"/>
    <row r="479" s="21" customFormat="1" ht="12.75"/>
    <row r="480" s="21" customFormat="1" ht="12.75"/>
    <row r="481" s="21" customFormat="1" ht="12.75"/>
    <row r="482" s="21" customFormat="1" ht="12.75"/>
    <row r="483" s="21" customFormat="1" ht="12.75"/>
    <row r="484" s="21" customFormat="1" ht="12.75"/>
    <row r="485" s="21" customFormat="1" ht="12.75"/>
    <row r="486" s="21" customFormat="1" ht="12.75"/>
    <row r="487" s="21" customFormat="1" ht="12.75"/>
    <row r="488" s="21" customFormat="1" ht="12.75"/>
    <row r="489" s="21" customFormat="1" ht="12.75"/>
    <row r="490" s="21" customFormat="1" ht="12.75"/>
    <row r="491" s="21" customFormat="1" ht="12.75"/>
    <row r="492" s="21" customFormat="1" ht="12.75"/>
    <row r="493" s="21" customFormat="1" ht="12.75"/>
    <row r="494" s="21" customFormat="1" ht="12.75"/>
    <row r="495" s="21" customFormat="1" ht="12.75"/>
    <row r="496" s="21" customFormat="1" ht="12.75"/>
    <row r="497" s="21" customFormat="1" ht="12.75"/>
    <row r="498" s="21" customFormat="1" ht="12.75"/>
    <row r="499" s="21" customFormat="1" ht="12.75"/>
    <row r="500" s="21" customFormat="1" ht="12.75"/>
    <row r="501" s="21" customFormat="1" ht="12.75"/>
    <row r="502" s="21" customFormat="1" ht="12.75"/>
    <row r="503" s="21" customFormat="1" ht="12.75"/>
    <row r="504" s="21" customFormat="1" ht="12.75"/>
    <row r="505" s="21" customFormat="1" ht="12.75"/>
    <row r="506" s="21" customFormat="1" ht="12.75"/>
    <row r="507" s="21" customFormat="1" ht="12.75"/>
    <row r="508" s="21" customFormat="1" ht="12.75"/>
    <row r="509" s="21" customFormat="1" ht="12.75"/>
    <row r="510" s="21" customFormat="1" ht="12.75"/>
    <row r="511" s="21" customFormat="1" ht="12.75"/>
    <row r="512" s="21" customFormat="1" ht="12.75"/>
    <row r="513" s="21" customFormat="1" ht="12.75"/>
    <row r="514" s="21" customFormat="1" ht="12.75"/>
    <row r="515" s="21" customFormat="1" ht="12.75"/>
    <row r="516" s="21" customFormat="1" ht="12.75"/>
    <row r="517" s="21" customFormat="1" ht="12.75"/>
    <row r="518" s="21" customFormat="1" ht="12.75"/>
    <row r="519" s="21" customFormat="1" ht="12.75"/>
    <row r="520" s="21" customFormat="1" ht="12.75"/>
    <row r="521" s="21" customFormat="1" ht="12.75"/>
    <row r="522" s="21" customFormat="1" ht="12.75"/>
    <row r="523" s="21" customFormat="1" ht="12.75"/>
    <row r="524" s="21" customFormat="1" ht="12.75"/>
    <row r="525" s="21" customFormat="1" ht="12.75"/>
    <row r="526" s="21" customFormat="1" ht="12.75"/>
    <row r="527" s="21" customFormat="1" ht="12.75"/>
    <row r="528" s="21" customFormat="1" ht="12.75"/>
    <row r="529" s="21" customFormat="1" ht="12.75"/>
    <row r="530" s="21" customFormat="1" ht="12.75"/>
    <row r="531" s="21" customFormat="1" ht="12.75"/>
    <row r="532" s="21" customFormat="1" ht="12.75"/>
    <row r="533" s="21" customFormat="1" ht="12.75"/>
    <row r="534" s="21" customFormat="1" ht="12.75"/>
    <row r="535" s="21" customFormat="1" ht="12.75"/>
    <row r="536" s="21" customFormat="1" ht="12.75"/>
    <row r="537" s="21" customFormat="1" ht="12.75"/>
    <row r="538" s="21" customFormat="1" ht="12.75"/>
    <row r="539" s="21" customFormat="1" ht="12.75"/>
    <row r="540" s="21" customFormat="1" ht="12.75"/>
    <row r="541" s="21" customFormat="1" ht="12.75"/>
    <row r="542" s="21" customFormat="1" ht="12.75"/>
    <row r="543" s="21" customFormat="1" ht="12.75"/>
    <row r="544" s="21" customFormat="1" ht="12.75"/>
    <row r="545" s="21" customFormat="1" ht="12.75"/>
    <row r="546" s="21" customFormat="1" ht="12.75"/>
    <row r="547" s="21" customFormat="1" ht="12.75"/>
    <row r="548" s="21" customFormat="1" ht="12.75"/>
    <row r="549" s="21" customFormat="1" ht="12.75"/>
    <row r="550" s="21" customFormat="1" ht="12.75"/>
    <row r="551" s="21" customFormat="1" ht="12.75"/>
    <row r="552" s="21" customFormat="1" ht="12.75"/>
    <row r="553" s="21" customFormat="1" ht="12.75"/>
    <row r="554" s="21" customFormat="1" ht="12.75"/>
    <row r="555" s="21" customFormat="1" ht="12.75"/>
    <row r="556" s="21" customFormat="1" ht="12.75"/>
    <row r="557" s="21" customFormat="1" ht="12.75"/>
    <row r="558" s="21" customFormat="1" ht="12.75"/>
    <row r="559" s="21" customFormat="1" ht="12.75"/>
    <row r="560" s="21" customFormat="1" ht="12.75"/>
    <row r="561" s="21" customFormat="1" ht="12.75"/>
    <row r="562" s="21" customFormat="1" ht="12.75"/>
    <row r="563" s="21" customFormat="1" ht="12.75"/>
    <row r="564" s="21" customFormat="1" ht="12.75"/>
    <row r="565" s="21" customFormat="1" ht="12.75"/>
    <row r="566" s="21" customFormat="1" ht="12.75"/>
    <row r="567" s="21" customFormat="1" ht="12.75"/>
    <row r="568" s="21" customFormat="1" ht="12.75"/>
    <row r="569" s="21" customFormat="1" ht="12.75"/>
    <row r="570" s="21" customFormat="1" ht="12.75"/>
    <row r="571" s="21" customFormat="1" ht="12.75"/>
    <row r="572" s="21" customFormat="1" ht="12.75"/>
    <row r="573" s="21" customFormat="1" ht="12.75"/>
    <row r="574" s="21" customFormat="1" ht="12.75"/>
    <row r="575" s="21" customFormat="1" ht="12.75"/>
    <row r="576" s="21" customFormat="1" ht="12.75"/>
    <row r="577" s="21" customFormat="1" ht="12.75"/>
    <row r="578" s="21" customFormat="1" ht="12.75"/>
    <row r="579" s="21" customFormat="1" ht="12.75"/>
    <row r="580" s="21" customFormat="1" ht="12.75"/>
    <row r="581" s="21" customFormat="1" ht="12.75"/>
    <row r="582" s="21" customFormat="1" ht="12.75"/>
    <row r="583" s="21" customFormat="1" ht="12.75"/>
    <row r="584" s="21" customFormat="1" ht="12.75"/>
    <row r="585" s="21" customFormat="1" ht="12.75"/>
    <row r="586" s="21" customFormat="1" ht="12.75"/>
    <row r="587" s="21" customFormat="1" ht="12.75"/>
    <row r="588" s="21" customFormat="1" ht="12.75"/>
    <row r="589" s="21" customFormat="1" ht="12.75"/>
    <row r="590" s="21" customFormat="1" ht="12.75"/>
    <row r="591" s="21" customFormat="1" ht="12.75"/>
    <row r="592" s="21" customFormat="1" ht="12.75"/>
    <row r="593" s="21" customFormat="1" ht="12.75"/>
    <row r="594" s="21" customFormat="1" ht="12.75"/>
    <row r="595" s="21" customFormat="1" ht="12.75"/>
    <row r="596" s="21" customFormat="1" ht="12.75"/>
    <row r="597" s="21" customFormat="1" ht="12.75"/>
    <row r="598" s="21" customFormat="1" ht="12.75"/>
    <row r="599" s="21" customFormat="1" ht="12.75"/>
    <row r="600" s="21" customFormat="1" ht="12.75"/>
    <row r="601" s="21" customFormat="1" ht="12.75"/>
    <row r="602" s="21" customFormat="1" ht="12.75"/>
    <row r="603" s="21" customFormat="1" ht="12.75"/>
    <row r="604" s="21" customFormat="1" ht="12.75"/>
    <row r="605" s="21" customFormat="1" ht="12.75"/>
    <row r="606" s="21" customFormat="1" ht="12.75"/>
    <row r="607" s="21" customFormat="1" ht="12.75"/>
    <row r="608" s="21" customFormat="1" ht="12.75"/>
    <row r="609" s="21" customFormat="1" ht="12.75"/>
    <row r="610" s="21" customFormat="1" ht="12.75"/>
    <row r="611" s="21" customFormat="1" ht="12.75"/>
    <row r="612" s="21" customFormat="1" ht="12.75"/>
    <row r="613" s="21" customFormat="1" ht="12.75"/>
    <row r="614" s="21" customFormat="1" ht="12.75"/>
    <row r="615" s="21" customFormat="1" ht="12.75"/>
    <row r="616" s="21" customFormat="1" ht="12.75"/>
    <row r="617" s="21" customFormat="1" ht="12.75"/>
    <row r="618" s="21" customFormat="1" ht="12.75"/>
    <row r="619" s="21" customFormat="1" ht="12.75"/>
    <row r="620" s="21" customFormat="1" ht="12.75"/>
    <row r="621" s="21" customFormat="1" ht="12.75"/>
    <row r="622" s="21" customFormat="1" ht="12.75"/>
    <row r="623" s="21" customFormat="1" ht="12.75"/>
    <row r="624" s="21" customFormat="1" ht="12.75"/>
    <row r="625" s="21" customFormat="1" ht="12.75"/>
    <row r="626" s="21" customFormat="1" ht="12.75"/>
    <row r="627" s="21" customFormat="1" ht="12.75"/>
    <row r="628" s="21" customFormat="1" ht="12.75"/>
    <row r="629" s="21" customFormat="1" ht="12.75"/>
    <row r="630" s="21" customFormat="1" ht="12.75"/>
    <row r="631" s="21" customFormat="1" ht="12.75"/>
    <row r="632" s="21" customFormat="1" ht="12.75"/>
    <row r="633" s="21" customFormat="1" ht="12.75"/>
    <row r="634" s="21" customFormat="1" ht="12.75"/>
    <row r="635" s="21" customFormat="1" ht="12.75"/>
    <row r="636" s="21" customFormat="1" ht="12.75"/>
    <row r="637" s="21" customFormat="1" ht="12.75"/>
    <row r="638" s="21" customFormat="1" ht="12.75"/>
    <row r="639" s="21" customFormat="1" ht="12.75"/>
    <row r="640" s="21" customFormat="1" ht="12.75"/>
    <row r="641" s="21" customFormat="1" ht="12.75"/>
    <row r="642" s="21" customFormat="1" ht="12.75"/>
    <row r="643" s="21" customFormat="1" ht="12.75"/>
    <row r="644" s="21" customFormat="1" ht="12.75"/>
    <row r="645" s="21" customFormat="1" ht="12.75"/>
    <row r="646" s="21" customFormat="1" ht="12.75"/>
    <row r="647" s="21" customFormat="1" ht="12.75"/>
    <row r="648" s="21" customFormat="1" ht="12.75"/>
    <row r="649" s="21" customFormat="1" ht="12.75"/>
    <row r="650" s="21" customFormat="1" ht="12.75"/>
    <row r="651" s="21" customFormat="1" ht="12.75"/>
    <row r="652" s="21" customFormat="1" ht="12.75"/>
    <row r="653" s="21" customFormat="1" ht="12.75"/>
    <row r="654" s="21" customFormat="1" ht="12.75"/>
    <row r="655" s="21" customFormat="1" ht="12.75"/>
    <row r="656" s="21" customFormat="1" ht="12.75"/>
    <row r="657" s="21" customFormat="1" ht="12.75"/>
    <row r="658" s="21" customFormat="1" ht="12.75"/>
    <row r="659" s="21" customFormat="1" ht="12.75"/>
    <row r="660" s="21" customFormat="1" ht="12.75"/>
    <row r="661" s="21" customFormat="1" ht="12.75"/>
    <row r="662" s="21" customFormat="1" ht="12.75"/>
    <row r="663" s="21" customFormat="1" ht="12.75"/>
    <row r="664" s="21" customFormat="1" ht="12.75"/>
    <row r="665" s="21" customFormat="1" ht="12.75"/>
    <row r="666" s="21" customFormat="1" ht="12.75"/>
    <row r="667" s="21" customFormat="1" ht="12.75"/>
    <row r="668" s="21" customFormat="1" ht="12.75"/>
    <row r="669" s="21" customFormat="1" ht="12.75"/>
    <row r="670" s="21" customFormat="1" ht="12.75"/>
    <row r="671" s="21" customFormat="1" ht="12.75"/>
    <row r="672" s="21" customFormat="1" ht="12.75"/>
    <row r="673" s="21" customFormat="1" ht="12.75"/>
    <row r="674" s="21" customFormat="1" ht="12.75"/>
    <row r="675" s="21" customFormat="1" ht="12.75"/>
    <row r="676" s="21" customFormat="1" ht="12.75"/>
    <row r="677" s="21" customFormat="1" ht="12.75"/>
    <row r="678" s="21" customFormat="1" ht="12.75"/>
    <row r="679" s="21" customFormat="1" ht="12.75"/>
    <row r="680" s="21" customFormat="1" ht="12.75"/>
    <row r="681" s="21" customFormat="1" ht="12.75"/>
    <row r="682" s="21" customFormat="1" ht="12.75"/>
    <row r="683" s="21" customFormat="1" ht="12.75"/>
    <row r="684" s="21" customFormat="1" ht="12.75"/>
    <row r="685" s="21" customFormat="1" ht="12.75"/>
    <row r="686" s="21" customFormat="1" ht="12.75"/>
    <row r="687" s="21" customFormat="1" ht="12.75"/>
    <row r="688" s="21" customFormat="1" ht="12.75"/>
    <row r="689" s="21" customFormat="1" ht="12.75"/>
    <row r="690" s="21" customFormat="1" ht="12.75"/>
    <row r="691" s="21" customFormat="1" ht="12.75"/>
    <row r="692" s="21" customFormat="1" ht="12.75"/>
    <row r="693" s="21" customFormat="1" ht="12.75"/>
    <row r="694" s="21" customFormat="1" ht="12.75"/>
    <row r="695" s="21" customFormat="1" ht="12.75"/>
    <row r="696" s="21" customFormat="1" ht="12.75"/>
    <row r="697" s="21" customFormat="1" ht="12.75"/>
    <row r="698" s="21" customFormat="1" ht="12.75"/>
    <row r="699" s="21" customFormat="1" ht="12.75"/>
    <row r="700" s="21" customFormat="1" ht="12.75"/>
    <row r="701" s="21" customFormat="1" ht="12.75"/>
    <row r="702" s="21" customFormat="1" ht="12.75"/>
    <row r="703" s="21" customFormat="1" ht="12.75"/>
    <row r="704" s="21" customFormat="1" ht="12.75"/>
    <row r="705" s="21" customFormat="1" ht="12.75"/>
    <row r="706" s="21" customFormat="1" ht="12.75"/>
    <row r="707" s="21" customFormat="1" ht="12.75"/>
    <row r="708" s="21" customFormat="1" ht="12.75"/>
    <row r="709" s="21" customFormat="1" ht="12.75"/>
    <row r="710" s="21" customFormat="1" ht="12.75"/>
    <row r="711" s="21" customFormat="1" ht="12.75"/>
    <row r="712" s="21" customFormat="1" ht="12.75"/>
    <row r="713" s="21" customFormat="1" ht="12.75"/>
    <row r="714" s="21" customFormat="1" ht="12.75"/>
    <row r="715" s="21" customFormat="1" ht="12.75"/>
    <row r="716" s="21" customFormat="1" ht="12.75"/>
    <row r="717" s="21" customFormat="1" ht="12.75"/>
    <row r="718" s="21" customFormat="1" ht="12.75"/>
    <row r="719" s="21" customFormat="1" ht="12.75"/>
    <row r="720" s="21" customFormat="1" ht="12.75"/>
    <row r="721" s="21" customFormat="1" ht="12.75"/>
    <row r="722" s="21" customFormat="1" ht="12.75"/>
    <row r="723" s="21" customFormat="1" ht="12.75"/>
    <row r="724" s="21" customFormat="1" ht="12.75"/>
    <row r="725" s="21" customFormat="1" ht="12.75"/>
    <row r="726" s="21" customFormat="1" ht="12.75"/>
    <row r="727" s="21" customFormat="1" ht="12.75"/>
    <row r="728" s="21" customFormat="1" ht="12.75"/>
    <row r="729" s="21" customFormat="1" ht="12.75"/>
    <row r="730" s="21" customFormat="1" ht="12.75"/>
    <row r="731" s="21" customFormat="1" ht="12.75"/>
    <row r="732" s="21" customFormat="1" ht="12.75"/>
    <row r="733" s="21" customFormat="1" ht="12.75"/>
    <row r="734" s="21" customFormat="1" ht="12.75"/>
    <row r="735" s="21" customFormat="1" ht="12.75"/>
    <row r="736" s="21" customFormat="1" ht="12.75"/>
    <row r="737" s="21" customFormat="1" ht="12.75"/>
    <row r="738" s="21" customFormat="1" ht="12.75"/>
    <row r="739" s="21" customFormat="1" ht="12.75"/>
    <row r="740" s="21" customFormat="1" ht="12.75"/>
    <row r="741" s="21" customFormat="1" ht="12.75"/>
    <row r="742" s="21" customFormat="1" ht="12.75"/>
    <row r="743" s="21" customFormat="1" ht="12.75"/>
    <row r="744" s="21" customFormat="1" ht="12.75"/>
    <row r="745" s="21" customFormat="1" ht="12.75"/>
    <row r="746" s="21" customFormat="1" ht="12.75"/>
    <row r="747" s="21" customFormat="1" ht="12.75"/>
    <row r="748" s="21" customFormat="1" ht="12.75"/>
    <row r="749" s="21" customFormat="1" ht="12.75"/>
    <row r="750" s="21" customFormat="1" ht="12.75"/>
    <row r="751" s="21" customFormat="1" ht="12.75"/>
    <row r="752" s="21" customFormat="1" ht="12.75"/>
    <row r="753" s="21" customFormat="1" ht="12.75"/>
    <row r="754" s="21" customFormat="1" ht="12.75"/>
    <row r="755" s="21" customFormat="1" ht="12.75"/>
    <row r="756" s="21" customFormat="1" ht="12.75"/>
    <row r="757" s="21" customFormat="1" ht="12.75"/>
    <row r="758" s="21" customFormat="1" ht="12.75"/>
    <row r="759" s="21" customFormat="1" ht="12.75"/>
    <row r="760" s="21" customFormat="1" ht="12.75"/>
    <row r="761" s="21" customFormat="1" ht="12.75"/>
    <row r="762" s="21" customFormat="1" ht="12.75"/>
    <row r="763" s="21" customFormat="1" ht="12.75"/>
    <row r="764" s="21" customFormat="1" ht="12.75"/>
    <row r="765" s="21" customFormat="1" ht="12.75"/>
    <row r="766" s="21" customFormat="1" ht="12.75"/>
    <row r="767" s="21" customFormat="1" ht="12.75"/>
    <row r="768" s="21" customFormat="1" ht="12.75"/>
    <row r="769" s="21" customFormat="1" ht="12.75"/>
    <row r="770" s="21" customFormat="1" ht="12.75"/>
    <row r="771" s="21" customFormat="1" ht="12.75"/>
    <row r="772" s="21" customFormat="1" ht="12.75"/>
    <row r="773" s="21" customFormat="1" ht="12.75"/>
    <row r="774" s="21" customFormat="1" ht="12.75"/>
    <row r="775" s="21" customFormat="1" ht="12.75"/>
    <row r="776" s="21" customFormat="1" ht="12.75"/>
    <row r="777" s="21" customFormat="1" ht="12.75"/>
    <row r="778" s="21" customFormat="1" ht="12.75"/>
    <row r="779" s="21" customFormat="1" ht="12.75"/>
    <row r="780" s="21" customFormat="1" ht="12.75"/>
    <row r="781" s="21" customFormat="1" ht="12.75"/>
    <row r="782" s="21" customFormat="1" ht="12.75"/>
    <row r="783" s="21" customFormat="1" ht="12.75"/>
    <row r="784" s="21" customFormat="1" ht="12.75"/>
    <row r="785" s="21" customFormat="1" ht="12.75"/>
    <row r="786" s="21" customFormat="1" ht="12.75"/>
    <row r="787" s="21" customFormat="1" ht="12.75"/>
    <row r="788" s="21" customFormat="1" ht="12.75"/>
    <row r="789" s="21" customFormat="1" ht="12.75"/>
    <row r="790" s="21" customFormat="1" ht="12.75"/>
    <row r="791" s="21" customFormat="1" ht="12.75"/>
    <row r="792" s="21" customFormat="1" ht="12.75"/>
    <row r="793" s="21" customFormat="1" ht="12.75"/>
    <row r="794" s="21" customFormat="1" ht="12.75"/>
    <row r="795" s="21" customFormat="1" ht="12.75"/>
    <row r="796" s="21" customFormat="1" ht="12.75"/>
    <row r="797" s="21" customFormat="1" ht="12.75"/>
    <row r="798" s="21" customFormat="1" ht="12.75"/>
    <row r="799" s="21" customFormat="1" ht="12.75"/>
    <row r="800" s="21" customFormat="1" ht="12.75"/>
    <row r="801" s="21" customFormat="1" ht="12.75"/>
    <row r="802" s="21" customFormat="1" ht="12.75"/>
    <row r="803" s="21" customFormat="1" ht="12.75"/>
    <row r="804" s="21" customFormat="1" ht="12.75"/>
    <row r="805" s="21" customFormat="1" ht="12.75"/>
    <row r="806" s="21" customFormat="1" ht="12.75"/>
    <row r="807" s="21" customFormat="1" ht="12.75"/>
    <row r="808" s="21" customFormat="1" ht="12.75"/>
    <row r="809" s="21" customFormat="1" ht="12.75"/>
    <row r="810" s="21" customFormat="1" ht="12.75"/>
    <row r="811" s="21" customFormat="1" ht="12.75"/>
    <row r="812" s="21" customFormat="1" ht="12.75"/>
    <row r="813" s="21" customFormat="1" ht="12.75"/>
    <row r="814" s="21" customFormat="1" ht="12.75"/>
    <row r="815" s="21" customFormat="1" ht="12.75"/>
    <row r="816" s="21" customFormat="1" ht="12.75"/>
    <row r="817" s="21" customFormat="1" ht="12.75"/>
    <row r="818" s="21" customFormat="1" ht="12.75"/>
    <row r="819" s="21" customFormat="1" ht="12.75"/>
    <row r="820" s="21" customFormat="1" ht="12.75"/>
    <row r="821" s="21" customFormat="1" ht="12.75"/>
    <row r="822" s="21" customFormat="1" ht="12.75"/>
    <row r="823" s="21" customFormat="1" ht="12.75"/>
    <row r="824" s="21" customFormat="1" ht="12.75"/>
    <row r="825" s="21" customFormat="1" ht="12.75"/>
    <row r="826" s="21" customFormat="1" ht="12.75"/>
    <row r="827" s="21" customFormat="1" ht="12.75"/>
    <row r="828" s="21" customFormat="1" ht="12.75"/>
    <row r="829" s="21" customFormat="1" ht="12.75"/>
    <row r="830" s="21" customFormat="1" ht="12.75"/>
    <row r="831" s="21" customFormat="1" ht="12.75"/>
    <row r="832" s="21" customFormat="1" ht="12.75"/>
    <row r="833" s="21" customFormat="1" ht="12.75"/>
    <row r="834" s="21" customFormat="1" ht="12.75"/>
    <row r="835" s="21" customFormat="1" ht="12.75"/>
    <row r="836" s="21" customFormat="1" ht="12.75"/>
    <row r="837" s="21" customFormat="1" ht="12.75"/>
    <row r="838" s="21" customFormat="1" ht="12.75"/>
    <row r="839" s="21" customFormat="1" ht="12.75"/>
    <row r="840" s="21" customFormat="1" ht="12.75"/>
    <row r="841" s="21" customFormat="1" ht="12.75"/>
    <row r="842" s="21" customFormat="1" ht="12.75"/>
    <row r="843" s="21" customFormat="1" ht="12.75"/>
    <row r="844" s="21" customFormat="1" ht="12.75"/>
    <row r="845" s="21" customFormat="1" ht="12.75"/>
    <row r="846" s="21" customFormat="1" ht="12.75"/>
    <row r="847" s="21" customFormat="1" ht="12.75"/>
    <row r="848" s="21" customFormat="1" ht="12.75"/>
    <row r="849" s="21" customFormat="1" ht="12.75"/>
    <row r="850" s="21" customFormat="1" ht="12.75"/>
    <row r="851" s="21" customFormat="1" ht="12.75"/>
    <row r="852" s="21" customFormat="1" ht="12.75"/>
    <row r="853" s="21" customFormat="1" ht="12.75"/>
    <row r="854" s="21" customFormat="1" ht="12.75"/>
    <row r="855" s="21" customFormat="1" ht="12.75"/>
    <row r="856" s="21" customFormat="1" ht="12.75"/>
    <row r="857" s="21" customFormat="1" ht="12.75"/>
    <row r="858" s="21" customFormat="1" ht="12.75"/>
    <row r="859" s="21" customFormat="1" ht="12.75"/>
    <row r="860" s="21" customFormat="1" ht="12.75"/>
    <row r="861" s="21" customFormat="1" ht="12.75"/>
    <row r="862" s="21" customFormat="1" ht="12.75"/>
    <row r="863" s="21" customFormat="1" ht="12.75"/>
    <row r="864" s="21" customFormat="1" ht="12.75"/>
    <row r="865" s="21" customFormat="1" ht="12.75"/>
    <row r="866" s="21" customFormat="1" ht="12.75"/>
    <row r="867" s="21" customFormat="1" ht="12.75"/>
    <row r="868" s="21" customFormat="1" ht="12.75"/>
    <row r="869" s="21" customFormat="1" ht="12.75"/>
    <row r="870" s="21" customFormat="1" ht="12.75"/>
    <row r="871" s="21" customFormat="1" ht="12.75"/>
    <row r="872" s="21" customFormat="1" ht="12.75"/>
    <row r="873" s="21" customFormat="1" ht="12.75"/>
    <row r="874" s="21" customFormat="1" ht="12.75"/>
    <row r="875" s="21" customFormat="1" ht="12.75"/>
    <row r="876" s="21" customFormat="1" ht="12.75"/>
    <row r="877" s="21" customFormat="1" ht="12.75"/>
    <row r="878" s="21" customFormat="1" ht="12.75"/>
    <row r="879" s="21" customFormat="1" ht="12.75"/>
    <row r="880" s="21" customFormat="1" ht="12.75"/>
    <row r="881" s="21" customFormat="1" ht="12.75"/>
    <row r="882" s="21" customFormat="1" ht="12.75"/>
    <row r="883" s="21" customFormat="1" ht="12.75"/>
    <row r="884" s="21" customFormat="1" ht="12.75"/>
    <row r="885" s="21" customFormat="1" ht="12.75"/>
    <row r="886" s="21" customFormat="1" ht="12.75"/>
    <row r="887" s="21" customFormat="1" ht="12.75"/>
    <row r="888" s="21" customFormat="1" ht="12.75"/>
    <row r="889" s="21" customFormat="1" ht="12.75"/>
    <row r="890" s="21" customFormat="1" ht="12.75"/>
    <row r="891" s="21" customFormat="1" ht="12.75"/>
    <row r="892" s="21" customFormat="1" ht="12.75"/>
    <row r="893" s="21" customFormat="1" ht="12.75"/>
    <row r="894" s="21" customFormat="1" ht="12.75"/>
    <row r="895" s="21" customFormat="1" ht="12.75"/>
    <row r="896" s="21" customFormat="1" ht="12.75"/>
    <row r="897" s="21" customFormat="1" ht="12.75"/>
    <row r="898" s="21" customFormat="1" ht="12.75"/>
    <row r="899" s="21" customFormat="1" ht="12.75"/>
    <row r="900" s="21" customFormat="1" ht="12.75"/>
    <row r="901" s="21" customFormat="1" ht="12.75"/>
    <row r="902" s="21" customFormat="1" ht="12.75"/>
    <row r="903" s="21" customFormat="1" ht="12.75"/>
    <row r="904" s="21" customFormat="1" ht="12.75"/>
    <row r="905" s="21" customFormat="1" ht="12.75"/>
    <row r="906" s="21" customFormat="1" ht="12.75"/>
    <row r="907" s="21" customFormat="1" ht="12.75"/>
    <row r="908" s="21" customFormat="1" ht="12.75"/>
    <row r="909" s="21" customFormat="1" ht="12.75"/>
    <row r="910" s="21" customFormat="1" ht="12.75"/>
    <row r="911" s="21" customFormat="1" ht="12.75"/>
    <row r="912" s="21" customFormat="1" ht="12.75"/>
    <row r="913" s="21" customFormat="1" ht="12.75"/>
    <row r="914" s="21" customFormat="1" ht="12.75"/>
    <row r="915" s="21" customFormat="1" ht="12.75"/>
    <row r="916" s="21" customFormat="1" ht="12.75"/>
    <row r="917" s="21" customFormat="1" ht="12.75"/>
    <row r="918" s="21" customFormat="1" ht="12.75"/>
    <row r="919" s="21" customFormat="1" ht="12.75"/>
    <row r="920" s="21" customFormat="1" ht="12.75"/>
    <row r="921" s="21" customFormat="1" ht="12.75"/>
    <row r="922" s="21" customFormat="1" ht="12.75"/>
    <row r="923" s="21" customFormat="1" ht="12.75"/>
    <row r="924" s="21" customFormat="1" ht="12.75"/>
    <row r="925" s="21" customFormat="1" ht="12.75"/>
    <row r="926" s="21" customFormat="1" ht="12.75"/>
    <row r="927" s="21" customFormat="1" ht="12.75"/>
    <row r="928" s="21" customFormat="1" ht="12.75"/>
    <row r="929" s="21" customFormat="1" ht="12.75"/>
    <row r="930" s="21" customFormat="1" ht="12.75"/>
    <row r="931" s="21" customFormat="1" ht="12.75"/>
    <row r="932" s="21" customFormat="1" ht="12.75"/>
    <row r="933" s="21" customFormat="1" ht="12.75"/>
    <row r="934" s="21" customFormat="1" ht="12.75"/>
    <row r="935" s="21" customFormat="1" ht="12.75"/>
    <row r="936" s="21" customFormat="1" ht="12.75"/>
    <row r="937" s="21" customFormat="1" ht="12.75"/>
    <row r="938" s="21" customFormat="1" ht="12.75"/>
    <row r="939" s="21" customFormat="1" ht="12.75"/>
    <row r="940" s="21" customFormat="1" ht="12.75"/>
    <row r="941" s="21" customFormat="1" ht="12.75"/>
    <row r="942" s="21" customFormat="1" ht="12.75"/>
    <row r="943" s="21" customFormat="1" ht="12.75"/>
    <row r="944" s="21" customFormat="1" ht="12.75"/>
    <row r="945" s="21" customFormat="1" ht="12.75"/>
    <row r="946" s="21" customFormat="1" ht="12.75"/>
    <row r="947" s="21" customFormat="1" ht="12.75"/>
    <row r="948" s="21" customFormat="1" ht="12.75"/>
    <row r="949" s="21" customFormat="1" ht="12.75"/>
    <row r="950" s="21" customFormat="1" ht="12.75"/>
    <row r="951" s="21" customFormat="1" ht="12.75"/>
    <row r="952" s="21" customFormat="1" ht="12.75"/>
    <row r="953" s="21" customFormat="1" ht="12.75"/>
    <row r="954" s="21" customFormat="1" ht="12.75"/>
    <row r="955" s="21" customFormat="1" ht="12.75"/>
    <row r="956" s="21" customFormat="1" ht="12.75"/>
    <row r="957" s="21" customFormat="1" ht="12.75"/>
    <row r="958" s="21" customFormat="1" ht="12.75"/>
    <row r="959" s="21" customFormat="1" ht="12.75"/>
    <row r="960" s="21" customFormat="1" ht="12.75"/>
    <row r="961" s="21" customFormat="1" ht="12.75"/>
    <row r="962" s="21" customFormat="1" ht="12.75"/>
    <row r="963" s="21" customFormat="1" ht="12.75"/>
    <row r="964" s="21" customFormat="1" ht="12.75"/>
    <row r="965" s="21" customFormat="1" ht="12.75"/>
    <row r="966" s="21" customFormat="1" ht="12.75"/>
    <row r="967" s="21" customFormat="1" ht="12.75"/>
    <row r="968" s="21" customFormat="1" ht="12.75"/>
    <row r="969" s="21" customFormat="1" ht="12.75"/>
    <row r="970" s="21" customFormat="1" ht="12.75"/>
    <row r="971" s="21" customFormat="1" ht="12.75"/>
    <row r="972" s="21" customFormat="1" ht="12.75"/>
    <row r="973" s="21" customFormat="1" ht="12.75"/>
    <row r="974" s="21" customFormat="1" ht="12.75"/>
    <row r="975" s="21" customFormat="1" ht="12.75"/>
    <row r="976" s="21" customFormat="1" ht="12.75"/>
    <row r="977" s="21" customFormat="1" ht="12.75"/>
    <row r="978" s="21" customFormat="1" ht="12.75"/>
    <row r="979" s="21" customFormat="1" ht="12.75"/>
    <row r="980" s="21" customFormat="1" ht="12.75"/>
    <row r="981" s="21" customFormat="1" ht="12.75"/>
    <row r="982" s="21" customFormat="1" ht="12.75"/>
    <row r="983" s="21" customFormat="1" ht="12.75"/>
    <row r="984" s="21" customFormat="1" ht="12.75"/>
    <row r="985" s="21" customFormat="1" ht="12.75"/>
    <row r="986" s="21" customFormat="1" ht="12.75"/>
    <row r="987" s="21" customFormat="1" ht="12.75"/>
    <row r="988" s="21" customFormat="1" ht="12.75"/>
    <row r="989" s="21" customFormat="1" ht="12.75"/>
    <row r="990" s="21" customFormat="1" ht="12.75"/>
    <row r="991" s="21" customFormat="1" ht="12.75"/>
    <row r="992" s="21" customFormat="1" ht="12.75"/>
    <row r="993" s="21" customFormat="1" ht="12.75"/>
    <row r="994" s="21" customFormat="1" ht="12.75"/>
    <row r="995" s="21" customFormat="1" ht="12.75"/>
    <row r="996" s="21" customFormat="1" ht="12.75"/>
    <row r="997" s="21" customFormat="1" ht="12.75"/>
    <row r="998" s="21" customFormat="1" ht="12.75"/>
    <row r="999" s="21" customFormat="1" ht="12.75"/>
    <row r="1000" s="21" customFormat="1" ht="12.75"/>
    <row r="1001" s="21" customFormat="1" ht="12.75"/>
    <row r="1002" s="21" customFormat="1" ht="12.75"/>
    <row r="1003" s="21" customFormat="1" ht="12.75"/>
    <row r="1004" s="21" customFormat="1" ht="12.75"/>
    <row r="1005" s="21" customFormat="1" ht="12.75"/>
    <row r="1006" s="21" customFormat="1" ht="12.75"/>
    <row r="1007" s="21" customFormat="1" ht="12.75"/>
    <row r="1008" s="21" customFormat="1" ht="12.75"/>
    <row r="1009" s="21" customFormat="1" ht="12.75"/>
    <row r="1010" s="21" customFormat="1" ht="12.75"/>
    <row r="1011" s="21" customFormat="1" ht="12.75"/>
    <row r="1012" s="21" customFormat="1" ht="12.75"/>
    <row r="1013" s="21" customFormat="1" ht="12.75"/>
    <row r="1014" s="21" customFormat="1" ht="12.75"/>
    <row r="1015" s="21" customFormat="1" ht="12.75"/>
    <row r="1016" s="21" customFormat="1" ht="12.75"/>
    <row r="1017" s="21" customFormat="1" ht="12.75"/>
    <row r="1018" s="21" customFormat="1" ht="12.75"/>
    <row r="1019" s="21" customFormat="1" ht="12.75"/>
    <row r="1020" s="21" customFormat="1" ht="12.75"/>
    <row r="1021" s="21" customFormat="1" ht="12.75"/>
    <row r="1022" s="21" customFormat="1" ht="12.75"/>
    <row r="1023" s="21" customFormat="1" ht="12.75"/>
    <row r="1024" s="21" customFormat="1" ht="12.75"/>
    <row r="1025" s="21" customFormat="1" ht="12.75"/>
    <row r="1026" s="21" customFormat="1" ht="12.75"/>
    <row r="1027" s="21" customFormat="1" ht="12.75"/>
    <row r="1028" s="21" customFormat="1" ht="12.75"/>
    <row r="1029" s="21" customFormat="1" ht="12.75"/>
    <row r="1030" s="21" customFormat="1" ht="12.75"/>
    <row r="1031" s="21" customFormat="1" ht="12.75"/>
    <row r="1032" s="21" customFormat="1" ht="12.75"/>
    <row r="1033" s="21" customFormat="1" ht="12.75"/>
    <row r="1034" s="21" customFormat="1" ht="12.75"/>
    <row r="1035" s="21" customFormat="1" ht="12.75"/>
    <row r="1036" s="21" customFormat="1" ht="12.75"/>
    <row r="1037" s="21" customFormat="1" ht="12.75"/>
    <row r="1038" s="21" customFormat="1" ht="12.75"/>
    <row r="1039" s="21" customFormat="1" ht="12.75"/>
    <row r="1040" s="21" customFormat="1" ht="12.75"/>
    <row r="1041" s="21" customFormat="1" ht="12.75"/>
    <row r="1042" s="21" customFormat="1" ht="12.75"/>
    <row r="1043" s="21" customFormat="1" ht="12.75"/>
    <row r="1044" s="21" customFormat="1" ht="12.75"/>
    <row r="1045" s="21" customFormat="1" ht="12.75"/>
    <row r="1046" s="21" customFormat="1" ht="12.75"/>
    <row r="1047" s="21" customFormat="1" ht="12.75"/>
    <row r="1048" s="21" customFormat="1" ht="12.75"/>
    <row r="1049" s="21" customFormat="1" ht="12.75"/>
    <row r="1050" s="21" customFormat="1" ht="12.75"/>
    <row r="1051" s="21" customFormat="1" ht="12.75"/>
    <row r="1052" s="21" customFormat="1" ht="12.75"/>
    <row r="1053" s="21" customFormat="1" ht="12.75"/>
    <row r="1054" s="21" customFormat="1" ht="12.75"/>
    <row r="1055" s="21" customFormat="1" ht="12.75"/>
    <row r="1056" s="21" customFormat="1" ht="12.75"/>
    <row r="1057" s="21" customFormat="1" ht="12.75"/>
    <row r="1058" s="21" customFormat="1" ht="12.75"/>
    <row r="1059" s="21" customFormat="1" ht="12.75"/>
    <row r="1060" s="21" customFormat="1" ht="12.75"/>
    <row r="1061" s="21" customFormat="1" ht="12.75"/>
  </sheetData>
  <sheetProtection algorithmName="SHA-512" hashValue="4o/s3sePqg5te9bo2CwWeIgglIUMMUxx8XIjU9tH0r7xX2Og4+gEac+v70wTak+jP/k4NtU4yUAF6ZHAaMY5TQ==" saltValue="t4imT5SUXUKL9AZDJs2Pdg==" spinCount="100000" sheet="1" objects="1" scenarios="1"/>
  <mergeCells count="152">
    <mergeCell ref="A44:AO44"/>
    <mergeCell ref="C46:AO47"/>
    <mergeCell ref="A37:AH37"/>
    <mergeCell ref="L38:L39"/>
    <mergeCell ref="M39:U39"/>
    <mergeCell ref="A43:AO43"/>
    <mergeCell ref="A40:K40"/>
    <mergeCell ref="M40:P40"/>
    <mergeCell ref="R40:Z40"/>
    <mergeCell ref="AB40:AF40"/>
    <mergeCell ref="AG40:AO40"/>
    <mergeCell ref="W39:Z39"/>
    <mergeCell ref="AB39:AG39"/>
    <mergeCell ref="AI39:AO39"/>
    <mergeCell ref="A39:K39"/>
    <mergeCell ref="R41:Z41"/>
    <mergeCell ref="AB41:AE41"/>
    <mergeCell ref="AG41:AO41"/>
    <mergeCell ref="A34:E34"/>
    <mergeCell ref="G34:K34"/>
    <mergeCell ref="L34:AN34"/>
    <mergeCell ref="A35:AO35"/>
    <mergeCell ref="A30:H30"/>
    <mergeCell ref="P30:AG30"/>
    <mergeCell ref="AH30:AN30"/>
    <mergeCell ref="A19:AO19"/>
    <mergeCell ref="AH21:AO21"/>
    <mergeCell ref="AH22:AO22"/>
    <mergeCell ref="AC21:AG21"/>
    <mergeCell ref="AC22:AF22"/>
    <mergeCell ref="AF26:AG26"/>
    <mergeCell ref="AI26:AJ26"/>
    <mergeCell ref="AL26:AM26"/>
    <mergeCell ref="A22:D22"/>
    <mergeCell ref="A21:D21"/>
    <mergeCell ref="A31:AO31"/>
    <mergeCell ref="A32:AO32"/>
    <mergeCell ref="A33:K33"/>
    <mergeCell ref="L33:AO33"/>
    <mergeCell ref="M18:U18"/>
    <mergeCell ref="AA18:AB18"/>
    <mergeCell ref="P28:AH28"/>
    <mergeCell ref="AI28:AJ28"/>
    <mergeCell ref="AL28:AM28"/>
    <mergeCell ref="AB21:AB22"/>
    <mergeCell ref="K21:AA21"/>
    <mergeCell ref="K22:AA22"/>
    <mergeCell ref="A25:AO25"/>
    <mergeCell ref="A28:H28"/>
    <mergeCell ref="I28:J28"/>
    <mergeCell ref="L28:M28"/>
    <mergeCell ref="A27:AO27"/>
    <mergeCell ref="A26:P26"/>
    <mergeCell ref="Q26:R26"/>
    <mergeCell ref="T26:U26"/>
    <mergeCell ref="W26:X26"/>
    <mergeCell ref="Z26:AA26"/>
    <mergeCell ref="AC26:AD26"/>
    <mergeCell ref="D1:AI1"/>
    <mergeCell ref="N2:V2"/>
    <mergeCell ref="N3:V3"/>
    <mergeCell ref="A11:AO11"/>
    <mergeCell ref="W38:Z38"/>
    <mergeCell ref="A24:AO24"/>
    <mergeCell ref="A4:AO4"/>
    <mergeCell ref="W2:AH2"/>
    <mergeCell ref="W3:AO3"/>
    <mergeCell ref="A1:C3"/>
    <mergeCell ref="AB38:AG38"/>
    <mergeCell ref="A38:K38"/>
    <mergeCell ref="AI37:AO37"/>
    <mergeCell ref="AC17:AH17"/>
    <mergeCell ref="AJ17:AO17"/>
    <mergeCell ref="AJ18:AO18"/>
    <mergeCell ref="AC18:AH18"/>
    <mergeCell ref="A29:AO29"/>
    <mergeCell ref="I30:J30"/>
    <mergeCell ref="L30:M30"/>
    <mergeCell ref="A23:AO23"/>
    <mergeCell ref="C20:AO20"/>
    <mergeCell ref="A36:AO36"/>
    <mergeCell ref="D2:M3"/>
    <mergeCell ref="AJ61:AO61"/>
    <mergeCell ref="A61:AI61"/>
    <mergeCell ref="M38:U38"/>
    <mergeCell ref="AI38:AO38"/>
    <mergeCell ref="H18:K18"/>
    <mergeCell ref="A18:F18"/>
    <mergeCell ref="D16:AO16"/>
    <mergeCell ref="AI57:AO57"/>
    <mergeCell ref="A14:AO14"/>
    <mergeCell ref="AI58:AO58"/>
    <mergeCell ref="A42:AO42"/>
    <mergeCell ref="A48:AJ48"/>
    <mergeCell ref="E56:K60"/>
    <mergeCell ref="AI56:AO56"/>
    <mergeCell ref="A56:C56"/>
    <mergeCell ref="A41:K41"/>
    <mergeCell ref="M41:P41"/>
    <mergeCell ref="L56:U60"/>
    <mergeCell ref="B59:D60"/>
    <mergeCell ref="A49:AO49"/>
    <mergeCell ref="E21:E22"/>
    <mergeCell ref="H17:L17"/>
    <mergeCell ref="F21:J21"/>
    <mergeCell ref="F22:I22"/>
    <mergeCell ref="A5:AO5"/>
    <mergeCell ref="A15:AO15"/>
    <mergeCell ref="W18:Z18"/>
    <mergeCell ref="M17:U17"/>
    <mergeCell ref="A12:AO12"/>
    <mergeCell ref="A6:AO6"/>
    <mergeCell ref="A8:AO8"/>
    <mergeCell ref="A10:AO10"/>
    <mergeCell ref="A17:G17"/>
    <mergeCell ref="A7:K7"/>
    <mergeCell ref="M7:P7"/>
    <mergeCell ref="R7:T7"/>
    <mergeCell ref="U7:AM7"/>
    <mergeCell ref="A9:C9"/>
    <mergeCell ref="D9:J9"/>
    <mergeCell ref="K9:R9"/>
    <mergeCell ref="S9:Y9"/>
    <mergeCell ref="Z9:AG9"/>
    <mergeCell ref="AH9:AN9"/>
    <mergeCell ref="A13:F13"/>
    <mergeCell ref="G13:O13"/>
    <mergeCell ref="W17:Z17"/>
    <mergeCell ref="P13:Q13"/>
    <mergeCell ref="R13:AM13"/>
    <mergeCell ref="AE56:AH56"/>
    <mergeCell ref="AI55:AO55"/>
    <mergeCell ref="AE60:AH60"/>
    <mergeCell ref="D55:AF55"/>
    <mergeCell ref="AI50:AO50"/>
    <mergeCell ref="A51:C51"/>
    <mergeCell ref="E51:F51"/>
    <mergeCell ref="H51:P51"/>
    <mergeCell ref="Q51:T51"/>
    <mergeCell ref="U51:V51"/>
    <mergeCell ref="X51:Y51"/>
    <mergeCell ref="AA51:AH51"/>
    <mergeCell ref="AI51:AJ51"/>
    <mergeCell ref="AK51:AO51"/>
    <mergeCell ref="A57:C58"/>
    <mergeCell ref="W56:AD60"/>
    <mergeCell ref="A55:C55"/>
    <mergeCell ref="AI60:AO60"/>
    <mergeCell ref="A50:AH50"/>
    <mergeCell ref="A52:AO52"/>
    <mergeCell ref="A53:AO53"/>
    <mergeCell ref="A54:AO54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9" r:id="rId4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 topLeftCell="A1">
      <selection pane="topLeft" activeCell="R15" sqref="R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46"/>
  </cols>
  <sheetData>
    <row r="1" spans="1:31" ht="45.75" customHeight="1">
      <c r="A1" s="1886" t="s">
        <v>3688</v>
      </c>
      <c r="B1" s="1887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31" ht="12.75">
      <c r="A2" s="1604"/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</row>
    <row r="3" spans="1:31" ht="18">
      <c r="A3" s="1888" t="s">
        <v>3655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1889"/>
      <c r="R3" s="1889"/>
      <c r="S3" s="1889"/>
      <c r="T3" s="1889"/>
      <c r="U3" s="1889"/>
      <c r="V3" s="1889"/>
      <c r="W3" s="1889"/>
      <c r="X3" s="1889"/>
      <c r="Y3" s="1889"/>
      <c r="Z3" s="1889"/>
      <c r="AA3" s="1889"/>
      <c r="AB3" s="1889"/>
      <c r="AC3" s="1889"/>
      <c r="AD3" s="1889"/>
      <c r="AE3" s="1889"/>
    </row>
    <row r="4" spans="1:31" ht="18">
      <c r="A4" s="1888" t="s">
        <v>3656</v>
      </c>
      <c r="B4" s="1889"/>
      <c r="C4" s="1889"/>
      <c r="D4" s="1889"/>
      <c r="E4" s="1889"/>
      <c r="F4" s="1889"/>
      <c r="G4" s="1889"/>
      <c r="H4" s="1889"/>
      <c r="I4" s="1889"/>
      <c r="J4" s="1889"/>
      <c r="K4" s="1889"/>
      <c r="L4" s="1889"/>
      <c r="M4" s="1889"/>
      <c r="N4" s="1889"/>
      <c r="O4" s="1889"/>
      <c r="P4" s="1889"/>
      <c r="Q4" s="1889"/>
      <c r="R4" s="1889"/>
      <c r="S4" s="1889"/>
      <c r="T4" s="1889"/>
      <c r="U4" s="1889"/>
      <c r="V4" s="1889"/>
      <c r="W4" s="1889"/>
      <c r="X4" s="1889"/>
      <c r="Y4" s="1889"/>
      <c r="Z4" s="1889"/>
      <c r="AA4" s="1889"/>
      <c r="AB4" s="1889"/>
      <c r="AC4" s="1889"/>
      <c r="AD4" s="1889"/>
      <c r="AE4" s="1889"/>
    </row>
    <row r="5" spans="1:31" ht="15.75">
      <c r="A5" s="1890" t="s">
        <v>3657</v>
      </c>
      <c r="B5" s="1891"/>
      <c r="C5" s="1891"/>
      <c r="D5" s="1891"/>
      <c r="E5" s="1891"/>
      <c r="F5" s="1891"/>
      <c r="G5" s="1891"/>
      <c r="H5" s="1891"/>
      <c r="I5" s="1891"/>
      <c r="J5" s="1891"/>
      <c r="K5" s="1891"/>
      <c r="L5" s="1891"/>
      <c r="M5" s="1891"/>
      <c r="N5" s="1891"/>
      <c r="O5" s="1891"/>
      <c r="P5" s="1891"/>
      <c r="Q5" s="1891"/>
      <c r="R5" s="1891"/>
      <c r="S5" s="1891"/>
      <c r="T5" s="1891"/>
      <c r="U5" s="1891"/>
      <c r="V5" s="1891"/>
      <c r="W5" s="1891"/>
      <c r="X5" s="1891"/>
      <c r="Y5" s="1891"/>
      <c r="Z5" s="1891"/>
      <c r="AA5" s="1891"/>
      <c r="AB5" s="1891"/>
      <c r="AC5" s="1891"/>
      <c r="AD5" s="1891"/>
      <c r="AE5" s="1891"/>
    </row>
    <row r="6" spans="1:31" ht="12.75">
      <c r="A6" s="1604"/>
      <c r="B6" s="1078"/>
      <c r="C6" s="1078"/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078"/>
      <c r="V6" s="1078"/>
      <c r="W6" s="1078"/>
      <c r="X6" s="1078"/>
      <c r="Y6" s="1078"/>
      <c r="Z6" s="1078"/>
      <c r="AA6" s="1078"/>
      <c r="AB6" s="1078"/>
      <c r="AC6" s="1078"/>
      <c r="AD6" s="1078"/>
      <c r="AE6" s="1078"/>
    </row>
    <row r="7" spans="1:31" ht="27" customHeight="1">
      <c r="A7" s="1876" t="s">
        <v>3658</v>
      </c>
      <c r="B7" s="1877"/>
      <c r="C7" s="433"/>
      <c r="D7" s="1881" t="s">
        <v>3659</v>
      </c>
      <c r="E7" s="1882"/>
      <c r="F7" s="1882"/>
      <c r="G7" s="1882"/>
      <c r="H7" s="1882"/>
      <c r="I7" s="1882"/>
      <c r="J7" s="1882"/>
      <c r="K7" s="1882"/>
      <c r="L7" s="1882"/>
      <c r="M7" s="1882"/>
      <c r="N7" s="1882"/>
      <c r="O7" s="1882"/>
      <c r="P7" s="1882"/>
      <c r="Q7" s="433"/>
      <c r="R7" s="1884" t="s">
        <v>3660</v>
      </c>
      <c r="S7" s="1885"/>
      <c r="T7" s="1885"/>
      <c r="U7" s="1885"/>
      <c r="V7" s="1885"/>
      <c r="W7" s="1885"/>
      <c r="X7" s="1885"/>
      <c r="Y7" s="1885"/>
      <c r="Z7" s="1885"/>
      <c r="AA7" s="1885"/>
      <c r="AB7" s="1885"/>
      <c r="AC7" s="1885"/>
      <c r="AD7" s="1885"/>
      <c r="AE7" s="1885"/>
    </row>
    <row r="8" spans="1:31" ht="18" customHeight="1">
      <c r="A8" s="1878" t="str">
        <f>+'SP1'!$A$6:$F$6</f>
        <v/>
      </c>
      <c r="B8" s="1595"/>
      <c r="C8" s="422"/>
      <c r="D8" s="1879"/>
      <c r="E8" s="1507"/>
      <c r="F8" s="1507"/>
      <c r="G8" s="1507"/>
      <c r="H8" s="1507"/>
      <c r="I8" s="1507"/>
      <c r="J8" s="1507"/>
      <c r="K8" s="1507"/>
      <c r="L8" s="1507"/>
      <c r="M8" s="1507"/>
      <c r="N8" s="1507"/>
      <c r="O8" s="1507"/>
      <c r="P8" s="1606"/>
      <c r="Q8" s="422"/>
      <c r="R8" s="1883" t="str">
        <f>+'SP1'!$U$6</f>
        <v/>
      </c>
      <c r="S8" s="1556"/>
      <c r="T8" s="1556"/>
      <c r="U8" s="1556"/>
      <c r="V8" s="1556"/>
      <c r="W8" s="1556"/>
      <c r="X8" s="1556"/>
      <c r="Y8" s="1556"/>
      <c r="Z8" s="1556"/>
      <c r="AA8" s="1556"/>
      <c r="AB8" s="1556"/>
      <c r="AC8" s="1556"/>
      <c r="AD8" s="1556"/>
      <c r="AE8" s="978"/>
    </row>
    <row r="9" spans="1:31" ht="15" customHeight="1">
      <c r="A9" s="422"/>
      <c r="B9" s="422"/>
      <c r="C9" s="422"/>
      <c r="D9" s="1710"/>
      <c r="E9" s="1078"/>
      <c r="F9" s="1078"/>
      <c r="G9" s="1078"/>
      <c r="H9" s="1078"/>
      <c r="I9" s="1078"/>
      <c r="J9" s="1078"/>
      <c r="K9" s="1078"/>
      <c r="L9" s="1078"/>
      <c r="M9" s="1078"/>
      <c r="N9" s="1078"/>
      <c r="O9" s="1078"/>
      <c r="P9" s="1564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31" ht="15" customHeight="1">
      <c r="A10" s="422"/>
      <c r="B10" s="422"/>
      <c r="C10" s="422"/>
      <c r="D10" s="1880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1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</row>
    <row r="11" spans="1:31" ht="12.75">
      <c r="A11" s="1604"/>
      <c r="B11" s="1078"/>
      <c r="C11" s="1078"/>
      <c r="D11" s="1078"/>
      <c r="E11" s="1078"/>
      <c r="F11" s="1078"/>
      <c r="G11" s="1078"/>
      <c r="H11" s="1078"/>
      <c r="I11" s="1078"/>
      <c r="J11" s="1078"/>
      <c r="K11" s="1078"/>
      <c r="L11" s="1078"/>
      <c r="M11" s="1078"/>
      <c r="N11" s="1078"/>
      <c r="O11" s="1078"/>
      <c r="P11" s="1078"/>
      <c r="Q11" s="1078"/>
      <c r="R11" s="1078"/>
      <c r="S11" s="1078"/>
      <c r="T11" s="1078"/>
      <c r="U11" s="1078"/>
      <c r="V11" s="1078"/>
      <c r="W11" s="1078"/>
      <c r="X11" s="1078"/>
      <c r="Y11" s="1078"/>
      <c r="Z11" s="1078"/>
      <c r="AA11" s="1078"/>
      <c r="AB11" s="1078"/>
      <c r="AC11" s="1078"/>
      <c r="AD11" s="1078"/>
      <c r="AE11" s="1078"/>
    </row>
    <row r="12" spans="1:71" s="353" customFormat="1" ht="18" customHeight="1">
      <c r="A12" s="1854" t="s">
        <v>3661</v>
      </c>
      <c r="B12" s="1855"/>
      <c r="C12" s="1855"/>
      <c r="D12" s="1855"/>
      <c r="E12" s="1855"/>
      <c r="F12" s="1855"/>
      <c r="G12" s="1855"/>
      <c r="H12" s="1855"/>
      <c r="I12" s="1855"/>
      <c r="J12" s="1855"/>
      <c r="K12" s="1855"/>
      <c r="L12" s="1855"/>
      <c r="M12" s="1855"/>
      <c r="N12" s="1855"/>
      <c r="O12" s="1855"/>
      <c r="P12" s="1855"/>
      <c r="Q12" s="1855"/>
      <c r="R12" s="1855"/>
      <c r="S12" s="1855"/>
      <c r="T12" s="1855"/>
      <c r="U12" s="1855"/>
      <c r="V12" s="1855"/>
      <c r="W12" s="1855"/>
      <c r="X12" s="1855"/>
      <c r="Y12" s="1855"/>
      <c r="Z12" s="1855"/>
      <c r="AA12" s="1855"/>
      <c r="AB12" s="1855"/>
      <c r="AC12" s="1855"/>
      <c r="AD12" s="1855"/>
      <c r="AE12" s="1856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</row>
    <row r="13" spans="1:31" ht="12.75">
      <c r="A13" s="434"/>
      <c r="B13" s="435" t="s">
        <v>96</v>
      </c>
      <c r="C13" s="435"/>
      <c r="D13" s="1871" t="s">
        <v>95</v>
      </c>
      <c r="E13" s="1872"/>
      <c r="F13" s="1872"/>
      <c r="G13" s="1872"/>
      <c r="H13" s="1872"/>
      <c r="I13" s="1872"/>
      <c r="J13" s="435"/>
      <c r="K13" s="1871" t="s">
        <v>114</v>
      </c>
      <c r="L13" s="1872"/>
      <c r="M13" s="1872"/>
      <c r="N13" s="1872"/>
      <c r="O13" s="1872"/>
      <c r="P13" s="1872"/>
      <c r="Q13" s="435"/>
      <c r="R13" s="1871" t="s">
        <v>272</v>
      </c>
      <c r="S13" s="1872"/>
      <c r="T13" s="1872"/>
      <c r="U13" s="1872"/>
      <c r="V13" s="1872"/>
      <c r="W13" s="1872"/>
      <c r="X13" s="435"/>
      <c r="Y13" s="1871" t="s">
        <v>146</v>
      </c>
      <c r="Z13" s="1872"/>
      <c r="AA13" s="1872"/>
      <c r="AB13" s="1872"/>
      <c r="AC13" s="1872"/>
      <c r="AD13" s="1872"/>
      <c r="AE13" s="436"/>
    </row>
    <row r="14" spans="1:31" ht="18" customHeight="1">
      <c r="A14" s="434"/>
      <c r="B14" s="449" t="str">
        <f>+CONCATENATE('SP1'!$A$10)</f>
        <v>0</v>
      </c>
      <c r="C14" s="422"/>
      <c r="D14" s="1870" t="str">
        <f>+CONCATENATE('SP1'!$H$10)</f>
        <v>0</v>
      </c>
      <c r="E14" s="1551"/>
      <c r="F14" s="1551"/>
      <c r="G14" s="1551"/>
      <c r="H14" s="1551"/>
      <c r="I14" s="1552"/>
      <c r="J14" s="422"/>
      <c r="K14" s="1873" t="str">
        <f>+CONCATENATE('SP1'!$Q$10)</f>
        <v/>
      </c>
      <c r="L14" s="1633"/>
      <c r="M14" s="1633"/>
      <c r="N14" s="1633"/>
      <c r="O14" s="1633"/>
      <c r="P14" s="1634"/>
      <c r="Q14" s="422"/>
      <c r="R14" s="1874">
        <f>+'SP1'!$A$12</f>
        <v>0.0</v>
      </c>
      <c r="S14" s="1755"/>
      <c r="T14" s="1755"/>
      <c r="U14" s="1755"/>
      <c r="V14" s="1755"/>
      <c r="W14" s="1756"/>
      <c r="X14" s="422"/>
      <c r="Y14" s="1875" t="str">
        <f>+'SP1'!$Y$10</f>
        <v/>
      </c>
      <c r="Z14" s="1556"/>
      <c r="AA14" s="1556"/>
      <c r="AB14" s="1556"/>
      <c r="AC14" s="1556"/>
      <c r="AD14" s="978"/>
      <c r="AE14" s="437"/>
    </row>
    <row r="15" spans="1:31" ht="5.1" customHeight="1">
      <c r="A15" s="438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40"/>
    </row>
    <row r="16" spans="1:31" ht="18" customHeight="1">
      <c r="A16" s="1854" t="s">
        <v>3664</v>
      </c>
      <c r="B16" s="1855"/>
      <c r="C16" s="1855"/>
      <c r="D16" s="1855"/>
      <c r="E16" s="1855"/>
      <c r="F16" s="1855"/>
      <c r="G16" s="1855"/>
      <c r="H16" s="1855"/>
      <c r="I16" s="1855"/>
      <c r="J16" s="1855"/>
      <c r="K16" s="1855"/>
      <c r="L16" s="1855"/>
      <c r="M16" s="1855"/>
      <c r="N16" s="1855"/>
      <c r="O16" s="1855"/>
      <c r="P16" s="1855"/>
      <c r="Q16" s="1855"/>
      <c r="R16" s="1855"/>
      <c r="S16" s="1855"/>
      <c r="T16" s="1855"/>
      <c r="U16" s="1855"/>
      <c r="V16" s="1855"/>
      <c r="W16" s="1855"/>
      <c r="X16" s="1855"/>
      <c r="Y16" s="1855"/>
      <c r="Z16" s="1855"/>
      <c r="AA16" s="1855"/>
      <c r="AB16" s="1855"/>
      <c r="AC16" s="1855"/>
      <c r="AD16" s="1855"/>
      <c r="AE16" s="1856"/>
    </row>
    <row r="17" spans="1:31" ht="12.75">
      <c r="A17" s="434"/>
      <c r="B17" s="1853" t="s">
        <v>3665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8"/>
      <c r="S17" s="1078"/>
      <c r="T17" s="1078"/>
      <c r="U17" s="1078"/>
      <c r="V17" s="1078"/>
      <c r="W17" s="1078"/>
      <c r="X17" s="1078"/>
      <c r="Y17" s="1078"/>
      <c r="Z17" s="1078"/>
      <c r="AA17" s="1078"/>
      <c r="AB17" s="1078"/>
      <c r="AC17" s="1078"/>
      <c r="AD17" s="1078"/>
      <c r="AE17" s="437"/>
    </row>
    <row r="18" spans="1:31" ht="18" customHeight="1">
      <c r="A18" s="434"/>
      <c r="B18" s="187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  <c r="AD18" s="1634"/>
      <c r="AE18" s="437"/>
    </row>
    <row r="19" spans="1:31" ht="5.1" customHeight="1">
      <c r="A19" s="434"/>
      <c r="B19" s="1853"/>
      <c r="C19" s="1078"/>
      <c r="D19" s="1078"/>
      <c r="E19" s="1078"/>
      <c r="F19" s="1078"/>
      <c r="G19" s="1078"/>
      <c r="H19" s="1078"/>
      <c r="I19" s="1078"/>
      <c r="J19" s="1078"/>
      <c r="K19" s="1078"/>
      <c r="L19" s="1078"/>
      <c r="M19" s="1078"/>
      <c r="N19" s="1078"/>
      <c r="O19" s="1078"/>
      <c r="P19" s="1078"/>
      <c r="Q19" s="1078"/>
      <c r="R19" s="1078"/>
      <c r="S19" s="1078"/>
      <c r="T19" s="1078"/>
      <c r="U19" s="1078"/>
      <c r="V19" s="1078"/>
      <c r="W19" s="1078"/>
      <c r="X19" s="1078"/>
      <c r="Y19" s="1078"/>
      <c r="Z19" s="1078"/>
      <c r="AA19" s="1078"/>
      <c r="AB19" s="1078"/>
      <c r="AC19" s="1078"/>
      <c r="AD19" s="1078"/>
      <c r="AE19" s="437"/>
    </row>
    <row r="20" spans="1:31" ht="18" customHeight="1">
      <c r="A20" s="434"/>
      <c r="B20" s="1853" t="s">
        <v>3666</v>
      </c>
      <c r="C20" s="1078"/>
      <c r="D20" s="1078"/>
      <c r="E20" s="1078"/>
      <c r="F20" s="1564"/>
      <c r="G20" s="1865">
        <f>+'DAP1'!F24</f>
        <v>2022.0</v>
      </c>
      <c r="H20" s="1866"/>
      <c r="I20" s="1866"/>
      <c r="J20" s="1867"/>
      <c r="K20" s="1710"/>
      <c r="L20" s="1078"/>
      <c r="M20" s="1078"/>
      <c r="N20" s="1078"/>
      <c r="O20" s="1078"/>
      <c r="P20" s="1078"/>
      <c r="Q20" s="1078"/>
      <c r="R20" s="1078"/>
      <c r="S20" s="1078"/>
      <c r="T20" s="1078"/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8"/>
      <c r="AE20" s="1564"/>
    </row>
    <row r="21" spans="1:31" ht="12.75">
      <c r="A21" s="434"/>
      <c r="B21" s="422"/>
      <c r="C21" s="422"/>
      <c r="D21" s="422"/>
      <c r="E21" s="441">
        <v>1.0</v>
      </c>
      <c r="F21" s="422"/>
      <c r="G21" s="441">
        <v>2.0</v>
      </c>
      <c r="H21" s="422"/>
      <c r="I21" s="441">
        <v>3.0</v>
      </c>
      <c r="J21" s="422"/>
      <c r="K21" s="441">
        <v>4.0</v>
      </c>
      <c r="L21" s="422"/>
      <c r="M21" s="441">
        <v>5.0</v>
      </c>
      <c r="N21" s="422"/>
      <c r="O21" s="441">
        <v>6.0</v>
      </c>
      <c r="P21" s="422"/>
      <c r="Q21" s="441">
        <v>7.0</v>
      </c>
      <c r="R21" s="422"/>
      <c r="S21" s="441">
        <v>8.0</v>
      </c>
      <c r="T21" s="422"/>
      <c r="U21" s="441">
        <v>9.0</v>
      </c>
      <c r="V21" s="422"/>
      <c r="W21" s="441">
        <v>10.0</v>
      </c>
      <c r="X21" s="422"/>
      <c r="Y21" s="441">
        <v>11.0</v>
      </c>
      <c r="Z21" s="422"/>
      <c r="AA21" s="441">
        <v>12.0</v>
      </c>
      <c r="AB21" s="1868" t="s">
        <v>3663</v>
      </c>
      <c r="AC21" s="1869"/>
      <c r="AD21" s="1869"/>
      <c r="AE21" s="437"/>
    </row>
    <row r="22" spans="1:31" ht="18" customHeight="1">
      <c r="A22" s="434"/>
      <c r="B22" s="442" t="s">
        <v>3662</v>
      </c>
      <c r="C22" s="422"/>
      <c r="D22" s="422"/>
      <c r="E22" s="443"/>
      <c r="F22" s="422"/>
      <c r="G22" s="443"/>
      <c r="H22" s="422"/>
      <c r="I22" s="443"/>
      <c r="J22" s="422"/>
      <c r="K22" s="443"/>
      <c r="L22" s="422"/>
      <c r="M22" s="443"/>
      <c r="N22" s="422"/>
      <c r="O22" s="443"/>
      <c r="P22" s="422"/>
      <c r="Q22" s="443"/>
      <c r="R22" s="422"/>
      <c r="S22" s="443"/>
      <c r="T22" s="422"/>
      <c r="U22" s="443"/>
      <c r="V22" s="422"/>
      <c r="W22" s="443"/>
      <c r="X22" s="422"/>
      <c r="Y22" s="443"/>
      <c r="Z22" s="422"/>
      <c r="AA22" s="443"/>
      <c r="AB22" s="422"/>
      <c r="AC22" s="443"/>
      <c r="AD22" s="422"/>
      <c r="AE22" s="437"/>
    </row>
    <row r="23" spans="1:31" ht="5.1" customHeight="1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40"/>
    </row>
    <row r="24" spans="1:31" ht="18" customHeight="1">
      <c r="A24" s="1854" t="s">
        <v>3667</v>
      </c>
      <c r="B24" s="1855"/>
      <c r="C24" s="1855"/>
      <c r="D24" s="1855"/>
      <c r="E24" s="1855"/>
      <c r="F24" s="1855"/>
      <c r="G24" s="1855"/>
      <c r="H24" s="1855"/>
      <c r="I24" s="1855"/>
      <c r="J24" s="1855"/>
      <c r="K24" s="1855"/>
      <c r="L24" s="1855"/>
      <c r="M24" s="1855"/>
      <c r="N24" s="1855"/>
      <c r="O24" s="1855"/>
      <c r="P24" s="1855"/>
      <c r="Q24" s="1855"/>
      <c r="R24" s="1855"/>
      <c r="S24" s="1855"/>
      <c r="T24" s="1855"/>
      <c r="U24" s="1855"/>
      <c r="V24" s="1855"/>
      <c r="W24" s="1855"/>
      <c r="X24" s="1855"/>
      <c r="Y24" s="1855"/>
      <c r="Z24" s="1855"/>
      <c r="AA24" s="1855"/>
      <c r="AB24" s="1855"/>
      <c r="AC24" s="1855"/>
      <c r="AD24" s="1855"/>
      <c r="AE24" s="1856"/>
    </row>
    <row r="25" spans="1:31" ht="60" customHeight="1">
      <c r="A25" s="1864"/>
      <c r="B25" s="1078"/>
      <c r="C25" s="1078"/>
      <c r="D25" s="1078"/>
      <c r="E25" s="1078"/>
      <c r="F25" s="1078"/>
      <c r="G25" s="1078"/>
      <c r="H25" s="1078"/>
      <c r="I25" s="1078"/>
      <c r="J25" s="1078"/>
      <c r="K25" s="1078"/>
      <c r="L25" s="1078"/>
      <c r="M25" s="1078"/>
      <c r="N25" s="1078"/>
      <c r="O25" s="1078"/>
      <c r="P25" s="1078"/>
      <c r="Q25" s="1078"/>
      <c r="R25" s="1078"/>
      <c r="S25" s="1078"/>
      <c r="T25" s="1859"/>
      <c r="U25" s="1860"/>
      <c r="V25" s="1860"/>
      <c r="W25" s="1860"/>
      <c r="X25" s="1860"/>
      <c r="Y25" s="1860"/>
      <c r="Z25" s="1860"/>
      <c r="AA25" s="1860"/>
      <c r="AB25" s="1860"/>
      <c r="AC25" s="1860"/>
      <c r="AD25" s="1860"/>
      <c r="AE25" s="437"/>
    </row>
    <row r="26" spans="1:31" ht="18" customHeight="1">
      <c r="A26" s="434"/>
      <c r="B26" s="442" t="s">
        <v>357</v>
      </c>
      <c r="C26" s="1857">
        <f ca="1">+TODAY()</f>
        <v>44994.0</v>
      </c>
      <c r="D26" s="1858"/>
      <c r="E26" s="1858"/>
      <c r="F26" s="1858"/>
      <c r="G26" s="1604"/>
      <c r="H26" s="1078"/>
      <c r="I26" s="1078"/>
      <c r="J26" s="1078"/>
      <c r="K26" s="1078"/>
      <c r="L26" s="1078"/>
      <c r="M26" s="1078"/>
      <c r="N26" s="1078"/>
      <c r="O26" s="1078"/>
      <c r="P26" s="1078"/>
      <c r="Q26" s="1078"/>
      <c r="R26" s="1078"/>
      <c r="S26" s="1078"/>
      <c r="T26" s="1861"/>
      <c r="U26" s="1861"/>
      <c r="V26" s="1861"/>
      <c r="W26" s="1861"/>
      <c r="X26" s="1861"/>
      <c r="Y26" s="1861"/>
      <c r="Z26" s="1861"/>
      <c r="AA26" s="1861"/>
      <c r="AB26" s="1861"/>
      <c r="AC26" s="1861"/>
      <c r="AD26" s="1861"/>
      <c r="AE26" s="437"/>
    </row>
    <row r="27" spans="1:31" ht="12.75">
      <c r="A27" s="434"/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1862" t="s">
        <v>358</v>
      </c>
      <c r="U27" s="1863"/>
      <c r="V27" s="1863"/>
      <c r="W27" s="1863"/>
      <c r="X27" s="1863"/>
      <c r="Y27" s="1863"/>
      <c r="Z27" s="1863"/>
      <c r="AA27" s="1863"/>
      <c r="AB27" s="1863"/>
      <c r="AC27" s="1863"/>
      <c r="AD27" s="1863"/>
      <c r="AE27" s="437"/>
    </row>
    <row r="28" spans="1:31" ht="5.1" customHeight="1">
      <c r="A28" s="438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40"/>
    </row>
    <row r="29" spans="1:31" ht="28.5" customHeight="1">
      <c r="A29" s="444"/>
      <c r="B29" s="1847" t="s">
        <v>3668</v>
      </c>
      <c r="C29" s="1848"/>
      <c r="D29" s="1848"/>
      <c r="E29" s="1848"/>
      <c r="F29" s="1848"/>
      <c r="G29" s="1848"/>
      <c r="H29" s="1848"/>
      <c r="I29" s="1848"/>
      <c r="J29" s="1848"/>
      <c r="K29" s="1848"/>
      <c r="L29" s="1848"/>
      <c r="M29" s="1848"/>
      <c r="N29" s="1848"/>
      <c r="O29" s="1848"/>
      <c r="P29" s="1848"/>
      <c r="Q29" s="1848"/>
      <c r="R29" s="1848"/>
      <c r="S29" s="1848"/>
      <c r="T29" s="1848"/>
      <c r="U29" s="1848"/>
      <c r="V29" s="1848"/>
      <c r="W29" s="1848"/>
      <c r="X29" s="1848"/>
      <c r="Y29" s="1848"/>
      <c r="Z29" s="1848"/>
      <c r="AA29" s="1848"/>
      <c r="AB29" s="1848"/>
      <c r="AC29" s="1848"/>
      <c r="AD29" s="1848"/>
      <c r="AE29" s="445"/>
    </row>
    <row r="30" spans="1:31" ht="12.75">
      <c r="A30" s="1849"/>
      <c r="B30" s="1540"/>
      <c r="C30" s="1540"/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0"/>
      <c r="U30" s="1540"/>
      <c r="V30" s="1540"/>
      <c r="W30" s="1540"/>
      <c r="X30" s="1540"/>
      <c r="Y30" s="1540"/>
      <c r="Z30" s="1540"/>
      <c r="AA30" s="1850" t="s">
        <v>3669</v>
      </c>
      <c r="AB30" s="1851"/>
      <c r="AC30" s="1851"/>
      <c r="AD30" s="1851"/>
      <c r="AE30" s="1852"/>
    </row>
    <row r="31" spans="1:31" s="446" customFormat="1" ht="12.75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</row>
    <row r="32" spans="1:31" s="446" customFormat="1" ht="12.75">
      <c r="A32" s="448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</row>
    <row r="33" spans="1:31" s="446" customFormat="1" ht="12.75">
      <c r="A33" s="448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</row>
    <row r="34" spans="1:31" s="446" customFormat="1" ht="12.75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</row>
    <row r="35" spans="1:31" s="446" customFormat="1" ht="12.75">
      <c r="A35" s="448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</row>
    <row r="36" spans="1:31" s="446" customFormat="1" ht="12.75">
      <c r="A36" s="448"/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</row>
    <row r="37" spans="1:31" s="446" customFormat="1" ht="12.75">
      <c r="A37" s="448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</row>
    <row r="38" spans="1:31" s="446" customFormat="1" ht="12.75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</row>
    <row r="39" spans="1:31" s="446" customFormat="1" ht="12.75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</row>
    <row r="40" spans="1:31" s="446" customFormat="1" ht="12.75">
      <c r="A40" s="448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</row>
    <row r="41" spans="1:31" s="446" customFormat="1" ht="12.75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</row>
    <row r="42" spans="1:31" s="446" customFormat="1" ht="12.75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</row>
    <row r="43" spans="1:31" s="446" customFormat="1" ht="12.75">
      <c r="A43" s="448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</row>
    <row r="44" spans="1:31" s="446" customFormat="1" ht="12.75">
      <c r="A44" s="448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</row>
    <row r="45" spans="1:31" s="446" customFormat="1" ht="12.75">
      <c r="A45" s="448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</row>
    <row r="46" spans="1:31" s="446" customFormat="1" ht="12.75">
      <c r="A46" s="448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</row>
    <row r="47" s="446" customFormat="1" ht="12.75"/>
    <row r="48" s="446" customFormat="1" ht="12.75"/>
    <row r="49" s="446" customFormat="1" ht="12.75"/>
    <row r="50" s="446" customFormat="1" ht="12.75"/>
    <row r="51" s="446" customFormat="1" ht="12.75"/>
    <row r="52" s="446" customFormat="1" ht="12.75"/>
    <row r="53" s="446" customFormat="1" ht="12.75"/>
    <row r="54" s="446" customFormat="1" ht="12.75"/>
    <row r="55" s="446" customFormat="1" ht="12.75"/>
    <row r="56" s="446" customFormat="1" ht="12.75"/>
    <row r="57" s="446" customFormat="1" ht="12.75"/>
    <row r="58" s="446" customFormat="1" ht="12.75"/>
    <row r="59" s="446" customFormat="1" ht="12.75"/>
    <row r="60" s="446" customFormat="1" ht="12.75"/>
    <row r="61" s="446" customFormat="1" ht="12.75"/>
    <row r="62" s="446" customFormat="1" ht="12.75"/>
    <row r="63" s="446" customFormat="1" ht="12.75"/>
    <row r="64" s="446" customFormat="1" ht="12.75"/>
    <row r="65" s="446" customFormat="1" ht="12.75"/>
    <row r="66" s="446" customFormat="1" ht="12.75"/>
    <row r="67" s="446" customFormat="1" ht="12.75"/>
    <row r="68" s="446" customFormat="1" ht="12.75"/>
    <row r="69" s="446" customFormat="1" ht="12.75"/>
    <row r="70" s="446" customFormat="1" ht="12.75"/>
    <row r="71" s="446" customFormat="1" ht="12.75"/>
    <row r="72" s="446" customFormat="1" ht="12.75"/>
    <row r="73" s="446" customFormat="1" ht="12.75"/>
    <row r="74" s="446" customFormat="1" ht="12.75"/>
    <row r="75" s="446" customFormat="1" ht="12.75"/>
    <row r="76" s="446" customFormat="1" ht="12.75"/>
    <row r="77" s="446" customFormat="1" ht="12.75"/>
    <row r="78" s="446" customFormat="1" ht="12.75"/>
    <row r="79" s="446" customFormat="1" ht="12.75"/>
    <row r="80" s="446" customFormat="1" ht="12.75"/>
    <row r="81" s="446" customFormat="1" ht="12.75"/>
    <row r="82" s="446" customFormat="1" ht="12.75"/>
    <row r="83" s="446" customFormat="1" ht="12.75"/>
    <row r="84" s="446" customFormat="1" ht="12.75"/>
    <row r="85" s="446" customFormat="1" ht="12.75"/>
    <row r="86" s="446" customFormat="1" ht="12.75"/>
    <row r="87" s="446" customFormat="1" ht="12.75"/>
    <row r="88" s="446" customFormat="1" ht="12.75"/>
    <row r="89" s="446" customFormat="1" ht="12.75"/>
    <row r="90" s="446" customFormat="1" ht="12.75"/>
    <row r="91" s="446" customFormat="1" ht="12.75"/>
    <row r="92" s="446" customFormat="1" ht="12.75"/>
    <row r="93" s="446" customFormat="1" ht="12.75"/>
    <row r="94" s="446" customFormat="1" ht="12.75"/>
    <row r="95" s="446" customFormat="1" ht="12.75"/>
    <row r="96" s="446" customFormat="1" ht="12.75"/>
    <row r="97" s="446" customFormat="1" ht="12.75"/>
    <row r="98" s="446" customFormat="1" ht="12.75"/>
    <row r="99" s="446" customFormat="1" ht="12.75"/>
    <row r="100" s="446" customFormat="1" ht="12.75"/>
    <row r="101" s="446" customFormat="1" ht="12.75"/>
    <row r="102" spans="1:31" ht="12.75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</row>
  </sheetData>
  <sheetProtection password="EF65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 topLeftCell="A1">
      <selection pane="topLeft" activeCell="R9" sqref="R9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46"/>
  </cols>
  <sheetData>
    <row r="1" spans="1:31" ht="45.75" customHeight="1">
      <c r="A1" s="1886" t="s">
        <v>3688</v>
      </c>
      <c r="B1" s="1887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31" ht="12.75">
      <c r="A2" s="1604"/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</row>
    <row r="3" spans="1:31" ht="18">
      <c r="A3" s="1888" t="s">
        <v>3670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1889"/>
      <c r="R3" s="1889"/>
      <c r="S3" s="1889"/>
      <c r="T3" s="1889"/>
      <c r="U3" s="1889"/>
      <c r="V3" s="1889"/>
      <c r="W3" s="1889"/>
      <c r="X3" s="1889"/>
      <c r="Y3" s="1889"/>
      <c r="Z3" s="1889"/>
      <c r="AA3" s="1889"/>
      <c r="AB3" s="1889"/>
      <c r="AC3" s="1889"/>
      <c r="AD3" s="1889"/>
      <c r="AE3" s="1889"/>
    </row>
    <row r="4" spans="1:71" s="305" customFormat="1" ht="15">
      <c r="A4" s="1896" t="s">
        <v>3657</v>
      </c>
      <c r="B4" s="1897"/>
      <c r="C4" s="1897"/>
      <c r="D4" s="1897"/>
      <c r="E4" s="1897"/>
      <c r="F4" s="1897"/>
      <c r="G4" s="1897"/>
      <c r="H4" s="1897"/>
      <c r="I4" s="1897"/>
      <c r="J4" s="1897"/>
      <c r="K4" s="1897"/>
      <c r="L4" s="1897"/>
      <c r="M4" s="1897"/>
      <c r="N4" s="1897"/>
      <c r="O4" s="1897"/>
      <c r="P4" s="1897"/>
      <c r="Q4" s="1897"/>
      <c r="R4" s="1897"/>
      <c r="S4" s="1897"/>
      <c r="T4" s="1897"/>
      <c r="U4" s="1897"/>
      <c r="V4" s="1897"/>
      <c r="W4" s="1897"/>
      <c r="X4" s="1897"/>
      <c r="Y4" s="1897"/>
      <c r="Z4" s="1897"/>
      <c r="AA4" s="1897"/>
      <c r="AB4" s="1897"/>
      <c r="AC4" s="1897"/>
      <c r="AD4" s="1897"/>
      <c r="AE4" s="1897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</row>
    <row r="5" spans="1:31" ht="12.75">
      <c r="A5" s="1604"/>
      <c r="B5" s="1078"/>
      <c r="C5" s="1078"/>
      <c r="D5" s="1078"/>
      <c r="E5" s="1078"/>
      <c r="F5" s="1078"/>
      <c r="G5" s="1078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</row>
    <row r="6" spans="1:31" ht="27" customHeight="1">
      <c r="A6" s="1876" t="s">
        <v>3658</v>
      </c>
      <c r="B6" s="1877"/>
      <c r="C6" s="433"/>
      <c r="D6" s="1881" t="s">
        <v>3659</v>
      </c>
      <c r="E6" s="1882"/>
      <c r="F6" s="1882"/>
      <c r="G6" s="1882"/>
      <c r="H6" s="1882"/>
      <c r="I6" s="1882"/>
      <c r="J6" s="1882"/>
      <c r="K6" s="1882"/>
      <c r="L6" s="1882"/>
      <c r="M6" s="1882"/>
      <c r="N6" s="1882"/>
      <c r="O6" s="1882"/>
      <c r="P6" s="1882"/>
      <c r="Q6" s="433"/>
      <c r="R6" s="1884" t="s">
        <v>3660</v>
      </c>
      <c r="S6" s="1885"/>
      <c r="T6" s="1885"/>
      <c r="U6" s="1885"/>
      <c r="V6" s="1885"/>
      <c r="W6" s="1885"/>
      <c r="X6" s="1885"/>
      <c r="Y6" s="1885"/>
      <c r="Z6" s="1885"/>
      <c r="AA6" s="1885"/>
      <c r="AB6" s="1885"/>
      <c r="AC6" s="1885"/>
      <c r="AD6" s="1885"/>
      <c r="AE6" s="1885"/>
    </row>
    <row r="7" spans="1:31" ht="18" customHeight="1">
      <c r="A7" s="1878" t="str">
        <f>+'SP1'!$A$6:$F$6</f>
        <v/>
      </c>
      <c r="B7" s="1595"/>
      <c r="C7" s="422"/>
      <c r="D7" s="1879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606"/>
      <c r="Q7" s="422"/>
      <c r="R7" s="1883" t="str">
        <f>+'SP1'!$U$6</f>
        <v/>
      </c>
      <c r="S7" s="1556"/>
      <c r="T7" s="1556"/>
      <c r="U7" s="1556"/>
      <c r="V7" s="1556"/>
      <c r="W7" s="1556"/>
      <c r="X7" s="1556"/>
      <c r="Y7" s="1556"/>
      <c r="Z7" s="1556"/>
      <c r="AA7" s="1556"/>
      <c r="AB7" s="1556"/>
      <c r="AC7" s="1556"/>
      <c r="AD7" s="1556"/>
      <c r="AE7" s="978"/>
    </row>
    <row r="8" spans="1:31" ht="15" customHeight="1">
      <c r="A8" s="422"/>
      <c r="B8" s="422"/>
      <c r="C8" s="422"/>
      <c r="D8" s="1710"/>
      <c r="E8" s="1078"/>
      <c r="F8" s="1078"/>
      <c r="G8" s="1078"/>
      <c r="H8" s="1078"/>
      <c r="I8" s="1078"/>
      <c r="J8" s="1078"/>
      <c r="K8" s="1078"/>
      <c r="L8" s="1078"/>
      <c r="M8" s="1078"/>
      <c r="N8" s="1078"/>
      <c r="O8" s="1078"/>
      <c r="P8" s="1564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</row>
    <row r="9" spans="1:31" ht="15" customHeight="1">
      <c r="A9" s="422"/>
      <c r="B9" s="422"/>
      <c r="C9" s="422"/>
      <c r="D9" s="1880"/>
      <c r="E9" s="1540"/>
      <c r="F9" s="1540"/>
      <c r="G9" s="1540"/>
      <c r="H9" s="1540"/>
      <c r="I9" s="1540"/>
      <c r="J9" s="1540"/>
      <c r="K9" s="1540"/>
      <c r="L9" s="1540"/>
      <c r="M9" s="1540"/>
      <c r="N9" s="1540"/>
      <c r="O9" s="1540"/>
      <c r="P9" s="1541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31" ht="12.75">
      <c r="A10" s="1604"/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</row>
    <row r="11" spans="1:71" s="353" customFormat="1" ht="18" customHeight="1">
      <c r="A11" s="1854" t="s">
        <v>3661</v>
      </c>
      <c r="B11" s="1855"/>
      <c r="C11" s="1855"/>
      <c r="D11" s="1855"/>
      <c r="E11" s="1855"/>
      <c r="F11" s="1855"/>
      <c r="G11" s="1855"/>
      <c r="H11" s="1855"/>
      <c r="I11" s="1855"/>
      <c r="J11" s="1855"/>
      <c r="K11" s="1855"/>
      <c r="L11" s="1855"/>
      <c r="M11" s="1855"/>
      <c r="N11" s="1855"/>
      <c r="O11" s="1855"/>
      <c r="P11" s="1855"/>
      <c r="Q11" s="1855"/>
      <c r="R11" s="1855"/>
      <c r="S11" s="1855"/>
      <c r="T11" s="1855"/>
      <c r="U11" s="1855"/>
      <c r="V11" s="1855"/>
      <c r="W11" s="1855"/>
      <c r="X11" s="1855"/>
      <c r="Y11" s="1855"/>
      <c r="Z11" s="1855"/>
      <c r="AA11" s="1855"/>
      <c r="AB11" s="1855"/>
      <c r="AC11" s="1855"/>
      <c r="AD11" s="1855"/>
      <c r="AE11" s="1856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</row>
    <row r="12" spans="1:31" ht="12.75">
      <c r="A12" s="434"/>
      <c r="B12" s="435" t="s">
        <v>96</v>
      </c>
      <c r="C12" s="435"/>
      <c r="D12" s="1871" t="s">
        <v>95</v>
      </c>
      <c r="E12" s="1872"/>
      <c r="F12" s="1872"/>
      <c r="G12" s="1872"/>
      <c r="H12" s="1872"/>
      <c r="I12" s="1872"/>
      <c r="J12" s="435"/>
      <c r="K12" s="1871" t="s">
        <v>114</v>
      </c>
      <c r="L12" s="1872"/>
      <c r="M12" s="1872"/>
      <c r="N12" s="1872"/>
      <c r="O12" s="1872"/>
      <c r="P12" s="1872"/>
      <c r="Q12" s="435"/>
      <c r="R12" s="1871" t="s">
        <v>272</v>
      </c>
      <c r="S12" s="1872"/>
      <c r="T12" s="1872"/>
      <c r="U12" s="1872"/>
      <c r="V12" s="1872"/>
      <c r="W12" s="1872"/>
      <c r="X12" s="435"/>
      <c r="Y12" s="1871" t="s">
        <v>146</v>
      </c>
      <c r="Z12" s="1872"/>
      <c r="AA12" s="1872"/>
      <c r="AB12" s="1872"/>
      <c r="AC12" s="1872"/>
      <c r="AD12" s="1872"/>
      <c r="AE12" s="436"/>
    </row>
    <row r="13" spans="1:31" ht="18" customHeight="1">
      <c r="A13" s="434"/>
      <c r="B13" s="449" t="str">
        <f>+CONCATENATE('SP1'!$A$10)</f>
        <v>0</v>
      </c>
      <c r="C13" s="422"/>
      <c r="D13" s="1870" t="str">
        <f>+CONCATENATE('SP1'!$H$10)</f>
        <v>0</v>
      </c>
      <c r="E13" s="1551"/>
      <c r="F13" s="1551"/>
      <c r="G13" s="1551"/>
      <c r="H13" s="1551"/>
      <c r="I13" s="1552"/>
      <c r="J13" s="422"/>
      <c r="K13" s="1873" t="str">
        <f>+CONCATENATE('SP1'!$Q$10)</f>
        <v/>
      </c>
      <c r="L13" s="1633"/>
      <c r="M13" s="1633"/>
      <c r="N13" s="1633"/>
      <c r="O13" s="1633"/>
      <c r="P13" s="1634"/>
      <c r="Q13" s="422"/>
      <c r="R13" s="1874">
        <f>+'SP1'!$A$12</f>
        <v>0.0</v>
      </c>
      <c r="S13" s="1755"/>
      <c r="T13" s="1755"/>
      <c r="U13" s="1755"/>
      <c r="V13" s="1755"/>
      <c r="W13" s="1756"/>
      <c r="X13" s="422"/>
      <c r="Y13" s="1875" t="str">
        <f>+'SP1'!$Y$10</f>
        <v/>
      </c>
      <c r="Z13" s="1556"/>
      <c r="AA13" s="1556"/>
      <c r="AB13" s="1556"/>
      <c r="AC13" s="1556"/>
      <c r="AD13" s="978"/>
      <c r="AE13" s="437"/>
    </row>
    <row r="14" spans="1:31" ht="5.1" customHeight="1">
      <c r="A14" s="438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40"/>
    </row>
    <row r="15" spans="1:31" ht="18" customHeight="1">
      <c r="A15" s="1854" t="s">
        <v>3671</v>
      </c>
      <c r="B15" s="1855"/>
      <c r="C15" s="1855"/>
      <c r="D15" s="1855"/>
      <c r="E15" s="1855"/>
      <c r="F15" s="1855"/>
      <c r="G15" s="1855"/>
      <c r="H15" s="1855"/>
      <c r="I15" s="1855"/>
      <c r="J15" s="1855"/>
      <c r="K15" s="1855"/>
      <c r="L15" s="1855"/>
      <c r="M15" s="1855"/>
      <c r="N15" s="1855"/>
      <c r="O15" s="1855"/>
      <c r="P15" s="1855"/>
      <c r="Q15" s="1855"/>
      <c r="R15" s="1855"/>
      <c r="S15" s="1855"/>
      <c r="T15" s="1855"/>
      <c r="U15" s="1855"/>
      <c r="V15" s="1855"/>
      <c r="W15" s="1855"/>
      <c r="X15" s="1855"/>
      <c r="Y15" s="1855"/>
      <c r="Z15" s="1855"/>
      <c r="AA15" s="1855"/>
      <c r="AB15" s="1855"/>
      <c r="AC15" s="1855"/>
      <c r="AD15" s="1855"/>
      <c r="AE15" s="1856"/>
    </row>
    <row r="16" spans="1:31" s="446" customFormat="1" ht="12.75">
      <c r="A16" s="434"/>
      <c r="B16" s="1853" t="s">
        <v>3672</v>
      </c>
      <c r="C16" s="1078"/>
      <c r="D16" s="1078"/>
      <c r="E16" s="1078"/>
      <c r="F16" s="1078"/>
      <c r="G16" s="1078"/>
      <c r="H16" s="1078"/>
      <c r="I16" s="1078"/>
      <c r="J16" s="1078"/>
      <c r="K16" s="1078"/>
      <c r="L16" s="1078"/>
      <c r="M16" s="1078"/>
      <c r="N16" s="1078"/>
      <c r="O16" s="1078"/>
      <c r="P16" s="1078"/>
      <c r="Q16" s="1078"/>
      <c r="R16" s="1078"/>
      <c r="S16" s="1078"/>
      <c r="T16" s="1078"/>
      <c r="U16" s="1078"/>
      <c r="V16" s="1078"/>
      <c r="W16" s="1078"/>
      <c r="X16" s="1078"/>
      <c r="Y16" s="1078"/>
      <c r="Z16" s="1078"/>
      <c r="AA16" s="1078"/>
      <c r="AB16" s="1078"/>
      <c r="AC16" s="1078"/>
      <c r="AD16" s="1078"/>
      <c r="AE16" s="437"/>
    </row>
    <row r="17" spans="1:31" s="446" customFormat="1" ht="18" customHeight="1">
      <c r="A17" s="434"/>
      <c r="B17" s="1873"/>
      <c r="C17" s="1633"/>
      <c r="D17" s="1633"/>
      <c r="E17" s="1633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  <c r="AD17" s="1634"/>
      <c r="AE17" s="437"/>
    </row>
    <row r="18" spans="1:31" s="446" customFormat="1" ht="5.1" customHeight="1">
      <c r="A18" s="434"/>
      <c r="B18" s="1853"/>
      <c r="C18" s="1078"/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8"/>
      <c r="O18" s="1078"/>
      <c r="P18" s="1078"/>
      <c r="Q18" s="1078"/>
      <c r="R18" s="1078"/>
      <c r="S18" s="1078"/>
      <c r="T18" s="1078"/>
      <c r="U18" s="1078"/>
      <c r="V18" s="1078"/>
      <c r="W18" s="1078"/>
      <c r="X18" s="1078"/>
      <c r="Y18" s="1078"/>
      <c r="Z18" s="1078"/>
      <c r="AA18" s="1078"/>
      <c r="AB18" s="1078"/>
      <c r="AC18" s="1078"/>
      <c r="AD18" s="1078"/>
      <c r="AE18" s="437"/>
    </row>
    <row r="19" spans="1:31" s="446" customFormat="1" ht="18" customHeight="1">
      <c r="A19" s="434"/>
      <c r="B19" s="435" t="s">
        <v>3673</v>
      </c>
      <c r="C19" s="107"/>
      <c r="D19" s="1865">
        <f>+'DAP1'!F24</f>
        <v>2022.0</v>
      </c>
      <c r="E19" s="1867"/>
      <c r="F19" s="1895" t="s">
        <v>3730</v>
      </c>
      <c r="G19" s="1026"/>
      <c r="H19" s="1026"/>
      <c r="I19" s="1026"/>
      <c r="J19" s="1026"/>
      <c r="K19" s="1026"/>
      <c r="L19" s="1078"/>
      <c r="M19" s="1564"/>
      <c r="N19" s="1892"/>
      <c r="O19" s="1893"/>
      <c r="P19" s="1551"/>
      <c r="Q19" s="1552"/>
      <c r="R19" s="1894" t="s">
        <v>3674</v>
      </c>
      <c r="S19" s="1078"/>
      <c r="T19" s="1078"/>
      <c r="U19" s="1078"/>
      <c r="V19" s="1078"/>
      <c r="W19" s="1078"/>
      <c r="X19" s="1078"/>
      <c r="Y19" s="1078"/>
      <c r="Z19" s="1078"/>
      <c r="AA19" s="1078"/>
      <c r="AB19" s="1078"/>
      <c r="AC19" s="1078"/>
      <c r="AD19" s="1078"/>
      <c r="AE19" s="1564"/>
    </row>
    <row r="20" spans="1:31" s="446" customFormat="1" ht="5.1" customHeight="1">
      <c r="A20" s="434"/>
      <c r="B20" s="1853"/>
      <c r="C20" s="1078"/>
      <c r="D20" s="1078"/>
      <c r="E20" s="1078"/>
      <c r="F20" s="1078"/>
      <c r="G20" s="1078"/>
      <c r="H20" s="1078"/>
      <c r="I20" s="1078"/>
      <c r="J20" s="1078"/>
      <c r="K20" s="1078"/>
      <c r="L20" s="1078"/>
      <c r="M20" s="1078"/>
      <c r="N20" s="1078"/>
      <c r="O20" s="1078"/>
      <c r="P20" s="1078"/>
      <c r="Q20" s="1078"/>
      <c r="R20" s="1078"/>
      <c r="S20" s="1078"/>
      <c r="T20" s="1078"/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8"/>
      <c r="AE20" s="1564"/>
    </row>
    <row r="21" spans="1:31" s="446" customFormat="1" ht="18" customHeight="1">
      <c r="A21" s="434"/>
      <c r="B21" s="1853"/>
      <c r="C21" s="1078"/>
      <c r="D21" s="1078"/>
      <c r="E21" s="1078"/>
      <c r="F21" s="1026" t="s">
        <v>3731</v>
      </c>
      <c r="G21" s="1026"/>
      <c r="H21" s="1026"/>
      <c r="I21" s="1026"/>
      <c r="J21" s="1026"/>
      <c r="K21" s="1026"/>
      <c r="L21" s="1078"/>
      <c r="M21" s="1564"/>
      <c r="N21" s="1892"/>
      <c r="O21" s="1893"/>
      <c r="P21" s="1551"/>
      <c r="Q21" s="1552"/>
      <c r="R21" s="1026" t="s">
        <v>3732</v>
      </c>
      <c r="S21" s="1026"/>
      <c r="T21" s="1026"/>
      <c r="U21" s="1026"/>
      <c r="V21" s="1026"/>
      <c r="W21" s="1026"/>
      <c r="X21" s="1078"/>
      <c r="Y21" s="1564"/>
      <c r="Z21" s="1892"/>
      <c r="AA21" s="1893"/>
      <c r="AB21" s="1551"/>
      <c r="AC21" s="1552"/>
      <c r="AD21" s="1710"/>
      <c r="AE21" s="1564"/>
    </row>
    <row r="22" spans="1:31" s="446" customFormat="1" ht="5.1" customHeight="1">
      <c r="A22" s="438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40"/>
    </row>
    <row r="23" spans="1:31" s="446" customFormat="1" ht="18" customHeight="1">
      <c r="A23" s="1854" t="s">
        <v>3667</v>
      </c>
      <c r="B23" s="1855"/>
      <c r="C23" s="1855"/>
      <c r="D23" s="1855"/>
      <c r="E23" s="1855"/>
      <c r="F23" s="1855"/>
      <c r="G23" s="1855"/>
      <c r="H23" s="1855"/>
      <c r="I23" s="1855"/>
      <c r="J23" s="1855"/>
      <c r="K23" s="1855"/>
      <c r="L23" s="1855"/>
      <c r="M23" s="1855"/>
      <c r="N23" s="1855"/>
      <c r="O23" s="1855"/>
      <c r="P23" s="1855"/>
      <c r="Q23" s="1855"/>
      <c r="R23" s="1855"/>
      <c r="S23" s="1855"/>
      <c r="T23" s="1855"/>
      <c r="U23" s="1855"/>
      <c r="V23" s="1855"/>
      <c r="W23" s="1855"/>
      <c r="X23" s="1855"/>
      <c r="Y23" s="1855"/>
      <c r="Z23" s="1855"/>
      <c r="AA23" s="1855"/>
      <c r="AB23" s="1855"/>
      <c r="AC23" s="1855"/>
      <c r="AD23" s="1855"/>
      <c r="AE23" s="1856"/>
    </row>
    <row r="24" spans="1:31" s="446" customFormat="1" ht="60" customHeight="1">
      <c r="A24" s="1864"/>
      <c r="B24" s="1078"/>
      <c r="C24" s="1078"/>
      <c r="D24" s="1078"/>
      <c r="E24" s="1078"/>
      <c r="F24" s="1078"/>
      <c r="G24" s="1078"/>
      <c r="H24" s="1078"/>
      <c r="I24" s="1078"/>
      <c r="J24" s="1078"/>
      <c r="K24" s="1078"/>
      <c r="L24" s="1078"/>
      <c r="M24" s="1078"/>
      <c r="N24" s="1078"/>
      <c r="O24" s="1078"/>
      <c r="P24" s="1078"/>
      <c r="Q24" s="1078"/>
      <c r="R24" s="1078"/>
      <c r="S24" s="1078"/>
      <c r="T24" s="1859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437"/>
    </row>
    <row r="25" spans="1:31" s="446" customFormat="1" ht="18" customHeight="1">
      <c r="A25" s="434"/>
      <c r="B25" s="442" t="s">
        <v>357</v>
      </c>
      <c r="C25" s="1857">
        <f ca="1">+TODAY()</f>
        <v>44994.0</v>
      </c>
      <c r="D25" s="1858"/>
      <c r="E25" s="1858"/>
      <c r="F25" s="1858"/>
      <c r="G25" s="1604"/>
      <c r="H25" s="1078"/>
      <c r="I25" s="1078"/>
      <c r="J25" s="1078"/>
      <c r="K25" s="1078"/>
      <c r="L25" s="1078"/>
      <c r="M25" s="1078"/>
      <c r="N25" s="1078"/>
      <c r="O25" s="1078"/>
      <c r="P25" s="1078"/>
      <c r="Q25" s="1078"/>
      <c r="R25" s="1078"/>
      <c r="S25" s="1078"/>
      <c r="T25" s="1861"/>
      <c r="U25" s="1861"/>
      <c r="V25" s="1861"/>
      <c r="W25" s="1861"/>
      <c r="X25" s="1861"/>
      <c r="Y25" s="1861"/>
      <c r="Z25" s="1861"/>
      <c r="AA25" s="1861"/>
      <c r="AB25" s="1861"/>
      <c r="AC25" s="1861"/>
      <c r="AD25" s="1861"/>
      <c r="AE25" s="437"/>
    </row>
    <row r="26" spans="1:31" s="446" customFormat="1" ht="12.75">
      <c r="A26" s="434"/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1862" t="s">
        <v>359</v>
      </c>
      <c r="U26" s="1863"/>
      <c r="V26" s="1863"/>
      <c r="W26" s="1863"/>
      <c r="X26" s="1863"/>
      <c r="Y26" s="1863"/>
      <c r="Z26" s="1863"/>
      <c r="AA26" s="1863"/>
      <c r="AB26" s="1863"/>
      <c r="AC26" s="1863"/>
      <c r="AD26" s="1863"/>
      <c r="AE26" s="437"/>
    </row>
    <row r="27" spans="1:31" s="446" customFormat="1" ht="5.1" customHeight="1">
      <c r="A27" s="438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40"/>
    </row>
    <row r="28" spans="1:31" s="446" customFormat="1" ht="28.5" customHeight="1">
      <c r="A28" s="444"/>
      <c r="B28" s="1847" t="s">
        <v>3668</v>
      </c>
      <c r="C28" s="1848"/>
      <c r="D28" s="1848"/>
      <c r="E28" s="1848"/>
      <c r="F28" s="1848"/>
      <c r="G28" s="1848"/>
      <c r="H28" s="1848"/>
      <c r="I28" s="1848"/>
      <c r="J28" s="1848"/>
      <c r="K28" s="1848"/>
      <c r="L28" s="1848"/>
      <c r="M28" s="1848"/>
      <c r="N28" s="1848"/>
      <c r="O28" s="1848"/>
      <c r="P28" s="1848"/>
      <c r="Q28" s="1848"/>
      <c r="R28" s="1848"/>
      <c r="S28" s="1848"/>
      <c r="T28" s="1848"/>
      <c r="U28" s="1848"/>
      <c r="V28" s="1848"/>
      <c r="W28" s="1848"/>
      <c r="X28" s="1848"/>
      <c r="Y28" s="1848"/>
      <c r="Z28" s="1848"/>
      <c r="AA28" s="1848"/>
      <c r="AB28" s="1848"/>
      <c r="AC28" s="1848"/>
      <c r="AD28" s="1848"/>
      <c r="AE28" s="445"/>
    </row>
    <row r="29" spans="1:31" s="446" customFormat="1" ht="12.75">
      <c r="A29" s="1849"/>
      <c r="B29" s="1540"/>
      <c r="C29" s="1540"/>
      <c r="D29" s="1540"/>
      <c r="E29" s="1540"/>
      <c r="F29" s="1540"/>
      <c r="G29" s="1540"/>
      <c r="H29" s="1540"/>
      <c r="I29" s="1540"/>
      <c r="J29" s="1540"/>
      <c r="K29" s="1540"/>
      <c r="L29" s="1540"/>
      <c r="M29" s="1540"/>
      <c r="N29" s="1540"/>
      <c r="O29" s="1540"/>
      <c r="P29" s="1540"/>
      <c r="Q29" s="1540"/>
      <c r="R29" s="1540"/>
      <c r="S29" s="1540"/>
      <c r="T29" s="1540"/>
      <c r="U29" s="1540"/>
      <c r="V29" s="1540"/>
      <c r="W29" s="1540"/>
      <c r="X29" s="1540"/>
      <c r="Y29" s="1540"/>
      <c r="Z29" s="1540"/>
      <c r="AA29" s="1850" t="s">
        <v>3675</v>
      </c>
      <c r="AB29" s="1851"/>
      <c r="AC29" s="1851"/>
      <c r="AD29" s="1851"/>
      <c r="AE29" s="1852"/>
    </row>
    <row r="30" spans="1:31" s="446" customFormat="1" ht="12.75">
      <c r="A30" s="448"/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</row>
    <row r="31" spans="1:31" s="446" customFormat="1" ht="12.75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</row>
    <row r="32" spans="1:31" s="446" customFormat="1" ht="12.75">
      <c r="A32" s="448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</row>
    <row r="33" spans="1:31" s="446" customFormat="1" ht="12.75">
      <c r="A33" s="448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</row>
    <row r="34" spans="1:31" s="446" customFormat="1" ht="12.75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</row>
    <row r="35" spans="1:31" s="446" customFormat="1" ht="12.75">
      <c r="A35" s="448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</row>
    <row r="36" spans="1:31" s="446" customFormat="1" ht="12.75">
      <c r="A36" s="448"/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</row>
    <row r="37" spans="1:31" s="446" customFormat="1" ht="12.75">
      <c r="A37" s="448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</row>
    <row r="38" spans="1:31" s="446" customFormat="1" ht="12.75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</row>
    <row r="39" spans="1:31" s="446" customFormat="1" ht="12.75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</row>
    <row r="40" spans="1:31" s="446" customFormat="1" ht="12.75">
      <c r="A40" s="448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</row>
    <row r="41" spans="1:31" s="446" customFormat="1" ht="12.75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</row>
    <row r="42" spans="1:31" s="446" customFormat="1" ht="12.75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</row>
    <row r="43" spans="1:31" s="446" customFormat="1" ht="12.75">
      <c r="A43" s="448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</row>
    <row r="44" spans="1:31" s="446" customFormat="1" ht="12.75">
      <c r="A44" s="448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</row>
    <row r="45" spans="1:31" s="446" customFormat="1" ht="12.75">
      <c r="A45" s="448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</row>
    <row r="46" s="446" customFormat="1" ht="12.75"/>
    <row r="47" s="446" customFormat="1" ht="12.75"/>
    <row r="48" s="446" customFormat="1" ht="12.75"/>
    <row r="49" s="446" customFormat="1" ht="12.75"/>
    <row r="50" s="446" customFormat="1" ht="12.75"/>
    <row r="51" s="446" customFormat="1" ht="12.75"/>
    <row r="52" s="446" customFormat="1" ht="12.75"/>
    <row r="53" s="446" customFormat="1" ht="12.75"/>
    <row r="54" s="446" customFormat="1" ht="12.75"/>
    <row r="55" s="446" customFormat="1" ht="12.75"/>
    <row r="56" s="446" customFormat="1" ht="12.75"/>
    <row r="57" s="446" customFormat="1" ht="12.75"/>
    <row r="58" s="446" customFormat="1" ht="12.75"/>
    <row r="59" s="446" customFormat="1" ht="12.75"/>
    <row r="60" s="446" customFormat="1" ht="12.75"/>
    <row r="61" s="446" customFormat="1" ht="12.75"/>
    <row r="62" s="446" customFormat="1" ht="12.75"/>
    <row r="63" s="446" customFormat="1" ht="12.75"/>
    <row r="64" s="446" customFormat="1" ht="12.75"/>
    <row r="65" s="446" customFormat="1" ht="12.75"/>
    <row r="66" s="446" customFormat="1" ht="12.75"/>
    <row r="67" s="446" customFormat="1" ht="12.75"/>
    <row r="68" s="446" customFormat="1" ht="12.75"/>
    <row r="69" s="446" customFormat="1" ht="12.75"/>
    <row r="70" s="446" customFormat="1" ht="12.75"/>
    <row r="71" s="446" customFormat="1" ht="12.75"/>
    <row r="72" s="446" customFormat="1" ht="12.75"/>
    <row r="73" s="446" customFormat="1" ht="12.75"/>
    <row r="74" s="446" customFormat="1" ht="12.75"/>
    <row r="75" s="446" customFormat="1" ht="12.75"/>
    <row r="76" s="446" customFormat="1" ht="12.75"/>
    <row r="77" s="446" customFormat="1" ht="12.75"/>
    <row r="78" s="446" customFormat="1" ht="12.75"/>
    <row r="79" s="446" customFormat="1" ht="12.75"/>
    <row r="80" s="446" customFormat="1" ht="12.75"/>
    <row r="81" s="446" customFormat="1" ht="12.75"/>
    <row r="82" s="446" customFormat="1" ht="12.75"/>
    <row r="83" s="446" customFormat="1" ht="12.75"/>
    <row r="84" s="446" customFormat="1" ht="12.75"/>
    <row r="85" s="446" customFormat="1" ht="12.75"/>
    <row r="86" s="446" customFormat="1" ht="12.75"/>
    <row r="87" s="446" customFormat="1" ht="12.75"/>
    <row r="88" s="446" customFormat="1" ht="12.75"/>
    <row r="89" s="446" customFormat="1" ht="12.75"/>
    <row r="90" s="446" customFormat="1" ht="12.75"/>
    <row r="91" s="446" customFormat="1" ht="12.75"/>
    <row r="92" s="446" customFormat="1" ht="12.75"/>
    <row r="93" s="446" customFormat="1" ht="12.75"/>
    <row r="94" s="446" customFormat="1" ht="12.75"/>
    <row r="95" s="446" customFormat="1" ht="12.75"/>
    <row r="96" s="446" customFormat="1" ht="12.75"/>
    <row r="97" s="446" customFormat="1" ht="12.75"/>
    <row r="98" s="446" customFormat="1" ht="12.75"/>
    <row r="99" s="446" customFormat="1" ht="12.75"/>
    <row r="100" s="446" customFormat="1" ht="12.75"/>
    <row r="101" spans="1:31" s="446" customFormat="1" ht="12.75">
      <c r="A101" s="433"/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</row>
  </sheetData>
  <sheetProtection password="EF65" sheet="1" objects="1" scenarios="1"/>
  <mergeCells count="45">
    <mergeCell ref="F19:M19"/>
    <mergeCell ref="N19:Q19"/>
    <mergeCell ref="F21:M21"/>
    <mergeCell ref="N21:Q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B21:E21"/>
    <mergeCell ref="R21:Y21"/>
    <mergeCell ref="Z21:AC21"/>
    <mergeCell ref="R19:AE19"/>
    <mergeCell ref="AD21:AE21"/>
    <mergeCell ref="B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53"/>
  <sheetViews>
    <sheetView workbookViewId="0" topLeftCell="A1">
      <selection pane="topLeft" activeCell="B10" sqref="B10:I10"/>
    </sheetView>
  </sheetViews>
  <sheetFormatPr defaultRowHeight="12"/>
  <cols>
    <col min="1" max="6" width="9.142857142857142" style="484"/>
    <col min="7" max="7" width="9.857142857142858" style="484" customWidth="1"/>
    <col min="8" max="8" width="9.142857142857142" style="484"/>
    <col min="9" max="9" width="12.285714285714286" style="484" customWidth="1"/>
    <col min="10" max="53" width="9.142857142857142" style="483"/>
    <col min="54" max="16384" width="9.142857142857142" style="484"/>
  </cols>
  <sheetData>
    <row r="1" spans="1:9" ht="15.75" customHeight="1">
      <c r="A1" s="1920" t="s">
        <v>3710</v>
      </c>
      <c r="B1" s="1920"/>
      <c r="C1" s="1920"/>
      <c r="D1" s="1920"/>
      <c r="E1" s="1920"/>
      <c r="F1" s="1920"/>
      <c r="G1" s="1920"/>
      <c r="H1" s="1920"/>
      <c r="I1" s="1920"/>
    </row>
    <row r="2" spans="1:9" ht="12">
      <c r="A2" s="1920"/>
      <c r="B2" s="1920"/>
      <c r="C2" s="1920"/>
      <c r="D2" s="1920"/>
      <c r="E2" s="1920"/>
      <c r="F2" s="1920"/>
      <c r="G2" s="1920"/>
      <c r="H2" s="1920"/>
      <c r="I2" s="1920"/>
    </row>
    <row r="3" spans="1:9" ht="15" customHeight="1">
      <c r="A3" s="1898" t="s">
        <v>3711</v>
      </c>
      <c r="B3" s="1898"/>
      <c r="C3" s="1898"/>
      <c r="D3" s="1898"/>
      <c r="E3" s="1898"/>
      <c r="F3" s="1898"/>
      <c r="G3" s="1898"/>
      <c r="H3" s="1898"/>
      <c r="I3" s="1898"/>
    </row>
    <row r="4" spans="1:9" ht="18" customHeight="1">
      <c r="A4" s="1921"/>
      <c r="B4" s="1922"/>
      <c r="C4" s="1922"/>
      <c r="D4" s="1922"/>
      <c r="E4" s="1922"/>
      <c r="F4" s="1922"/>
      <c r="G4" s="1922"/>
      <c r="H4" s="1922"/>
      <c r="I4" s="1922"/>
    </row>
    <row r="5" spans="1:9" ht="15" customHeight="1">
      <c r="A5" s="1923" t="s">
        <v>3712</v>
      </c>
      <c r="B5" s="1923"/>
      <c r="C5" s="1923"/>
      <c r="D5" s="1923"/>
      <c r="E5" s="1923"/>
      <c r="F5" s="1923"/>
      <c r="G5" s="1923"/>
      <c r="H5" s="1923"/>
      <c r="I5" s="1923"/>
    </row>
    <row r="6" spans="1:9" ht="18" customHeight="1">
      <c r="A6" s="1924"/>
      <c r="B6" s="1925"/>
      <c r="C6" s="1925"/>
      <c r="D6" s="1925"/>
      <c r="E6" s="1925"/>
      <c r="F6" s="1898" t="s">
        <v>3713</v>
      </c>
      <c r="G6" s="1926"/>
      <c r="H6" s="1927"/>
      <c r="I6" s="1928"/>
    </row>
    <row r="7" spans="1:9" ht="15" customHeight="1">
      <c r="A7" s="1898"/>
      <c r="B7" s="1898"/>
      <c r="C7" s="1898"/>
      <c r="D7" s="1898"/>
      <c r="E7" s="1898"/>
      <c r="F7" s="1898"/>
      <c r="G7" s="1898"/>
      <c r="H7" s="1898"/>
      <c r="I7" s="1898"/>
    </row>
    <row r="8" spans="1:9" ht="18" customHeight="1">
      <c r="A8" s="1901" t="s">
        <v>3714</v>
      </c>
      <c r="B8" s="1901"/>
      <c r="C8" s="1912" t="str">
        <f>+CONCATENATE(ZAKL_DATA!B4," ",ZAKL_DATA!B5)</f>
        <v xml:space="preserve"> </v>
      </c>
      <c r="D8" s="1912"/>
      <c r="E8" s="1912"/>
      <c r="F8" s="1913"/>
      <c r="G8" s="485" t="s">
        <v>3715</v>
      </c>
      <c r="H8" s="1914" t="str">
        <f>+'DAP1'!A9</f>
        <v/>
      </c>
      <c r="I8" s="1915"/>
    </row>
    <row r="9" spans="1:9" ht="15" customHeight="1">
      <c r="A9" s="1898"/>
      <c r="B9" s="1898"/>
      <c r="C9" s="1904" t="s">
        <v>3716</v>
      </c>
      <c r="D9" s="1904"/>
      <c r="E9" s="1904"/>
      <c r="F9" s="1916"/>
      <c r="G9" s="1898"/>
      <c r="H9" s="1917"/>
      <c r="I9" s="1917"/>
    </row>
    <row r="10" spans="1:53" s="488" customFormat="1" ht="18" customHeight="1">
      <c r="A10" s="486" t="s">
        <v>3717</v>
      </c>
      <c r="B10" s="1918" t="str">
        <f>+Prohl_manž!B7</f>
        <v xml:space="preserve"> , , PSČ </v>
      </c>
      <c r="C10" s="1918"/>
      <c r="D10" s="1918"/>
      <c r="E10" s="1918"/>
      <c r="F10" s="1918"/>
      <c r="G10" s="1918"/>
      <c r="H10" s="1918"/>
      <c r="I10" s="1918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</row>
    <row r="11" spans="1:9" ht="15" customHeight="1">
      <c r="A11" s="1898"/>
      <c r="B11" s="1898"/>
      <c r="C11" s="1898"/>
      <c r="D11" s="1898"/>
      <c r="E11" s="1898"/>
      <c r="F11" s="1898"/>
      <c r="G11" s="1898"/>
      <c r="H11" s="1898"/>
      <c r="I11" s="1898"/>
    </row>
    <row r="12" spans="1:53" s="488" customFormat="1" ht="18" customHeight="1">
      <c r="A12" s="1901" t="s">
        <v>3718</v>
      </c>
      <c r="B12" s="1901"/>
      <c r="C12" s="1901"/>
      <c r="D12" s="1919">
        <f>+'DAP1'!F24</f>
        <v>2022.0</v>
      </c>
      <c r="E12" s="1919"/>
      <c r="F12" s="1901" t="s">
        <v>3719</v>
      </c>
      <c r="G12" s="1901"/>
      <c r="H12" s="1901"/>
      <c r="I12" s="1901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</row>
    <row r="13" spans="1:53" s="488" customFormat="1" ht="18" customHeight="1">
      <c r="A13" s="1910" t="s">
        <v>3720</v>
      </c>
      <c r="B13" s="1910"/>
      <c r="C13" s="1910"/>
      <c r="D13" s="1910"/>
      <c r="E13" s="1910"/>
      <c r="F13" s="1910"/>
      <c r="G13" s="1911" t="s">
        <v>3721</v>
      </c>
      <c r="H13" s="1911"/>
      <c r="I13" s="1911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</row>
    <row r="14" spans="1:53" s="488" customFormat="1" ht="18" customHeight="1">
      <c r="A14" s="1901" t="s">
        <v>3722</v>
      </c>
      <c r="B14" s="1901"/>
      <c r="C14" s="1901"/>
      <c r="D14" s="1901"/>
      <c r="E14" s="1901"/>
      <c r="F14" s="1901"/>
      <c r="G14" s="1901"/>
      <c r="H14" s="1901"/>
      <c r="I14" s="1901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</row>
    <row r="15" spans="1:53" s="491" customFormat="1" ht="18" customHeight="1">
      <c r="A15" s="1905">
        <f>+'DAP2'!E4</f>
        <v>0.0</v>
      </c>
      <c r="B15" s="1905"/>
      <c r="C15" s="1905"/>
      <c r="D15" s="489" t="s">
        <v>3723</v>
      </c>
      <c r="E15" s="1906"/>
      <c r="F15" s="1906"/>
      <c r="G15" s="1906"/>
      <c r="H15" s="1906"/>
      <c r="I15" s="1906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90"/>
      <c r="AX15" s="490"/>
      <c r="AY15" s="490"/>
      <c r="AZ15" s="490"/>
      <c r="BA15" s="490"/>
    </row>
    <row r="16" spans="1:9" ht="15" customHeight="1">
      <c r="A16" s="1907"/>
      <c r="B16" s="1907"/>
      <c r="C16" s="1907"/>
      <c r="D16" s="1907"/>
      <c r="E16" s="1907"/>
      <c r="F16" s="1907"/>
      <c r="G16" s="1907"/>
      <c r="H16" s="1907"/>
      <c r="I16" s="1907"/>
    </row>
    <row r="17" spans="1:9" ht="15" customHeight="1">
      <c r="A17" s="1907"/>
      <c r="B17" s="1907"/>
      <c r="C17" s="1907"/>
      <c r="D17" s="1907"/>
      <c r="E17" s="1907"/>
      <c r="F17" s="1907"/>
      <c r="G17" s="1907"/>
      <c r="H17" s="1907"/>
      <c r="I17" s="1907"/>
    </row>
    <row r="18" spans="1:9" ht="15" customHeight="1">
      <c r="A18" s="1907"/>
      <c r="B18" s="1907"/>
      <c r="C18" s="1907"/>
      <c r="D18" s="1907"/>
      <c r="E18" s="1907"/>
      <c r="F18" s="1907"/>
      <c r="G18" s="1907"/>
      <c r="H18" s="1907"/>
      <c r="I18" s="1907"/>
    </row>
    <row r="19" spans="1:9" ht="15" customHeight="1">
      <c r="A19" s="1907"/>
      <c r="B19" s="1907"/>
      <c r="C19" s="1907"/>
      <c r="D19" s="1907"/>
      <c r="E19" s="1907"/>
      <c r="F19" s="1907"/>
      <c r="G19" s="1907"/>
      <c r="H19" s="1907"/>
      <c r="I19" s="1907"/>
    </row>
    <row r="20" spans="1:53" s="488" customFormat="1" ht="15" customHeight="1">
      <c r="A20" s="486" t="s">
        <v>3724</v>
      </c>
      <c r="B20" s="1908">
        <f ca="1">TODAY()</f>
        <v>44994.0</v>
      </c>
      <c r="C20" s="1908"/>
      <c r="D20" s="1909"/>
      <c r="E20" s="1909"/>
      <c r="F20" s="1909"/>
      <c r="G20" s="1909"/>
      <c r="H20" s="1909"/>
      <c r="I20" s="1909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</row>
    <row r="21" spans="1:9" ht="15" customHeight="1">
      <c r="A21" s="1900" t="s">
        <v>3725</v>
      </c>
      <c r="B21" s="1900"/>
      <c r="C21" s="1900"/>
      <c r="D21" s="1900"/>
      <c r="E21" s="1900"/>
      <c r="F21" s="1900"/>
      <c r="G21" s="1900"/>
      <c r="H21" s="1900"/>
      <c r="I21" s="1900"/>
    </row>
    <row r="22" spans="1:9" ht="15" customHeight="1">
      <c r="A22" s="1898"/>
      <c r="B22" s="1898"/>
      <c r="C22" s="1898"/>
      <c r="D22" s="1898"/>
      <c r="E22" s="1898"/>
      <c r="F22" s="1898"/>
      <c r="G22" s="1898"/>
      <c r="H22" s="1898"/>
      <c r="I22" s="1898"/>
    </row>
    <row r="23" spans="1:53" s="488" customFormat="1" ht="15" customHeight="1">
      <c r="A23" s="1901" t="s">
        <v>3726</v>
      </c>
      <c r="B23" s="1901"/>
      <c r="C23" s="1901"/>
      <c r="D23" s="1902"/>
      <c r="E23" s="1902"/>
      <c r="F23" s="1902"/>
      <c r="G23" s="492" t="s">
        <v>3727</v>
      </c>
      <c r="H23" s="1903"/>
      <c r="I23" s="1903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</row>
    <row r="24" spans="1:9" ht="15" customHeight="1">
      <c r="A24" s="1898"/>
      <c r="B24" s="1898"/>
      <c r="C24" s="1898"/>
      <c r="D24" s="1904" t="s">
        <v>3716</v>
      </c>
      <c r="E24" s="1904"/>
      <c r="F24" s="1904"/>
      <c r="G24" s="1898"/>
      <c r="H24" s="1898"/>
      <c r="I24" s="1898"/>
    </row>
    <row r="25" spans="1:9" ht="12">
      <c r="A25" s="1898"/>
      <c r="B25" s="1898"/>
      <c r="C25" s="1898"/>
      <c r="D25" s="1898"/>
      <c r="E25" s="1898"/>
      <c r="F25" s="1898"/>
      <c r="G25" s="1898"/>
      <c r="H25" s="1898"/>
      <c r="I25" s="1898"/>
    </row>
    <row r="26" spans="1:9" ht="12">
      <c r="A26" s="1898"/>
      <c r="B26" s="1898"/>
      <c r="C26" s="1898"/>
      <c r="D26" s="1898"/>
      <c r="E26" s="1898"/>
      <c r="F26" s="1898"/>
      <c r="G26" s="1898"/>
      <c r="H26" s="1898"/>
      <c r="I26" s="1898"/>
    </row>
    <row r="27" spans="1:9" ht="12">
      <c r="A27" s="1898"/>
      <c r="B27" s="1898"/>
      <c r="C27" s="1898"/>
      <c r="D27" s="1898"/>
      <c r="E27" s="1898"/>
      <c r="F27" s="1898"/>
      <c r="G27" s="1898"/>
      <c r="H27" s="1898"/>
      <c r="I27" s="1898"/>
    </row>
    <row r="28" spans="1:9" ht="12">
      <c r="A28" s="1898"/>
      <c r="B28" s="1898"/>
      <c r="C28" s="1898"/>
      <c r="D28" s="1898"/>
      <c r="E28" s="1898"/>
      <c r="F28" s="1898"/>
      <c r="G28" s="1898"/>
      <c r="H28" s="1898"/>
      <c r="I28" s="1898"/>
    </row>
    <row r="29" spans="1:9" ht="12">
      <c r="A29" s="1898"/>
      <c r="B29" s="1898"/>
      <c r="C29" s="1898"/>
      <c r="D29" s="1898"/>
      <c r="E29" s="1898"/>
      <c r="F29" s="1898"/>
      <c r="G29" s="1898"/>
      <c r="H29" s="1898"/>
      <c r="I29" s="1898"/>
    </row>
    <row r="30" spans="1:9" ht="12">
      <c r="A30" s="1898"/>
      <c r="B30" s="1898"/>
      <c r="C30" s="1898"/>
      <c r="D30" s="1898"/>
      <c r="E30" s="1898"/>
      <c r="F30" s="1898"/>
      <c r="G30" s="1898"/>
      <c r="H30" s="1898"/>
      <c r="I30" s="1898"/>
    </row>
    <row r="31" spans="1:9" ht="12">
      <c r="A31" s="1898"/>
      <c r="B31" s="1898"/>
      <c r="C31" s="1898"/>
      <c r="D31" s="1898"/>
      <c r="E31" s="1898"/>
      <c r="F31" s="1898"/>
      <c r="G31" s="1898"/>
      <c r="H31" s="1898"/>
      <c r="I31" s="1898"/>
    </row>
    <row r="32" spans="1:9" ht="12">
      <c r="A32" s="1898"/>
      <c r="B32" s="1898"/>
      <c r="C32" s="1898"/>
      <c r="D32" s="1898"/>
      <c r="E32" s="1898"/>
      <c r="F32" s="1898"/>
      <c r="G32" s="1898"/>
      <c r="H32" s="1898"/>
      <c r="I32" s="1898"/>
    </row>
    <row r="33" spans="1:9" ht="12">
      <c r="A33" s="1898"/>
      <c r="B33" s="1898"/>
      <c r="C33" s="1898"/>
      <c r="D33" s="1898"/>
      <c r="E33" s="1898"/>
      <c r="F33" s="1898"/>
      <c r="G33" s="1898"/>
      <c r="H33" s="1898"/>
      <c r="I33" s="1898"/>
    </row>
    <row r="34" spans="1:9" ht="12">
      <c r="A34" s="1898"/>
      <c r="B34" s="1898"/>
      <c r="C34" s="1898"/>
      <c r="D34" s="1898"/>
      <c r="E34" s="1898"/>
      <c r="F34" s="1898"/>
      <c r="G34" s="1898"/>
      <c r="H34" s="1898"/>
      <c r="I34" s="1898"/>
    </row>
    <row r="35" spans="1:9" ht="12">
      <c r="A35" s="1898"/>
      <c r="B35" s="1898"/>
      <c r="C35" s="1898"/>
      <c r="D35" s="1898"/>
      <c r="E35" s="1898"/>
      <c r="F35" s="1898"/>
      <c r="G35" s="1898"/>
      <c r="H35" s="1898"/>
      <c r="I35" s="1898"/>
    </row>
    <row r="36" spans="1:9" ht="12">
      <c r="A36" s="1898"/>
      <c r="B36" s="1898"/>
      <c r="C36" s="1898"/>
      <c r="D36" s="1898"/>
      <c r="E36" s="1898"/>
      <c r="F36" s="1898"/>
      <c r="G36" s="1898"/>
      <c r="H36" s="1898"/>
      <c r="I36" s="1898"/>
    </row>
    <row r="37" spans="1:9" ht="12">
      <c r="A37" s="1898"/>
      <c r="B37" s="1898"/>
      <c r="C37" s="1898"/>
      <c r="D37" s="1898"/>
      <c r="E37" s="1898"/>
      <c r="F37" s="1898"/>
      <c r="G37" s="1898"/>
      <c r="H37" s="1898"/>
      <c r="I37" s="1898"/>
    </row>
    <row r="38" spans="1:9" ht="12">
      <c r="A38" s="1898"/>
      <c r="B38" s="1898"/>
      <c r="C38" s="1898"/>
      <c r="D38" s="1898"/>
      <c r="E38" s="1898"/>
      <c r="F38" s="1898"/>
      <c r="G38" s="1898"/>
      <c r="H38" s="1898"/>
      <c r="I38" s="1898"/>
    </row>
    <row r="39" spans="1:9" ht="12">
      <c r="A39" s="1898"/>
      <c r="B39" s="1898"/>
      <c r="C39" s="1898"/>
      <c r="D39" s="1898"/>
      <c r="E39" s="1898"/>
      <c r="F39" s="1898"/>
      <c r="G39" s="1898"/>
      <c r="H39" s="1898"/>
      <c r="I39" s="1898"/>
    </row>
    <row r="40" spans="1:9" ht="12">
      <c r="A40" s="1898"/>
      <c r="B40" s="1898"/>
      <c r="C40" s="1898"/>
      <c r="D40" s="1898"/>
      <c r="E40" s="1898"/>
      <c r="F40" s="1898"/>
      <c r="G40" s="1898"/>
      <c r="H40" s="1898"/>
      <c r="I40" s="1898"/>
    </row>
    <row r="41" spans="1:9" ht="12">
      <c r="A41" s="1898"/>
      <c r="B41" s="1898"/>
      <c r="C41" s="1898"/>
      <c r="D41" s="1898"/>
      <c r="E41" s="1898"/>
      <c r="F41" s="1898"/>
      <c r="G41" s="1898"/>
      <c r="H41" s="1898"/>
      <c r="I41" s="1898"/>
    </row>
    <row r="42" spans="1:9" ht="12">
      <c r="A42" s="1898"/>
      <c r="B42" s="1898"/>
      <c r="C42" s="1898"/>
      <c r="D42" s="1898"/>
      <c r="E42" s="1898"/>
      <c r="F42" s="1898"/>
      <c r="G42" s="1898"/>
      <c r="H42" s="1898"/>
      <c r="I42" s="1898"/>
    </row>
    <row r="43" spans="1:9" ht="12">
      <c r="A43" s="1898"/>
      <c r="B43" s="1898"/>
      <c r="C43" s="1898"/>
      <c r="D43" s="1898"/>
      <c r="E43" s="1898"/>
      <c r="F43" s="1898"/>
      <c r="G43" s="1898"/>
      <c r="H43" s="1898"/>
      <c r="I43" s="1898"/>
    </row>
    <row r="44" spans="1:9" ht="12">
      <c r="A44" s="1898"/>
      <c r="B44" s="1898"/>
      <c r="C44" s="1898"/>
      <c r="D44" s="1898"/>
      <c r="E44" s="1898"/>
      <c r="F44" s="1898"/>
      <c r="G44" s="1898"/>
      <c r="H44" s="1898"/>
      <c r="I44" s="1898"/>
    </row>
    <row r="45" spans="1:9" ht="12">
      <c r="A45" s="1898"/>
      <c r="B45" s="1898"/>
      <c r="C45" s="1898"/>
      <c r="D45" s="1898"/>
      <c r="E45" s="1898"/>
      <c r="F45" s="1898"/>
      <c r="G45" s="1898"/>
      <c r="H45" s="1898"/>
      <c r="I45" s="1898"/>
    </row>
    <row r="46" spans="1:9" ht="12">
      <c r="A46" s="1898"/>
      <c r="B46" s="1898"/>
      <c r="C46" s="1898"/>
      <c r="D46" s="1898"/>
      <c r="E46" s="1898"/>
      <c r="F46" s="1898"/>
      <c r="G46" s="1898"/>
      <c r="H46" s="1898"/>
      <c r="I46" s="1898"/>
    </row>
    <row r="47" spans="1:9" ht="12">
      <c r="A47" s="1898"/>
      <c r="B47" s="1898"/>
      <c r="C47" s="1898"/>
      <c r="D47" s="1898"/>
      <c r="E47" s="1898"/>
      <c r="F47" s="1898"/>
      <c r="G47" s="1898"/>
      <c r="H47" s="1898"/>
      <c r="I47" s="1898"/>
    </row>
    <row r="48" spans="1:9" ht="12">
      <c r="A48" s="1898"/>
      <c r="B48" s="1898"/>
      <c r="C48" s="1898"/>
      <c r="D48" s="1898"/>
      <c r="E48" s="1898"/>
      <c r="F48" s="1898"/>
      <c r="G48" s="1898"/>
      <c r="H48" s="1898"/>
      <c r="I48" s="1898"/>
    </row>
    <row r="49" spans="1:9" ht="12">
      <c r="A49" s="1898"/>
      <c r="B49" s="1898"/>
      <c r="C49" s="1898"/>
      <c r="D49" s="1898"/>
      <c r="E49" s="1898"/>
      <c r="F49" s="1898"/>
      <c r="G49" s="1898"/>
      <c r="H49" s="1898"/>
      <c r="I49" s="1898"/>
    </row>
    <row r="50" spans="1:9" ht="12">
      <c r="A50" s="1898"/>
      <c r="B50" s="1898"/>
      <c r="C50" s="1898"/>
      <c r="D50" s="1898"/>
      <c r="E50" s="1898"/>
      <c r="F50" s="1898"/>
      <c r="G50" s="1898"/>
      <c r="H50" s="1898"/>
      <c r="I50" s="1898"/>
    </row>
    <row r="51" spans="1:9" ht="12">
      <c r="A51" s="1898"/>
      <c r="B51" s="1898"/>
      <c r="C51" s="1898"/>
      <c r="D51" s="1898"/>
      <c r="E51" s="1898"/>
      <c r="F51" s="1898"/>
      <c r="G51" s="1898"/>
      <c r="H51" s="1898"/>
      <c r="I51" s="1898"/>
    </row>
    <row r="52" spans="1:9" ht="12">
      <c r="A52" s="493" t="s">
        <v>3728</v>
      </c>
      <c r="B52" s="493"/>
      <c r="C52" s="493"/>
      <c r="D52" s="493"/>
      <c r="E52" s="493"/>
      <c r="F52" s="493"/>
      <c r="G52" s="493"/>
      <c r="H52" s="493"/>
      <c r="I52" s="493"/>
    </row>
    <row r="53" spans="1:9" ht="38.25" customHeight="1">
      <c r="A53" s="1899" t="s">
        <v>3729</v>
      </c>
      <c r="B53" s="1899"/>
      <c r="C53" s="1899"/>
      <c r="D53" s="1899"/>
      <c r="E53" s="1899"/>
      <c r="F53" s="1899"/>
      <c r="G53" s="1899"/>
      <c r="H53" s="1899"/>
      <c r="I53" s="1899"/>
    </row>
    <row r="54" s="483" customFormat="1" ht="12"/>
    <row r="55" s="483" customFormat="1" ht="12"/>
    <row r="56" s="483" customFormat="1" ht="12"/>
    <row r="57" s="483" customFormat="1" ht="12"/>
    <row r="58" s="483" customFormat="1" ht="12"/>
    <row r="59" s="483" customFormat="1" ht="12"/>
    <row r="60" s="483" customFormat="1" ht="12"/>
    <row r="61" s="483" customFormat="1" ht="12"/>
    <row r="62" s="483" customFormat="1" ht="12"/>
    <row r="63" s="483" customFormat="1" ht="12"/>
    <row r="64" s="483" customFormat="1" ht="12"/>
    <row r="65" s="483" customFormat="1" ht="12"/>
    <row r="66" s="483" customFormat="1" ht="12"/>
    <row r="67" s="483" customFormat="1" ht="12"/>
    <row r="68" s="483" customFormat="1" ht="12"/>
    <row r="69" s="483" customFormat="1" ht="12"/>
    <row r="70" s="483" customFormat="1" ht="12"/>
    <row r="71" s="483" customFormat="1" ht="12"/>
    <row r="72" s="483" customFormat="1" ht="12"/>
    <row r="73" s="483" customFormat="1" ht="12"/>
    <row r="74" s="483" customFormat="1" ht="12"/>
    <row r="75" s="483" customFormat="1" ht="12"/>
    <row r="76" s="483" customFormat="1" ht="12"/>
    <row r="77" s="483" customFormat="1" ht="12"/>
    <row r="78" s="483" customFormat="1" ht="12"/>
    <row r="79" s="483" customFormat="1" ht="12"/>
    <row r="80" s="483" customFormat="1" ht="12"/>
    <row r="81" s="483" customFormat="1" ht="12"/>
    <row r="82" s="483" customFormat="1" ht="12"/>
    <row r="83" s="483" customFormat="1" ht="12"/>
    <row r="84" s="483" customFormat="1" ht="12"/>
    <row r="85" s="483" customFormat="1" ht="12"/>
    <row r="86" s="483" customFormat="1" ht="12"/>
    <row r="87" s="483" customFormat="1" ht="12"/>
    <row r="88" s="483" customFormat="1" ht="12"/>
    <row r="89" s="483" customFormat="1" ht="12"/>
    <row r="90" s="483" customFormat="1" ht="12"/>
    <row r="91" s="483" customFormat="1" ht="12"/>
    <row r="92" s="483" customFormat="1" ht="12"/>
    <row r="93" s="483" customFormat="1" ht="12"/>
    <row r="94" s="483" customFormat="1" ht="12"/>
    <row r="95" s="483" customFormat="1" ht="12"/>
    <row r="96" s="483" customFormat="1" ht="12"/>
    <row r="97" s="483" customFormat="1" ht="12"/>
    <row r="98" s="483" customFormat="1" ht="12"/>
    <row r="99" s="483" customFormat="1" ht="12"/>
    <row r="100" s="483" customFormat="1" ht="12"/>
    <row r="101" s="483" customFormat="1" ht="12"/>
    <row r="102" s="483" customFormat="1" ht="12"/>
    <row r="103" s="483" customFormat="1" ht="12"/>
    <row r="104" s="483" customFormat="1" ht="12"/>
    <row r="105" s="483" customFormat="1" ht="12"/>
    <row r="106" s="483" customFormat="1" ht="12"/>
    <row r="107" s="483" customFormat="1" ht="12"/>
    <row r="108" s="483" customFormat="1" ht="12"/>
    <row r="109" s="483" customFormat="1" ht="12"/>
    <row r="110" s="483" customFormat="1" ht="12"/>
    <row r="111" s="483" customFormat="1" ht="12"/>
    <row r="112" s="483" customFormat="1" ht="12"/>
    <row r="113" s="483" customFormat="1" ht="12"/>
    <row r="114" s="483" customFormat="1" ht="12"/>
    <row r="115" s="483" customFormat="1" ht="12"/>
    <row r="116" s="483" customFormat="1" ht="12"/>
    <row r="117" s="483" customFormat="1" ht="12"/>
    <row r="118" s="483" customFormat="1" ht="12"/>
    <row r="119" s="483" customFormat="1" ht="12"/>
    <row r="120" s="483" customFormat="1" ht="12"/>
    <row r="121" s="483" customFormat="1" ht="12"/>
    <row r="122" s="483" customFormat="1" ht="12"/>
    <row r="123" s="483" customFormat="1" ht="12"/>
    <row r="124" s="483" customFormat="1" ht="12"/>
    <row r="125" s="483" customFormat="1" ht="12"/>
    <row r="126" s="483" customFormat="1" ht="12"/>
    <row r="127" s="483" customFormat="1" ht="12"/>
    <row r="128" s="483" customFormat="1" ht="12"/>
    <row r="129" s="483" customFormat="1" ht="12"/>
    <row r="130" s="483" customFormat="1" ht="12"/>
    <row r="131" s="483" customFormat="1" ht="12"/>
    <row r="132" s="483" customFormat="1" ht="12"/>
    <row r="133" s="483" customFormat="1" ht="12"/>
    <row r="134" s="483" customFormat="1" ht="12"/>
    <row r="135" s="483" customFormat="1" ht="12"/>
    <row r="136" s="483" customFormat="1" ht="12"/>
    <row r="137" s="483" customFormat="1" ht="12"/>
    <row r="138" s="483" customFormat="1" ht="12"/>
    <row r="139" s="483" customFormat="1" ht="12"/>
    <row r="140" s="483" customFormat="1" ht="12"/>
    <row r="141" s="483" customFormat="1" ht="12"/>
    <row r="142" s="483" customFormat="1" ht="12"/>
    <row r="143" s="483" customFormat="1" ht="12"/>
    <row r="144" s="483" customFormat="1" ht="12"/>
    <row r="145" s="483" customFormat="1" ht="12"/>
    <row r="146" s="483" customFormat="1" ht="12"/>
    <row r="147" s="483" customFormat="1" ht="12"/>
    <row r="148" s="483" customFormat="1" ht="12"/>
    <row r="149" s="483" customFormat="1" ht="12"/>
    <row r="150" s="483" customFormat="1" ht="12"/>
    <row r="151" s="483" customFormat="1" ht="12"/>
    <row r="152" s="483" customFormat="1" ht="12"/>
    <row r="153" s="483" customFormat="1" ht="12"/>
    <row r="154" s="483" customFormat="1" ht="12"/>
    <row r="155" s="483" customFormat="1" ht="12"/>
    <row r="156" s="483" customFormat="1" ht="12"/>
    <row r="157" s="483" customFormat="1" ht="12"/>
    <row r="158" s="483" customFormat="1" ht="12"/>
    <row r="159" s="483" customFormat="1" ht="12"/>
    <row r="160" s="483" customFormat="1" ht="12"/>
    <row r="161" s="483" customFormat="1" ht="12"/>
    <row r="162" s="483" customFormat="1" ht="12"/>
    <row r="163" s="483" customFormat="1" ht="12"/>
    <row r="164" s="483" customFormat="1" ht="12"/>
    <row r="165" s="483" customFormat="1" ht="12"/>
    <row r="166" s="483" customFormat="1" ht="12"/>
    <row r="167" s="483" customFormat="1" ht="12"/>
    <row r="168" s="483" customFormat="1" ht="12"/>
    <row r="169" s="483" customFormat="1" ht="12"/>
    <row r="170" s="483" customFormat="1" ht="12"/>
    <row r="171" s="483" customFormat="1" ht="12"/>
    <row r="172" s="483" customFormat="1" ht="12"/>
    <row r="173" s="483" customFormat="1" ht="12"/>
    <row r="174" s="483" customFormat="1" ht="12"/>
    <row r="175" s="483" customFormat="1" ht="12"/>
    <row r="176" s="483" customFormat="1" ht="12"/>
    <row r="177" s="483" customFormat="1" ht="12"/>
    <row r="178" s="483" customFormat="1" ht="12"/>
    <row r="179" s="483" customFormat="1" ht="12"/>
    <row r="180" s="483" customFormat="1" ht="12"/>
    <row r="181" s="483" customFormat="1" ht="12"/>
    <row r="182" s="483" customFormat="1" ht="12"/>
    <row r="183" s="483" customFormat="1" ht="12"/>
    <row r="184" s="483" customFormat="1" ht="12"/>
    <row r="185" s="483" customFormat="1" ht="12"/>
    <row r="186" s="483" customFormat="1" ht="12"/>
    <row r="187" s="483" customFormat="1" ht="12"/>
    <row r="188" s="483" customFormat="1" ht="12"/>
    <row r="189" s="483" customFormat="1" ht="12"/>
    <row r="190" s="483" customFormat="1" ht="12"/>
    <row r="191" s="483" customFormat="1" ht="12"/>
    <row r="192" s="483" customFormat="1" ht="12"/>
    <row r="193" s="483" customFormat="1" ht="12"/>
    <row r="194" s="483" customFormat="1" ht="12"/>
    <row r="195" s="483" customFormat="1" ht="12"/>
    <row r="196" s="483" customFormat="1" ht="12"/>
    <row r="197" s="483" customFormat="1" ht="12"/>
    <row r="198" s="483" customFormat="1" ht="12"/>
    <row r="199" s="483" customFormat="1" ht="12"/>
    <row r="200" s="483" customFormat="1" ht="12"/>
    <row r="201" s="483" customFormat="1" ht="12"/>
    <row r="202" s="483" customFormat="1" ht="12"/>
    <row r="203" s="483" customFormat="1" ht="12"/>
    <row r="204" s="483" customFormat="1" ht="12"/>
    <row r="205" s="483" customFormat="1" ht="12"/>
    <row r="206" s="483" customFormat="1" ht="12"/>
    <row r="207" s="483" customFormat="1" ht="12"/>
    <row r="208" s="483" customFormat="1" ht="12"/>
    <row r="209" s="483" customFormat="1" ht="12"/>
    <row r="210" s="483" customFormat="1" ht="12"/>
    <row r="211" s="483" customFormat="1" ht="12"/>
    <row r="212" s="483" customFormat="1" ht="12"/>
    <row r="213" s="483" customFormat="1" ht="12"/>
    <row r="214" s="483" customFormat="1" ht="12"/>
    <row r="215" s="483" customFormat="1" ht="12"/>
    <row r="216" s="483" customFormat="1" ht="12"/>
    <row r="217" s="483" customFormat="1" ht="12"/>
    <row r="218" s="483" customFormat="1" ht="12"/>
    <row r="219" s="483" customFormat="1" ht="12"/>
    <row r="220" s="483" customFormat="1" ht="12"/>
    <row r="221" s="483" customFormat="1" ht="12"/>
    <row r="222" s="483" customFormat="1" ht="12"/>
    <row r="223" s="483" customFormat="1" ht="12"/>
    <row r="224" s="483" customFormat="1" ht="12"/>
    <row r="225" s="483" customFormat="1" ht="12"/>
    <row r="226" s="483" customFormat="1" ht="12"/>
    <row r="227" s="483" customFormat="1" ht="12"/>
    <row r="228" s="483" customFormat="1" ht="12"/>
    <row r="229" s="483" customFormat="1" ht="12"/>
    <row r="230" s="483" customFormat="1" ht="12"/>
    <row r="231" s="483" customFormat="1" ht="12"/>
    <row r="232" s="483" customFormat="1" ht="12"/>
    <row r="233" s="483" customFormat="1" ht="12"/>
    <row r="234" s="483" customFormat="1" ht="12"/>
    <row r="235" s="483" customFormat="1" ht="12"/>
    <row r="236" s="483" customFormat="1" ht="12"/>
    <row r="237" s="483" customFormat="1" ht="12"/>
    <row r="238" s="483" customFormat="1" ht="12"/>
    <row r="239" s="483" customFormat="1" ht="12"/>
    <row r="240" s="483" customFormat="1" ht="12"/>
    <row r="241" s="483" customFormat="1" ht="12"/>
    <row r="242" s="483" customFormat="1" ht="12"/>
    <row r="243" s="483" customFormat="1" ht="12"/>
    <row r="244" s="483" customFormat="1" ht="12"/>
    <row r="245" s="483" customFormat="1" ht="12"/>
    <row r="246" s="483" customFormat="1" ht="12"/>
    <row r="247" s="483" customFormat="1" ht="12"/>
    <row r="248" s="483" customFormat="1" ht="12"/>
    <row r="249" s="483" customFormat="1" ht="12"/>
    <row r="250" s="483" customFormat="1" ht="12"/>
    <row r="251" s="483" customFormat="1" ht="12"/>
    <row r="252" s="483" customFormat="1" ht="12"/>
    <row r="253" s="483" customFormat="1" ht="12"/>
    <row r="254" s="483" customFormat="1" ht="12"/>
    <row r="255" s="483" customFormat="1" ht="12"/>
    <row r="256" s="483" customFormat="1" ht="12"/>
    <row r="257" s="483" customFormat="1" ht="12"/>
    <row r="258" s="483" customFormat="1" ht="12"/>
    <row r="259" s="483" customFormat="1" ht="12"/>
    <row r="260" s="483" customFormat="1" ht="12"/>
    <row r="261" s="483" customFormat="1" ht="12"/>
    <row r="262" s="483" customFormat="1" ht="12"/>
    <row r="263" s="483" customFormat="1" ht="12"/>
    <row r="264" s="483" customFormat="1" ht="12"/>
    <row r="265" s="483" customFormat="1" ht="12"/>
    <row r="266" s="483" customFormat="1" ht="12"/>
    <row r="267" s="483" customFormat="1" ht="12"/>
    <row r="268" s="483" customFormat="1" ht="12"/>
    <row r="269" s="483" customFormat="1" ht="12"/>
    <row r="270" s="483" customFormat="1" ht="12"/>
    <row r="271" s="483" customFormat="1" ht="12"/>
    <row r="272" s="483" customFormat="1" ht="12"/>
    <row r="273" s="483" customFormat="1" ht="12"/>
    <row r="274" s="483" customFormat="1" ht="12"/>
    <row r="275" s="483" customFormat="1" ht="12"/>
    <row r="276" s="483" customFormat="1" ht="12"/>
    <row r="277" s="483" customFormat="1" ht="12"/>
    <row r="278" s="483" customFormat="1" ht="12"/>
    <row r="279" s="483" customFormat="1" ht="12"/>
    <row r="280" s="483" customFormat="1" ht="12"/>
    <row r="281" s="483" customFormat="1" ht="12"/>
    <row r="282" s="483" customFormat="1" ht="12"/>
    <row r="283" s="483" customFormat="1" ht="12"/>
    <row r="284" s="483" customFormat="1" ht="12"/>
    <row r="285" s="483" customFormat="1" ht="12"/>
    <row r="286" s="483" customFormat="1" ht="12"/>
    <row r="287" s="483" customFormat="1" ht="12"/>
    <row r="288" s="483" customFormat="1" ht="12"/>
    <row r="289" s="483" customFormat="1" ht="12"/>
    <row r="290" s="483" customFormat="1" ht="12"/>
    <row r="291" s="483" customFormat="1" ht="12"/>
    <row r="292" s="483" customFormat="1" ht="12"/>
    <row r="293" s="483" customFormat="1" ht="12"/>
    <row r="294" s="483" customFormat="1" ht="12"/>
    <row r="295" s="483" customFormat="1" ht="12"/>
    <row r="296" s="483" customFormat="1" ht="12"/>
    <row r="297" s="483" customFormat="1" ht="12"/>
    <row r="298" s="483" customFormat="1" ht="12"/>
    <row r="299" s="483" customFormat="1" ht="12"/>
    <row r="300" s="483" customFormat="1" ht="12"/>
    <row r="301" s="483" customFormat="1" ht="12"/>
    <row r="302" s="483" customFormat="1" ht="12"/>
    <row r="303" s="483" customFormat="1" ht="12"/>
    <row r="304" s="483" customFormat="1" ht="12"/>
    <row r="305" s="483" customFormat="1" ht="12"/>
    <row r="306" s="483" customFormat="1" ht="12"/>
    <row r="307" s="483" customFormat="1" ht="12"/>
    <row r="308" s="483" customFormat="1" ht="12"/>
    <row r="309" s="483" customFormat="1" ht="12"/>
    <row r="310" s="483" customFormat="1" ht="12"/>
    <row r="311" s="483" customFormat="1" ht="12"/>
    <row r="312" s="483" customFormat="1" ht="12"/>
    <row r="313" s="483" customFormat="1" ht="12"/>
    <row r="314" s="483" customFormat="1" ht="12"/>
    <row r="315" s="483" customFormat="1" ht="12"/>
    <row r="316" s="483" customFormat="1" ht="12"/>
    <row r="317" s="483" customFormat="1" ht="12"/>
    <row r="318" s="483" customFormat="1" ht="12"/>
    <row r="319" s="483" customFormat="1" ht="12"/>
    <row r="320" s="483" customFormat="1" ht="12"/>
    <row r="321" s="483" customFormat="1" ht="12"/>
    <row r="322" s="483" customFormat="1" ht="12"/>
    <row r="323" s="483" customFormat="1" ht="12"/>
    <row r="324" s="483" customFormat="1" ht="12"/>
    <row r="325" s="483" customFormat="1" ht="12"/>
    <row r="326" s="483" customFormat="1" ht="12"/>
    <row r="327" s="483" customFormat="1" ht="12"/>
    <row r="328" s="483" customFormat="1" ht="12"/>
    <row r="329" s="483" customFormat="1" ht="12"/>
    <row r="330" s="483" customFormat="1" ht="12"/>
    <row r="331" s="483" customFormat="1" ht="12"/>
    <row r="332" s="483" customFormat="1" ht="12"/>
    <row r="333" s="483" customFormat="1" ht="12"/>
    <row r="334" s="483" customFormat="1" ht="12"/>
    <row r="335" s="483" customFormat="1" ht="12"/>
    <row r="336" s="483" customFormat="1" ht="12"/>
    <row r="337" s="483" customFormat="1" ht="12"/>
    <row r="338" s="483" customFormat="1" ht="12"/>
    <row r="339" s="483" customFormat="1" ht="12"/>
    <row r="340" s="483" customFormat="1" ht="12"/>
    <row r="341" s="483" customFormat="1" ht="12"/>
    <row r="342" s="483" customFormat="1" ht="12"/>
    <row r="343" s="483" customFormat="1" ht="12"/>
    <row r="344" s="483" customFormat="1" ht="12"/>
    <row r="345" s="483" customFormat="1" ht="12"/>
    <row r="346" s="483" customFormat="1" ht="12"/>
    <row r="347" s="483" customFormat="1" ht="12"/>
    <row r="348" s="483" customFormat="1" ht="12"/>
    <row r="349" s="483" customFormat="1" ht="12"/>
    <row r="350" s="483" customFormat="1" ht="12"/>
    <row r="351" s="483" customFormat="1" ht="12"/>
    <row r="352" s="483" customFormat="1" ht="12"/>
    <row r="353" s="483" customFormat="1" ht="12"/>
    <row r="354" s="483" customFormat="1" ht="12"/>
    <row r="355" s="483" customFormat="1" ht="12"/>
    <row r="356" s="483" customFormat="1" ht="12"/>
    <row r="357" s="483" customFormat="1" ht="12"/>
    <row r="358" s="483" customFormat="1" ht="12"/>
    <row r="359" s="483" customFormat="1" ht="12"/>
    <row r="360" s="483" customFormat="1" ht="12"/>
    <row r="361" s="483" customFormat="1" ht="12"/>
    <row r="362" s="483" customFormat="1" ht="12"/>
    <row r="363" s="483" customFormat="1" ht="12"/>
    <row r="364" s="483" customFormat="1" ht="12"/>
    <row r="365" s="483" customFormat="1" ht="12"/>
    <row r="366" s="483" customFormat="1" ht="12"/>
    <row r="367" s="483" customFormat="1" ht="12"/>
    <row r="368" s="483" customFormat="1" ht="12"/>
    <row r="369" s="483" customFormat="1" ht="12"/>
    <row r="370" s="483" customFormat="1" ht="12"/>
    <row r="371" s="483" customFormat="1" ht="12"/>
    <row r="372" s="483" customFormat="1" ht="12"/>
    <row r="373" s="483" customFormat="1" ht="12"/>
    <row r="374" s="483" customFormat="1" ht="12"/>
    <row r="375" s="483" customFormat="1" ht="12"/>
    <row r="376" s="483" customFormat="1" ht="12"/>
    <row r="377" s="483" customFormat="1" ht="12"/>
    <row r="378" s="483" customFormat="1" ht="12"/>
    <row r="379" s="483" customFormat="1" ht="12"/>
    <row r="380" s="483" customFormat="1" ht="12"/>
    <row r="381" s="483" customFormat="1" ht="12"/>
    <row r="382" s="483" customFormat="1" ht="12"/>
    <row r="383" s="483" customFormat="1" ht="12"/>
    <row r="384" s="483" customFormat="1" ht="12"/>
    <row r="385" s="483" customFormat="1" ht="12"/>
    <row r="386" s="483" customFormat="1" ht="12"/>
    <row r="387" s="483" customFormat="1" ht="12"/>
    <row r="388" s="483" customFormat="1" ht="12"/>
    <row r="389" s="483" customFormat="1" ht="12"/>
    <row r="390" s="483" customFormat="1" ht="12"/>
    <row r="391" s="483" customFormat="1" ht="12"/>
    <row r="392" s="483" customFormat="1" ht="12"/>
    <row r="393" s="483" customFormat="1" ht="12"/>
    <row r="394" s="483" customFormat="1" ht="12"/>
    <row r="395" s="483" customFormat="1" ht="12"/>
    <row r="396" s="483" customFormat="1" ht="12"/>
    <row r="397" s="483" customFormat="1" ht="12"/>
    <row r="398" s="483" customFormat="1" ht="12"/>
    <row r="399" s="483" customFormat="1" ht="12"/>
    <row r="400" s="483" customFormat="1" ht="12"/>
    <row r="401" s="483" customFormat="1" ht="12"/>
    <row r="402" s="483" customFormat="1" ht="12"/>
    <row r="403" s="483" customFormat="1" ht="12"/>
    <row r="404" s="483" customFormat="1" ht="12"/>
    <row r="405" s="483" customFormat="1" ht="12"/>
    <row r="406" s="483" customFormat="1" ht="12"/>
    <row r="407" s="483" customFormat="1" ht="12"/>
    <row r="408" s="483" customFormat="1" ht="12"/>
    <row r="409" s="483" customFormat="1" ht="12"/>
    <row r="410" s="483" customFormat="1" ht="12"/>
    <row r="411" s="483" customFormat="1" ht="12"/>
    <row r="412" s="483" customFormat="1" ht="12"/>
    <row r="413" s="483" customFormat="1" ht="12"/>
    <row r="414" s="483" customFormat="1" ht="12"/>
    <row r="415" s="483" customFormat="1" ht="12"/>
    <row r="416" s="483" customFormat="1" ht="12"/>
    <row r="417" s="483" customFormat="1" ht="12"/>
    <row r="418" s="483" customFormat="1" ht="12"/>
    <row r="419" s="483" customFormat="1" ht="12"/>
    <row r="420" s="483" customFormat="1" ht="12"/>
    <row r="421" s="483" customFormat="1" ht="12"/>
    <row r="422" s="483" customFormat="1" ht="12"/>
    <row r="423" s="483" customFormat="1" ht="12"/>
    <row r="424" s="483" customFormat="1" ht="12"/>
    <row r="425" s="483" customFormat="1" ht="12"/>
    <row r="426" s="483" customFormat="1" ht="12"/>
    <row r="427" s="483" customFormat="1" ht="12"/>
    <row r="428" s="483" customFormat="1" ht="12"/>
    <row r="429" s="483" customFormat="1" ht="12"/>
    <row r="430" s="483" customFormat="1" ht="12"/>
    <row r="431" s="483" customFormat="1" ht="12"/>
    <row r="432" s="483" customFormat="1" ht="12"/>
    <row r="433" s="483" customFormat="1" ht="12"/>
    <row r="434" s="483" customFormat="1" ht="12"/>
    <row r="435" s="483" customFormat="1" ht="12"/>
    <row r="436" s="483" customFormat="1" ht="12"/>
    <row r="437" s="483" customFormat="1" ht="12"/>
    <row r="438" s="483" customFormat="1" ht="12"/>
    <row r="439" s="483" customFormat="1" ht="12"/>
    <row r="440" s="483" customFormat="1" ht="12"/>
    <row r="441" s="483" customFormat="1" ht="12"/>
    <row r="442" s="483" customFormat="1" ht="12"/>
    <row r="443" s="483" customFormat="1" ht="12"/>
    <row r="444" s="483" customFormat="1" ht="12"/>
    <row r="445" s="483" customFormat="1" ht="12"/>
    <row r="446" s="483" customFormat="1" ht="12"/>
    <row r="447" s="483" customFormat="1" ht="12"/>
    <row r="448" s="483" customFormat="1" ht="12"/>
    <row r="449" s="483" customFormat="1" ht="12"/>
    <row r="450" s="483" customFormat="1" ht="12"/>
    <row r="451" s="483" customFormat="1" ht="12"/>
    <row r="452" s="483" customFormat="1" ht="12"/>
    <row r="453" s="483" customFormat="1" ht="12"/>
    <row r="454" s="483" customFormat="1" ht="12"/>
    <row r="455" s="483" customFormat="1" ht="12"/>
    <row r="456" s="483" customFormat="1" ht="12"/>
    <row r="457" s="483" customFormat="1" ht="12"/>
    <row r="458" s="483" customFormat="1" ht="12"/>
    <row r="459" s="483" customFormat="1" ht="12"/>
    <row r="460" s="483" customFormat="1" ht="12"/>
    <row r="461" s="483" customFormat="1" ht="12"/>
    <row r="462" s="483" customFormat="1" ht="12"/>
    <row r="463" s="483" customFormat="1" ht="12"/>
    <row r="464" s="483" customFormat="1" ht="12"/>
    <row r="465" s="483" customFormat="1" ht="12"/>
    <row r="466" s="483" customFormat="1" ht="12"/>
    <row r="467" s="483" customFormat="1" ht="12"/>
    <row r="468" s="483" customFormat="1" ht="12"/>
    <row r="469" s="483" customFormat="1" ht="12"/>
    <row r="470" s="483" customFormat="1" ht="12"/>
  </sheetData>
  <sheetProtection password="EF65" sheet="1" objects="1" scenarios="1"/>
  <mergeCells count="37">
    <mergeCell ref="A1:I2"/>
    <mergeCell ref="A3:I3"/>
    <mergeCell ref="A4:I4"/>
    <mergeCell ref="A5:I5"/>
    <mergeCell ref="A6:E6"/>
    <mergeCell ref="F6:G6"/>
    <mergeCell ref="H6:I6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4:I14"/>
    <mergeCell ref="A15:C15"/>
    <mergeCell ref="E15:I15"/>
    <mergeCell ref="A16:I19"/>
    <mergeCell ref="B20:C20"/>
    <mergeCell ref="D20:I20"/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00102615356"/>
    <pageSetUpPr fitToPage="1"/>
  </sheetPr>
  <dimension ref="A1:CV113"/>
  <sheetViews>
    <sheetView workbookViewId="0" topLeftCell="A1">
      <selection pane="topLeft" activeCell="A11" sqref="A11:W11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5" width="9.285714285714286" customWidth="1"/>
    <col min="46" max="49" width="9.142857142857142" style="21"/>
    <col min="50" max="55" width="4.714285714285714" style="21" hidden="1" customWidth="1"/>
    <col min="56" max="64" width="4.714285714285714" style="20" hidden="1" customWidth="1"/>
    <col min="65" max="100" width="9.142857142857142" style="20"/>
  </cols>
  <sheetData>
    <row r="1" spans="1:49" ht="21.9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2006" t="s">
        <v>354</v>
      </c>
      <c r="U1" s="2007"/>
      <c r="V1" s="2007"/>
      <c r="W1" s="2007"/>
      <c r="X1" s="2007"/>
      <c r="Y1" s="2007"/>
      <c r="Z1" s="2007"/>
      <c r="AA1" s="2008"/>
      <c r="AB1" s="75"/>
      <c r="AC1" s="75"/>
      <c r="AD1" s="271"/>
      <c r="AE1" s="271"/>
      <c r="AF1" s="1994" t="s">
        <v>3751</v>
      </c>
      <c r="AG1" s="1995"/>
      <c r="AH1" s="1995"/>
      <c r="AI1" s="1995"/>
      <c r="AJ1" s="1995"/>
      <c r="AK1" s="1995"/>
      <c r="AL1" s="1995"/>
      <c r="AM1" s="1995"/>
      <c r="AN1" s="1995"/>
      <c r="AO1" s="1995"/>
      <c r="AP1" s="1995"/>
      <c r="AQ1" s="1995"/>
      <c r="AR1" s="1996"/>
      <c r="AS1" s="386"/>
      <c r="AT1" s="1986" t="s">
        <v>3621</v>
      </c>
      <c r="AU1" s="1987"/>
      <c r="AV1" s="1987"/>
      <c r="AW1" s="386"/>
    </row>
    <row r="2" spans="1:49" ht="18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1"/>
      <c r="S2" s="75"/>
      <c r="T2" s="2009" t="s">
        <v>355</v>
      </c>
      <c r="U2" s="2010"/>
      <c r="V2" s="2010"/>
      <c r="W2" s="2010"/>
      <c r="X2" s="2010"/>
      <c r="Y2" s="2010"/>
      <c r="Z2" s="2010"/>
      <c r="AA2" s="2011"/>
      <c r="AB2" s="75"/>
      <c r="AC2" s="261"/>
      <c r="AD2" s="271"/>
      <c r="AE2" s="271"/>
      <c r="AF2" s="1997"/>
      <c r="AG2" s="1998"/>
      <c r="AH2" s="1998"/>
      <c r="AI2" s="1998"/>
      <c r="AJ2" s="1998"/>
      <c r="AK2" s="1998"/>
      <c r="AL2" s="1998"/>
      <c r="AM2" s="1998"/>
      <c r="AN2" s="1998"/>
      <c r="AO2" s="1998"/>
      <c r="AP2" s="1998"/>
      <c r="AQ2" s="1998"/>
      <c r="AR2" s="1999"/>
      <c r="AS2" s="386"/>
      <c r="AT2" s="521" t="s">
        <v>3576</v>
      </c>
      <c r="AU2" s="521"/>
      <c r="AV2" s="521" t="s">
        <v>3577</v>
      </c>
      <c r="AW2" s="386"/>
    </row>
    <row r="3" spans="1:49" ht="14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084" t="s">
        <v>356</v>
      </c>
      <c r="U3" s="2010"/>
      <c r="V3" s="2010"/>
      <c r="W3" s="2010"/>
      <c r="X3" s="2010"/>
      <c r="Y3" s="2010"/>
      <c r="Z3" s="2010"/>
      <c r="AA3" s="2011"/>
      <c r="AB3" s="75"/>
      <c r="AC3" s="75"/>
      <c r="AD3" s="271"/>
      <c r="AE3" s="271"/>
      <c r="AF3" s="1997"/>
      <c r="AG3" s="1998"/>
      <c r="AH3" s="1998"/>
      <c r="AI3" s="1998"/>
      <c r="AJ3" s="1998"/>
      <c r="AK3" s="1998"/>
      <c r="AL3" s="1998"/>
      <c r="AM3" s="1998"/>
      <c r="AN3" s="1998"/>
      <c r="AO3" s="1998"/>
      <c r="AP3" s="1998"/>
      <c r="AQ3" s="1998"/>
      <c r="AR3" s="1999"/>
      <c r="AS3" s="386"/>
      <c r="AT3" s="387" t="s">
        <v>255</v>
      </c>
      <c r="AU3" s="386"/>
      <c r="AV3" s="387"/>
      <c r="AW3" s="386"/>
    </row>
    <row r="4" spans="1:49" ht="21.95" customHeight="1">
      <c r="A4" s="2094"/>
      <c r="B4" s="2094"/>
      <c r="C4" s="2094"/>
      <c r="D4" s="2094"/>
      <c r="E4" s="2094"/>
      <c r="F4" s="2095" t="s">
        <v>353</v>
      </c>
      <c r="G4" s="2096"/>
      <c r="H4" s="2096"/>
      <c r="I4" s="2096"/>
      <c r="J4" s="2096"/>
      <c r="K4" s="2096"/>
      <c r="L4" s="2096"/>
      <c r="M4" s="2096"/>
      <c r="N4" s="2096"/>
      <c r="O4" s="2096"/>
      <c r="P4" s="2096"/>
      <c r="Q4" s="2096"/>
      <c r="R4" s="2096"/>
      <c r="S4" s="2096"/>
      <c r="T4" s="2085">
        <v>2022.0</v>
      </c>
      <c r="U4" s="2086"/>
      <c r="V4" s="2086"/>
      <c r="W4" s="2086"/>
      <c r="X4" s="2086"/>
      <c r="Y4" s="2086"/>
      <c r="Z4" s="2086"/>
      <c r="AA4" s="2087"/>
      <c r="AB4" s="75"/>
      <c r="AC4" s="75"/>
      <c r="AD4" s="271"/>
      <c r="AE4" s="271"/>
      <c r="AF4" s="1997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1998"/>
      <c r="AR4" s="1999"/>
      <c r="AS4" s="386"/>
      <c r="AT4" s="386"/>
      <c r="AU4" s="386"/>
      <c r="AV4" s="386"/>
      <c r="AW4" s="386"/>
    </row>
    <row r="5" spans="1:45" ht="15" customHeight="1">
      <c r="A5" s="2100" t="s">
        <v>3892</v>
      </c>
      <c r="B5" s="2100"/>
      <c r="C5" s="2100"/>
      <c r="D5" s="2100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2100"/>
      <c r="R5" s="2100"/>
      <c r="S5" s="523"/>
      <c r="T5" s="1047"/>
      <c r="U5" s="676"/>
      <c r="V5" s="676"/>
      <c r="W5" s="676"/>
      <c r="X5" s="676"/>
      <c r="Y5" s="676"/>
      <c r="Z5" s="676"/>
      <c r="AA5" s="676"/>
      <c r="AB5" s="75"/>
      <c r="AC5" s="75"/>
      <c r="AD5" s="271"/>
      <c r="AE5" s="271"/>
      <c r="AF5" s="1997"/>
      <c r="AG5" s="1998"/>
      <c r="AH5" s="1998"/>
      <c r="AI5" s="1998"/>
      <c r="AJ5" s="1998"/>
      <c r="AK5" s="1998"/>
      <c r="AL5" s="1998"/>
      <c r="AM5" s="1998"/>
      <c r="AN5" s="1998"/>
      <c r="AO5" s="1998"/>
      <c r="AP5" s="1998"/>
      <c r="AQ5" s="1998"/>
      <c r="AR5" s="1999"/>
      <c r="AS5" s="21"/>
    </row>
    <row r="6" spans="1:45" ht="15" customHeight="1">
      <c r="A6" s="2100"/>
      <c r="B6" s="2100"/>
      <c r="C6" s="2100"/>
      <c r="D6" s="2100"/>
      <c r="E6" s="2100"/>
      <c r="F6" s="2100"/>
      <c r="G6" s="2100"/>
      <c r="H6" s="2100"/>
      <c r="I6" s="2100"/>
      <c r="J6" s="2100"/>
      <c r="K6" s="2100"/>
      <c r="L6" s="2100"/>
      <c r="M6" s="2100"/>
      <c r="N6" s="2100"/>
      <c r="O6" s="2100"/>
      <c r="P6" s="2100"/>
      <c r="Q6" s="2100"/>
      <c r="R6" s="2100"/>
      <c r="S6" s="523"/>
      <c r="T6" s="75"/>
      <c r="U6" s="2090" t="s">
        <v>63</v>
      </c>
      <c r="V6" s="2090"/>
      <c r="W6" s="2090"/>
      <c r="X6" s="2090"/>
      <c r="Y6" s="2090"/>
      <c r="Z6" s="2090"/>
      <c r="AA6" s="75"/>
      <c r="AB6" s="75"/>
      <c r="AC6" s="75"/>
      <c r="AD6" s="75"/>
      <c r="AE6" s="75"/>
      <c r="AF6" s="2000"/>
      <c r="AG6" s="2001"/>
      <c r="AH6" s="2001"/>
      <c r="AI6" s="2001"/>
      <c r="AJ6" s="2001"/>
      <c r="AK6" s="2001"/>
      <c r="AL6" s="2001"/>
      <c r="AM6" s="2001"/>
      <c r="AN6" s="2001"/>
      <c r="AO6" s="2001"/>
      <c r="AP6" s="2001"/>
      <c r="AQ6" s="2001"/>
      <c r="AR6" s="2002"/>
      <c r="AS6" s="21"/>
    </row>
    <row r="7" spans="1:45" ht="10.5" customHeight="1">
      <c r="A7" s="2088" t="s">
        <v>3520</v>
      </c>
      <c r="B7" s="2089"/>
      <c r="C7" s="2089"/>
      <c r="D7" s="2089"/>
      <c r="E7" s="2089"/>
      <c r="F7" s="2089"/>
      <c r="G7" s="2089"/>
      <c r="H7" s="2089"/>
      <c r="I7" s="2089"/>
      <c r="J7" s="2089"/>
      <c r="K7" s="2089"/>
      <c r="L7" s="2089"/>
      <c r="M7" s="2089"/>
      <c r="N7" s="2089"/>
      <c r="O7" s="2089"/>
      <c r="P7" s="2089"/>
      <c r="Q7" s="2089"/>
      <c r="R7" s="2089"/>
      <c r="S7" s="2089"/>
      <c r="T7" s="2091" t="s">
        <v>326</v>
      </c>
      <c r="U7" s="2010"/>
      <c r="V7" s="2010"/>
      <c r="W7" s="524" t="s">
        <v>255</v>
      </c>
      <c r="X7" s="2092" t="s">
        <v>327</v>
      </c>
      <c r="Y7" s="2093"/>
      <c r="Z7" s="524"/>
      <c r="AA7" s="75"/>
      <c r="AB7" s="75"/>
      <c r="AC7" s="75"/>
      <c r="AD7" s="75"/>
      <c r="AE7" s="75"/>
      <c r="AF7" s="2003"/>
      <c r="AG7" s="2004"/>
      <c r="AH7" s="2004"/>
      <c r="AI7" s="2004"/>
      <c r="AJ7" s="2004"/>
      <c r="AK7" s="2004"/>
      <c r="AL7" s="2004"/>
      <c r="AM7" s="2004"/>
      <c r="AN7" s="2004"/>
      <c r="AO7" s="2004"/>
      <c r="AP7" s="2004"/>
      <c r="AQ7" s="2004"/>
      <c r="AR7" s="2005"/>
      <c r="AS7" s="21"/>
    </row>
    <row r="8" spans="1:45" ht="12.75">
      <c r="A8" s="1942" t="s">
        <v>89</v>
      </c>
      <c r="B8" s="1942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2"/>
      <c r="AI8" s="1942"/>
      <c r="AJ8" s="1942"/>
      <c r="AK8" s="1942"/>
      <c r="AL8" s="1942"/>
      <c r="AM8" s="1942"/>
      <c r="AN8" s="1942"/>
      <c r="AO8" s="1942"/>
      <c r="AP8" s="1942"/>
      <c r="AQ8" s="1942"/>
      <c r="AR8" s="1942"/>
      <c r="AS8" s="21"/>
    </row>
    <row r="9" spans="1:45" ht="15" customHeight="1">
      <c r="A9" s="1956" t="s">
        <v>119</v>
      </c>
      <c r="B9" s="1957"/>
      <c r="C9" s="1957"/>
      <c r="D9" s="1957"/>
      <c r="E9" s="1957"/>
      <c r="F9" s="1957"/>
      <c r="G9" s="1957"/>
      <c r="H9" s="1957"/>
      <c r="I9" s="1957"/>
      <c r="J9" s="1957"/>
      <c r="K9" s="1957"/>
      <c r="L9" s="1957"/>
      <c r="M9" s="1957"/>
      <c r="N9" s="1957"/>
      <c r="O9" s="1957"/>
      <c r="P9" s="1957"/>
      <c r="Q9" s="1957"/>
      <c r="R9" s="1957"/>
      <c r="S9" s="1957"/>
      <c r="T9" s="1957"/>
      <c r="U9" s="1957"/>
      <c r="V9" s="1957"/>
      <c r="W9" s="1957"/>
      <c r="X9" s="1957"/>
      <c r="Y9" s="1957"/>
      <c r="Z9" s="1957"/>
      <c r="AA9" s="1957"/>
      <c r="AB9" s="1957"/>
      <c r="AC9" s="1957"/>
      <c r="AD9" s="1957"/>
      <c r="AE9" s="1957"/>
      <c r="AF9" s="1957"/>
      <c r="AG9" s="1957"/>
      <c r="AH9" s="1957"/>
      <c r="AI9" s="1957"/>
      <c r="AJ9" s="1957"/>
      <c r="AK9" s="1957"/>
      <c r="AL9" s="1957"/>
      <c r="AM9" s="1957"/>
      <c r="AN9" s="1957"/>
      <c r="AO9" s="1957"/>
      <c r="AP9" s="1957"/>
      <c r="AQ9" s="1957"/>
      <c r="AR9" s="1975"/>
      <c r="AS9" s="21"/>
    </row>
    <row r="10" spans="1:100" s="282" customFormat="1" ht="9.95" customHeight="1">
      <c r="A10" s="1934" t="s">
        <v>96</v>
      </c>
      <c r="B10" s="1976"/>
      <c r="C10" s="1976"/>
      <c r="D10" s="1976"/>
      <c r="E10" s="1976"/>
      <c r="F10" s="1976"/>
      <c r="G10" s="1976"/>
      <c r="H10" s="1976"/>
      <c r="I10" s="1976"/>
      <c r="J10" s="1976"/>
      <c r="K10" s="1976"/>
      <c r="L10" s="1976"/>
      <c r="M10" s="1976"/>
      <c r="N10" s="1976"/>
      <c r="O10" s="1976"/>
      <c r="P10" s="1976"/>
      <c r="Q10" s="1976"/>
      <c r="R10" s="1976"/>
      <c r="S10" s="1976"/>
      <c r="T10" s="1976"/>
      <c r="U10" s="1976"/>
      <c r="V10" s="1976"/>
      <c r="W10" s="1976"/>
      <c r="X10" s="534"/>
      <c r="Y10" s="1976" t="s">
        <v>95</v>
      </c>
      <c r="Z10" s="1976"/>
      <c r="AA10" s="1976"/>
      <c r="AB10" s="1976"/>
      <c r="AC10" s="1976"/>
      <c r="AD10" s="1976"/>
      <c r="AE10" s="1976"/>
      <c r="AF10" s="1976"/>
      <c r="AG10" s="1976"/>
      <c r="AH10" s="1976"/>
      <c r="AI10" s="1976"/>
      <c r="AJ10" s="1976"/>
      <c r="AK10" s="1976"/>
      <c r="AL10" s="1976"/>
      <c r="AM10" s="534"/>
      <c r="AN10" s="1976" t="s">
        <v>114</v>
      </c>
      <c r="AO10" s="1976"/>
      <c r="AP10" s="1976"/>
      <c r="AQ10" s="1976"/>
      <c r="AR10" s="1977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</row>
    <row r="11" spans="1:100" s="107" customFormat="1" ht="24" customHeight="1">
      <c r="A11" s="1951" t="str">
        <f>+CONCATENATE(ZAKL_DATA!B5)</f>
        <v/>
      </c>
      <c r="B11" s="1952"/>
      <c r="C11" s="1952"/>
      <c r="D11" s="1952"/>
      <c r="E11" s="1952"/>
      <c r="F11" s="1952"/>
      <c r="G11" s="1952"/>
      <c r="H11" s="1952"/>
      <c r="I11" s="1952"/>
      <c r="J11" s="1952"/>
      <c r="K11" s="1952"/>
      <c r="L11" s="1952"/>
      <c r="M11" s="1952"/>
      <c r="N11" s="1952"/>
      <c r="O11" s="1952"/>
      <c r="P11" s="1952"/>
      <c r="Q11" s="1952"/>
      <c r="R11" s="1952"/>
      <c r="S11" s="1952"/>
      <c r="T11" s="1952"/>
      <c r="U11" s="1952"/>
      <c r="V11" s="1952"/>
      <c r="W11" s="1953"/>
      <c r="X11" s="525"/>
      <c r="Y11" s="1951" t="str">
        <f>+CONCATENATE(+ZAKL_DATA!B4)</f>
        <v/>
      </c>
      <c r="Z11" s="1952"/>
      <c r="AA11" s="1952"/>
      <c r="AB11" s="1952"/>
      <c r="AC11" s="1952"/>
      <c r="AD11" s="1952"/>
      <c r="AE11" s="1952"/>
      <c r="AF11" s="1952"/>
      <c r="AG11" s="1952"/>
      <c r="AH11" s="1952"/>
      <c r="AI11" s="1952"/>
      <c r="AJ11" s="1952"/>
      <c r="AK11" s="1952"/>
      <c r="AL11" s="1953"/>
      <c r="AM11" s="525"/>
      <c r="AN11" s="2107" t="str">
        <f>+CONCATENATE(+ZAKL_DATA!B7)</f>
        <v/>
      </c>
      <c r="AO11" s="2098"/>
      <c r="AP11" s="2098"/>
      <c r="AQ11" s="2098"/>
      <c r="AR11" s="2099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</row>
    <row r="12" spans="1:100" s="282" customFormat="1" ht="9.95" customHeight="1">
      <c r="A12" s="1934" t="s">
        <v>268</v>
      </c>
      <c r="B12" s="1976"/>
      <c r="C12" s="1976"/>
      <c r="D12" s="1976"/>
      <c r="E12" s="1976"/>
      <c r="F12" s="1976"/>
      <c r="G12" s="1976"/>
      <c r="H12" s="1976"/>
      <c r="I12" s="1976"/>
      <c r="J12" s="1976"/>
      <c r="K12" s="1976"/>
      <c r="L12" s="1976"/>
      <c r="M12" s="1976"/>
      <c r="N12" s="1976"/>
      <c r="O12" s="1976"/>
      <c r="P12" s="1976"/>
      <c r="Q12" s="1976"/>
      <c r="R12" s="1976"/>
      <c r="S12" s="1976"/>
      <c r="T12" s="1976"/>
      <c r="U12" s="1976"/>
      <c r="V12" s="1976"/>
      <c r="W12" s="1976"/>
      <c r="X12" s="534"/>
      <c r="Y12" s="1954" t="s">
        <v>3619</v>
      </c>
      <c r="Z12" s="1954"/>
      <c r="AA12" s="1954"/>
      <c r="AB12" s="1954"/>
      <c r="AC12" s="1976"/>
      <c r="AD12" s="1976"/>
      <c r="AE12" s="1976"/>
      <c r="AF12" s="1976"/>
      <c r="AG12" s="536"/>
      <c r="AH12" s="2101" t="s">
        <v>3521</v>
      </c>
      <c r="AI12" s="2102"/>
      <c r="AJ12" s="2102"/>
      <c r="AK12" s="2102"/>
      <c r="AL12" s="2102"/>
      <c r="AM12" s="2102"/>
      <c r="AN12" s="2102"/>
      <c r="AO12" s="2102"/>
      <c r="AP12" s="2102"/>
      <c r="AQ12" s="2102"/>
      <c r="AR12" s="2103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</row>
    <row r="13" spans="1:100" s="107" customFormat="1" ht="24" customHeight="1">
      <c r="A13" s="1951" t="str">
        <f>+CONCATENATE(+ZAKL_DATA!B16)</f>
        <v/>
      </c>
      <c r="B13" s="1952"/>
      <c r="C13" s="1952"/>
      <c r="D13" s="1952"/>
      <c r="E13" s="1952"/>
      <c r="F13" s="1952"/>
      <c r="G13" s="1952"/>
      <c r="H13" s="1952"/>
      <c r="I13" s="1952"/>
      <c r="J13" s="1952"/>
      <c r="K13" s="1952"/>
      <c r="L13" s="1952"/>
      <c r="M13" s="1952"/>
      <c r="N13" s="1952"/>
      <c r="O13" s="1952"/>
      <c r="P13" s="1952"/>
      <c r="Q13" s="1952"/>
      <c r="R13" s="1952"/>
      <c r="S13" s="1952"/>
      <c r="T13" s="1952"/>
      <c r="U13" s="1952"/>
      <c r="V13" s="1952"/>
      <c r="W13" s="1953"/>
      <c r="X13" s="525"/>
      <c r="Y13" s="1943" t="str">
        <f>+CONCATENATE(ZAKL_DATA!B17)</f>
        <v/>
      </c>
      <c r="Z13" s="1970"/>
      <c r="AA13" s="1970"/>
      <c r="AB13" s="1970"/>
      <c r="AC13" s="1944"/>
      <c r="AD13" s="1944"/>
      <c r="AE13" s="1944"/>
      <c r="AF13" s="1945"/>
      <c r="AG13" s="525"/>
      <c r="AH13" s="1971" t="str">
        <f>+CONCATENATE('DAP1'!A9)</f>
        <v/>
      </c>
      <c r="AI13" s="1972"/>
      <c r="AJ13" s="1972"/>
      <c r="AK13" s="1972"/>
      <c r="AL13" s="1972"/>
      <c r="AM13" s="1972"/>
      <c r="AN13" s="1973"/>
      <c r="AO13" s="1973"/>
      <c r="AP13" s="1973"/>
      <c r="AQ13" s="1973"/>
      <c r="AR13" s="1974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</row>
    <row r="14" spans="1:100" s="282" customFormat="1" ht="12.6" customHeight="1">
      <c r="A14" s="1960" t="s">
        <v>212</v>
      </c>
      <c r="B14" s="1954"/>
      <c r="C14" s="1954"/>
      <c r="D14" s="1954"/>
      <c r="E14" s="1954"/>
      <c r="F14" s="1954"/>
      <c r="G14" s="534"/>
      <c r="H14" s="1954" t="s">
        <v>269</v>
      </c>
      <c r="I14" s="1954"/>
      <c r="J14" s="1954"/>
      <c r="K14" s="1954"/>
      <c r="L14" s="1954"/>
      <c r="M14" s="1954"/>
      <c r="N14" s="1954"/>
      <c r="O14" s="1954"/>
      <c r="P14" s="1954"/>
      <c r="Q14" s="1954"/>
      <c r="R14" s="1954"/>
      <c r="S14" s="1954"/>
      <c r="T14" s="1954"/>
      <c r="U14" s="1954"/>
      <c r="V14" s="1954"/>
      <c r="W14" s="1954"/>
      <c r="X14" s="1954"/>
      <c r="Y14" s="1954"/>
      <c r="Z14" s="1954"/>
      <c r="AA14" s="1954"/>
      <c r="AB14" s="1954"/>
      <c r="AC14" s="1954"/>
      <c r="AD14" s="1954"/>
      <c r="AE14" s="1954"/>
      <c r="AF14" s="1954"/>
      <c r="AG14" s="1954"/>
      <c r="AH14" s="1954"/>
      <c r="AI14" s="1954"/>
      <c r="AJ14" s="534"/>
      <c r="AK14" s="1949" t="s">
        <v>3522</v>
      </c>
      <c r="AL14" s="1949"/>
      <c r="AM14" s="1949"/>
      <c r="AN14" s="1949"/>
      <c r="AO14" s="1949"/>
      <c r="AP14" s="1949"/>
      <c r="AQ14" s="1949"/>
      <c r="AR14" s="195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</row>
    <row r="15" spans="1:100" s="107" customFormat="1" ht="24" customHeight="1">
      <c r="A15" s="1943" t="str">
        <f>CONCATENATE(+ZAKL_DATA!B19)</f>
        <v/>
      </c>
      <c r="B15" s="1944"/>
      <c r="C15" s="1944"/>
      <c r="D15" s="1944"/>
      <c r="E15" s="1944"/>
      <c r="F15" s="1945"/>
      <c r="G15" s="525"/>
      <c r="H15" s="1961" t="str">
        <f>+CONCATENATE(ZAKL_DATA!B18)</f>
        <v/>
      </c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2"/>
      <c r="W15" s="1962"/>
      <c r="X15" s="1962"/>
      <c r="Y15" s="1962"/>
      <c r="Z15" s="1962"/>
      <c r="AA15" s="1962"/>
      <c r="AB15" s="1962"/>
      <c r="AC15" s="1962"/>
      <c r="AD15" s="1962"/>
      <c r="AE15" s="1962"/>
      <c r="AF15" s="1962"/>
      <c r="AG15" s="1962"/>
      <c r="AH15" s="1962"/>
      <c r="AI15" s="1963"/>
      <c r="AJ15" s="525"/>
      <c r="AK15" s="1946" t="str">
        <f>+CONCATENATE(+ZAKL_DATA!B10)</f>
        <v/>
      </c>
      <c r="AL15" s="1947"/>
      <c r="AM15" s="1947"/>
      <c r="AN15" s="1947"/>
      <c r="AO15" s="1947"/>
      <c r="AP15" s="1947"/>
      <c r="AQ15" s="1947"/>
      <c r="AR15" s="1948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</row>
    <row r="16" spans="1:100" s="282" customFormat="1" ht="9.95" customHeight="1">
      <c r="A16" s="1967" t="s">
        <v>3523</v>
      </c>
      <c r="B16" s="1968"/>
      <c r="C16" s="1968"/>
      <c r="D16" s="1968"/>
      <c r="E16" s="1968"/>
      <c r="F16" s="1968"/>
      <c r="G16" s="1968"/>
      <c r="H16" s="1968"/>
      <c r="I16" s="1968"/>
      <c r="J16" s="1968"/>
      <c r="K16" s="1969"/>
      <c r="L16" s="1969"/>
      <c r="M16" s="1969"/>
      <c r="N16" s="1969"/>
      <c r="O16" s="1969"/>
      <c r="P16" s="1969"/>
      <c r="Q16" s="1969"/>
      <c r="R16" s="1969"/>
      <c r="S16" s="1969"/>
      <c r="T16" s="1969"/>
      <c r="U16" s="1969"/>
      <c r="V16" s="1969"/>
      <c r="W16" s="1969"/>
      <c r="X16" s="1969"/>
      <c r="Y16" s="1969"/>
      <c r="Z16" s="1969"/>
      <c r="AA16" s="1969"/>
      <c r="AB16" s="1969"/>
      <c r="AC16" s="1969"/>
      <c r="AD16" s="1969"/>
      <c r="AE16" s="1969"/>
      <c r="AF16" s="534"/>
      <c r="AG16" s="1954" t="s">
        <v>31</v>
      </c>
      <c r="AH16" s="1954"/>
      <c r="AI16" s="1954"/>
      <c r="AJ16" s="1954"/>
      <c r="AK16" s="1954"/>
      <c r="AL16" s="1954"/>
      <c r="AM16" s="1954"/>
      <c r="AN16" s="1954"/>
      <c r="AO16" s="1954"/>
      <c r="AP16" s="1954"/>
      <c r="AQ16" s="1954"/>
      <c r="AR16" s="1955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</row>
    <row r="17" spans="1:100" s="107" customFormat="1" ht="24" customHeight="1">
      <c r="A17" s="1964" t="str">
        <f>+CONCATENATE(ZAKL_DATA!B32," / ",ZAKL_DATA!B33)</f>
        <v xml:space="preserve"> / </v>
      </c>
      <c r="B17" s="1965"/>
      <c r="C17" s="1965"/>
      <c r="D17" s="1965"/>
      <c r="E17" s="1965"/>
      <c r="F17" s="1965"/>
      <c r="G17" s="1965"/>
      <c r="H17" s="1965"/>
      <c r="I17" s="1965"/>
      <c r="J17" s="1965"/>
      <c r="K17" s="1965"/>
      <c r="L17" s="1965"/>
      <c r="M17" s="1965"/>
      <c r="N17" s="1965"/>
      <c r="O17" s="1965"/>
      <c r="P17" s="1965"/>
      <c r="Q17" s="1965"/>
      <c r="R17" s="1965"/>
      <c r="S17" s="1965"/>
      <c r="T17" s="1965"/>
      <c r="U17" s="1965"/>
      <c r="V17" s="1965"/>
      <c r="W17" s="1965"/>
      <c r="X17" s="1965"/>
      <c r="Y17" s="1965"/>
      <c r="Z17" s="1965"/>
      <c r="AA17" s="1965"/>
      <c r="AB17" s="1965"/>
      <c r="AC17" s="1965"/>
      <c r="AD17" s="1965"/>
      <c r="AE17" s="1966"/>
      <c r="AF17" s="525"/>
      <c r="AG17" s="2104" t="str">
        <f>++CONCATENATE(ZAKL_DATA!B25)</f>
        <v/>
      </c>
      <c r="AH17" s="2105"/>
      <c r="AI17" s="2105"/>
      <c r="AJ17" s="2105"/>
      <c r="AK17" s="2105"/>
      <c r="AL17" s="2105"/>
      <c r="AM17" s="2105"/>
      <c r="AN17" s="2105"/>
      <c r="AO17" s="2105"/>
      <c r="AP17" s="2105"/>
      <c r="AQ17" s="2105"/>
      <c r="AR17" s="2106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</row>
    <row r="18" spans="1:100" s="282" customFormat="1" ht="9.95" customHeight="1">
      <c r="A18" s="1960" t="s">
        <v>213</v>
      </c>
      <c r="B18" s="1954"/>
      <c r="C18" s="1954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954"/>
      <c r="S18" s="1954"/>
      <c r="T18" s="1954"/>
      <c r="U18" s="1954"/>
      <c r="V18" s="1954"/>
      <c r="W18" s="1954"/>
      <c r="X18" s="1954"/>
      <c r="Y18" s="1954"/>
      <c r="Z18" s="1954"/>
      <c r="AA18" s="1954"/>
      <c r="AB18" s="1954"/>
      <c r="AC18" s="1954"/>
      <c r="AD18" s="1954"/>
      <c r="AE18" s="1954"/>
      <c r="AF18" s="1954"/>
      <c r="AG18" s="1954"/>
      <c r="AH18" s="1954"/>
      <c r="AI18" s="1954"/>
      <c r="AJ18" s="1954"/>
      <c r="AK18" s="1954"/>
      <c r="AL18" s="1954"/>
      <c r="AM18" s="1954"/>
      <c r="AN18" s="1954"/>
      <c r="AO18" s="1954"/>
      <c r="AP18" s="1954"/>
      <c r="AQ18" s="1954"/>
      <c r="AR18" s="1955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</row>
    <row r="19" spans="1:100" s="107" customFormat="1" ht="24" customHeight="1">
      <c r="A19" s="2097" t="str">
        <f>+CONCATENATE(ZAKL_DATA!B27)</f>
        <v/>
      </c>
      <c r="B19" s="2098"/>
      <c r="C19" s="2098"/>
      <c r="D19" s="2098"/>
      <c r="E19" s="2098"/>
      <c r="F19" s="2098"/>
      <c r="G19" s="2098"/>
      <c r="H19" s="2098"/>
      <c r="I19" s="2098"/>
      <c r="J19" s="2098"/>
      <c r="K19" s="2098"/>
      <c r="L19" s="2098"/>
      <c r="M19" s="2098"/>
      <c r="N19" s="2098"/>
      <c r="O19" s="2098"/>
      <c r="P19" s="2098"/>
      <c r="Q19" s="2098"/>
      <c r="R19" s="2098"/>
      <c r="S19" s="2098"/>
      <c r="T19" s="2098"/>
      <c r="U19" s="2098"/>
      <c r="V19" s="2098"/>
      <c r="W19" s="2098"/>
      <c r="X19" s="2098"/>
      <c r="Y19" s="2098"/>
      <c r="Z19" s="2098"/>
      <c r="AA19" s="2098"/>
      <c r="AB19" s="2098"/>
      <c r="AC19" s="2098"/>
      <c r="AD19" s="2098"/>
      <c r="AE19" s="2098"/>
      <c r="AF19" s="2098"/>
      <c r="AG19" s="2098"/>
      <c r="AH19" s="2098"/>
      <c r="AI19" s="2098"/>
      <c r="AJ19" s="2098"/>
      <c r="AK19" s="2098"/>
      <c r="AL19" s="2098"/>
      <c r="AM19" s="2098"/>
      <c r="AN19" s="2098"/>
      <c r="AO19" s="2098"/>
      <c r="AP19" s="2098"/>
      <c r="AQ19" s="2098"/>
      <c r="AR19" s="2099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</row>
    <row r="20" spans="1:45" ht="5.1" customHeight="1">
      <c r="A20" s="1985"/>
      <c r="B20" s="1984"/>
      <c r="C20" s="1984"/>
      <c r="D20" s="1984"/>
      <c r="E20" s="1984"/>
      <c r="F20" s="1984"/>
      <c r="G20" s="1984"/>
      <c r="H20" s="1984"/>
      <c r="I20" s="1984"/>
      <c r="J20" s="1984"/>
      <c r="K20" s="1984"/>
      <c r="L20" s="1984"/>
      <c r="M20" s="1984"/>
      <c r="N20" s="1984"/>
      <c r="O20" s="1984"/>
      <c r="P20" s="1984"/>
      <c r="Q20" s="1984"/>
      <c r="R20" s="1984"/>
      <c r="S20" s="1984"/>
      <c r="T20" s="1984"/>
      <c r="U20" s="1984"/>
      <c r="V20" s="1984"/>
      <c r="W20" s="1984"/>
      <c r="X20" s="1984"/>
      <c r="Y20" s="1984"/>
      <c r="Z20" s="1984"/>
      <c r="AA20" s="1984"/>
      <c r="AB20" s="1984"/>
      <c r="AC20" s="1984"/>
      <c r="AD20" s="1984"/>
      <c r="AE20" s="1984"/>
      <c r="AF20" s="1984"/>
      <c r="AG20" s="1984"/>
      <c r="AH20" s="1984"/>
      <c r="AI20" s="1984"/>
      <c r="AJ20" s="1984"/>
      <c r="AK20" s="1984"/>
      <c r="AL20" s="1984"/>
      <c r="AM20" s="1984"/>
      <c r="AN20" s="1984"/>
      <c r="AO20" s="1984"/>
      <c r="AP20" s="1984"/>
      <c r="AQ20" s="1984"/>
      <c r="AR20" s="2044"/>
      <c r="AS20" s="21"/>
    </row>
    <row r="21" spans="1:45" ht="15" customHeight="1">
      <c r="A21" s="1956" t="s">
        <v>214</v>
      </c>
      <c r="B21" s="1957"/>
      <c r="C21" s="1957"/>
      <c r="D21" s="1957"/>
      <c r="E21" s="1957"/>
      <c r="F21" s="1957"/>
      <c r="G21" s="1957"/>
      <c r="H21" s="1957"/>
      <c r="I21" s="1957"/>
      <c r="J21" s="1957"/>
      <c r="K21" s="1957"/>
      <c r="L21" s="1957"/>
      <c r="M21" s="1957"/>
      <c r="N21" s="1957"/>
      <c r="O21" s="1957"/>
      <c r="P21" s="1957"/>
      <c r="Q21" s="1957"/>
      <c r="R21" s="1957"/>
      <c r="S21" s="1957"/>
      <c r="T21" s="1957"/>
      <c r="U21" s="1957"/>
      <c r="V21" s="1957"/>
      <c r="W21" s="1957"/>
      <c r="X21" s="1957"/>
      <c r="Y21" s="1957"/>
      <c r="Z21" s="1957"/>
      <c r="AA21" s="1957"/>
      <c r="AB21" s="1957"/>
      <c r="AC21" s="1958"/>
      <c r="AD21" s="1958"/>
      <c r="AE21" s="1958"/>
      <c r="AF21" s="1958"/>
      <c r="AG21" s="1958"/>
      <c r="AH21" s="1958"/>
      <c r="AI21" s="1958"/>
      <c r="AJ21" s="1958"/>
      <c r="AK21" s="1958"/>
      <c r="AL21" s="1958"/>
      <c r="AM21" s="1958"/>
      <c r="AN21" s="1958"/>
      <c r="AO21" s="1958"/>
      <c r="AP21" s="1958"/>
      <c r="AQ21" s="1958"/>
      <c r="AR21" s="1959"/>
      <c r="AS21" s="21"/>
    </row>
    <row r="22" spans="1:45" ht="14.1" customHeight="1">
      <c r="A22" s="539"/>
      <c r="B22" s="2081" t="s">
        <v>3972</v>
      </c>
      <c r="C22" s="2082"/>
      <c r="D22" s="2082"/>
      <c r="E22" s="2082"/>
      <c r="F22" s="2082"/>
      <c r="G22" s="2082"/>
      <c r="H22" s="2082"/>
      <c r="I22" s="2082"/>
      <c r="J22" s="2082"/>
      <c r="K22" s="2082"/>
      <c r="L22" s="2082"/>
      <c r="M22" s="2082"/>
      <c r="N22" s="2082"/>
      <c r="O22" s="2082"/>
      <c r="P22" s="2082"/>
      <c r="Q22" s="2082"/>
      <c r="R22" s="2082"/>
      <c r="S22" s="2082"/>
      <c r="T22" s="2082"/>
      <c r="U22" s="2082"/>
      <c r="V22" s="2082"/>
      <c r="W22" s="2082"/>
      <c r="X22" s="2082"/>
      <c r="Y22" s="2082"/>
      <c r="Z22" s="2082"/>
      <c r="AA22" s="2083"/>
      <c r="AB22" s="2111"/>
      <c r="AC22" s="2112"/>
      <c r="AD22" s="2112"/>
      <c r="AE22" s="2112"/>
      <c r="AF22" s="2112"/>
      <c r="AG22" s="2112"/>
      <c r="AH22" s="2112"/>
      <c r="AI22" s="2112"/>
      <c r="AJ22" s="2112"/>
      <c r="AK22" s="2112"/>
      <c r="AL22" s="2112"/>
      <c r="AM22" s="2112"/>
      <c r="AN22" s="2112"/>
      <c r="AO22" s="2112"/>
      <c r="AP22" s="2112"/>
      <c r="AQ22" s="2112"/>
      <c r="AR22" s="2113"/>
      <c r="AS22" s="21"/>
    </row>
    <row r="23" spans="1:45" ht="14.1" customHeight="1">
      <c r="A23" s="531"/>
      <c r="B23" s="590">
        <v>1.0</v>
      </c>
      <c r="C23" s="590">
        <v>2.0</v>
      </c>
      <c r="D23" s="590">
        <v>3.0</v>
      </c>
      <c r="E23" s="590">
        <v>4.0</v>
      </c>
      <c r="F23" s="590">
        <v>5.0</v>
      </c>
      <c r="G23" s="590">
        <v>6.0</v>
      </c>
      <c r="H23" s="590">
        <v>7.0</v>
      </c>
      <c r="I23" s="590">
        <v>8.0</v>
      </c>
      <c r="J23" s="590">
        <v>9.0</v>
      </c>
      <c r="K23" s="590">
        <v>10.0</v>
      </c>
      <c r="L23" s="590">
        <v>11.0</v>
      </c>
      <c r="M23" s="590">
        <v>12.0</v>
      </c>
      <c r="N23" s="1978" t="s">
        <v>236</v>
      </c>
      <c r="O23" s="1979"/>
      <c r="P23" s="1933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1932"/>
      <c r="AB23" s="589"/>
      <c r="AC23" s="538"/>
      <c r="AD23" s="1934" t="s">
        <v>3973</v>
      </c>
      <c r="AE23" s="1935"/>
      <c r="AF23" s="1935"/>
      <c r="AG23" s="1935"/>
      <c r="AH23" s="1935"/>
      <c r="AI23" s="1935"/>
      <c r="AJ23" s="1935"/>
      <c r="AK23" s="1935"/>
      <c r="AL23" s="1935"/>
      <c r="AM23" s="1935"/>
      <c r="AN23" s="1935"/>
      <c r="AO23" s="1935"/>
      <c r="AP23" s="1935"/>
      <c r="AQ23" s="1935"/>
      <c r="AR23" s="1936"/>
      <c r="AS23" s="21"/>
    </row>
    <row r="24" spans="1:45" ht="14.1" customHeight="1">
      <c r="A24" s="531"/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638"/>
      <c r="O24" s="538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1932"/>
      <c r="AB24" s="1931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676"/>
      <c r="AQ24" s="676"/>
      <c r="AR24" s="1932"/>
      <c r="AS24" s="21"/>
    </row>
    <row r="25" spans="1:45" ht="14.1" customHeight="1">
      <c r="A25" s="537"/>
      <c r="B25" s="2081" t="s">
        <v>3965</v>
      </c>
      <c r="C25" s="2082"/>
      <c r="D25" s="2082"/>
      <c r="E25" s="2082"/>
      <c r="F25" s="2082"/>
      <c r="G25" s="2082"/>
      <c r="H25" s="2082"/>
      <c r="I25" s="2082"/>
      <c r="J25" s="2082"/>
      <c r="K25" s="2082"/>
      <c r="L25" s="2082"/>
      <c r="M25" s="2082"/>
      <c r="N25" s="1078"/>
      <c r="O25" s="2082"/>
      <c r="P25" s="1078"/>
      <c r="Q25" s="1078"/>
      <c r="R25" s="1078"/>
      <c r="S25" s="1078"/>
      <c r="T25" s="1078"/>
      <c r="U25" s="1078"/>
      <c r="V25" s="1078"/>
      <c r="W25" s="1078"/>
      <c r="X25" s="1078"/>
      <c r="Y25" s="1078"/>
      <c r="Z25" s="1078"/>
      <c r="AA25" s="1930"/>
      <c r="AB25" s="589"/>
      <c r="AC25" s="538"/>
      <c r="AD25" s="1934" t="s">
        <v>3974</v>
      </c>
      <c r="AE25" s="1935"/>
      <c r="AF25" s="1935"/>
      <c r="AG25" s="1935"/>
      <c r="AH25" s="1935"/>
      <c r="AI25" s="1935"/>
      <c r="AJ25" s="1935"/>
      <c r="AK25" s="1935"/>
      <c r="AL25" s="1935"/>
      <c r="AM25" s="1935"/>
      <c r="AN25" s="1935"/>
      <c r="AO25" s="1935"/>
      <c r="AP25" s="1935"/>
      <c r="AQ25" s="1935"/>
      <c r="AR25" s="1936"/>
      <c r="AS25" s="21"/>
    </row>
    <row r="26" spans="1:45" ht="14.1" customHeight="1">
      <c r="A26" s="531"/>
      <c r="B26" s="590">
        <v>1.0</v>
      </c>
      <c r="C26" s="590">
        <v>2.0</v>
      </c>
      <c r="D26" s="590">
        <v>3.0</v>
      </c>
      <c r="E26" s="590">
        <v>4.0</v>
      </c>
      <c r="F26" s="590">
        <v>5.0</v>
      </c>
      <c r="G26" s="590">
        <v>6.0</v>
      </c>
      <c r="H26" s="590">
        <v>7.0</v>
      </c>
      <c r="I26" s="590">
        <v>8.0</v>
      </c>
      <c r="J26" s="590">
        <v>9.0</v>
      </c>
      <c r="K26" s="590">
        <v>10.0</v>
      </c>
      <c r="L26" s="590">
        <v>11.0</v>
      </c>
      <c r="M26" s="590">
        <v>12.0</v>
      </c>
      <c r="N26" s="1978" t="s">
        <v>236</v>
      </c>
      <c r="O26" s="1979"/>
      <c r="P26" s="1933"/>
      <c r="Q26" s="1933"/>
      <c r="R26" s="1933"/>
      <c r="S26" s="1933"/>
      <c r="T26" s="1980" t="s">
        <v>215</v>
      </c>
      <c r="U26" s="1981"/>
      <c r="V26" s="1981"/>
      <c r="W26" s="1981"/>
      <c r="X26" s="1980" t="s">
        <v>216</v>
      </c>
      <c r="Y26" s="676"/>
      <c r="Z26" s="676"/>
      <c r="AA26" s="1932"/>
      <c r="AB26" s="1931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76"/>
      <c r="AN26" s="676"/>
      <c r="AO26" s="676"/>
      <c r="AP26" s="676"/>
      <c r="AQ26" s="676"/>
      <c r="AR26" s="1932"/>
      <c r="AS26" s="21"/>
    </row>
    <row r="27" spans="1:45" ht="14.1" customHeight="1">
      <c r="A27" s="531"/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26"/>
      <c r="O27" s="538"/>
      <c r="P27" s="1982" t="s">
        <v>3524</v>
      </c>
      <c r="Q27" s="1983"/>
      <c r="R27" s="1983"/>
      <c r="S27" s="1983"/>
      <c r="T27" s="538"/>
      <c r="U27" s="1984"/>
      <c r="V27" s="1984"/>
      <c r="W27" s="1984"/>
      <c r="X27" s="538"/>
      <c r="Y27" s="1985"/>
      <c r="Z27" s="676"/>
      <c r="AA27" s="1932"/>
      <c r="AB27" s="589"/>
      <c r="AC27" s="538"/>
      <c r="AD27" s="1934" t="s">
        <v>3975</v>
      </c>
      <c r="AE27" s="1935"/>
      <c r="AF27" s="1935"/>
      <c r="AG27" s="1935"/>
      <c r="AH27" s="1935"/>
      <c r="AI27" s="1935"/>
      <c r="AJ27" s="1935"/>
      <c r="AK27" s="1935"/>
      <c r="AL27" s="1935"/>
      <c r="AM27" s="1935"/>
      <c r="AN27" s="1935"/>
      <c r="AO27" s="1935"/>
      <c r="AP27" s="1935"/>
      <c r="AQ27" s="1935"/>
      <c r="AR27" s="1936"/>
      <c r="AS27" s="21"/>
    </row>
    <row r="28" spans="1:45" ht="14.1" customHeight="1">
      <c r="A28" s="537"/>
      <c r="B28" s="1929" t="s">
        <v>3966</v>
      </c>
      <c r="C28" s="1078"/>
      <c r="D28" s="1078"/>
      <c r="E28" s="1078"/>
      <c r="F28" s="1078"/>
      <c r="G28" s="1078"/>
      <c r="H28" s="1078"/>
      <c r="I28" s="1078"/>
      <c r="J28" s="1078"/>
      <c r="K28" s="1078"/>
      <c r="L28" s="1078"/>
      <c r="M28" s="1078"/>
      <c r="N28" s="1078"/>
      <c r="O28" s="1078"/>
      <c r="P28" s="1078"/>
      <c r="Q28" s="1078"/>
      <c r="R28" s="1078"/>
      <c r="S28" s="1078"/>
      <c r="T28" s="1078"/>
      <c r="U28" s="1078"/>
      <c r="V28" s="1078"/>
      <c r="W28" s="1078"/>
      <c r="X28" s="1078"/>
      <c r="Y28" s="1078"/>
      <c r="Z28" s="1078"/>
      <c r="AA28" s="1930"/>
      <c r="AB28" s="1931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76"/>
      <c r="AN28" s="676"/>
      <c r="AO28" s="676"/>
      <c r="AP28" s="676"/>
      <c r="AQ28" s="676"/>
      <c r="AR28" s="1932"/>
      <c r="AS28" s="21"/>
    </row>
    <row r="29" spans="1:45" ht="14.1" customHeight="1">
      <c r="A29" s="531"/>
      <c r="B29" s="590">
        <v>1.0</v>
      </c>
      <c r="C29" s="590">
        <v>2.0</v>
      </c>
      <c r="D29" s="590">
        <v>3.0</v>
      </c>
      <c r="E29" s="590">
        <v>4.0</v>
      </c>
      <c r="F29" s="590">
        <v>5.0</v>
      </c>
      <c r="G29" s="590">
        <v>6.0</v>
      </c>
      <c r="H29" s="590">
        <v>7.0</v>
      </c>
      <c r="I29" s="590">
        <v>8.0</v>
      </c>
      <c r="J29" s="590">
        <v>9.0</v>
      </c>
      <c r="K29" s="590">
        <v>10.0</v>
      </c>
      <c r="L29" s="590">
        <v>11.0</v>
      </c>
      <c r="M29" s="590">
        <v>12.0</v>
      </c>
      <c r="N29" s="1978" t="s">
        <v>236</v>
      </c>
      <c r="O29" s="1979"/>
      <c r="P29" s="1933"/>
      <c r="Q29" s="1933"/>
      <c r="R29" s="1933"/>
      <c r="S29" s="1933"/>
      <c r="T29" s="535" t="s">
        <v>231</v>
      </c>
      <c r="U29" s="535" t="s">
        <v>232</v>
      </c>
      <c r="V29" s="535" t="s">
        <v>217</v>
      </c>
      <c r="W29" s="535" t="s">
        <v>218</v>
      </c>
      <c r="X29" s="535" t="s">
        <v>219</v>
      </c>
      <c r="Y29" s="535" t="s">
        <v>220</v>
      </c>
      <c r="Z29" s="628"/>
      <c r="AA29" s="629"/>
      <c r="AB29" s="589"/>
      <c r="AC29" s="538"/>
      <c r="AD29" s="1934" t="s">
        <v>3884</v>
      </c>
      <c r="AE29" s="1935"/>
      <c r="AF29" s="1935"/>
      <c r="AG29" s="1935"/>
      <c r="AH29" s="1935"/>
      <c r="AI29" s="1935"/>
      <c r="AJ29" s="1935"/>
      <c r="AK29" s="1935"/>
      <c r="AL29" s="1935"/>
      <c r="AM29" s="1935"/>
      <c r="AN29" s="1935"/>
      <c r="AO29" s="1935"/>
      <c r="AP29" s="1935"/>
      <c r="AQ29" s="1935"/>
      <c r="AR29" s="1936"/>
      <c r="AS29" s="21"/>
    </row>
    <row r="30" spans="1:64" ht="14.1" customHeight="1">
      <c r="A30" s="531"/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26"/>
      <c r="O30" s="538"/>
      <c r="P30" s="1982" t="s">
        <v>3524</v>
      </c>
      <c r="Q30" s="1983"/>
      <c r="R30" s="1983"/>
      <c r="S30" s="1983"/>
      <c r="T30" s="538"/>
      <c r="U30" s="538"/>
      <c r="V30" s="538"/>
      <c r="W30" s="538"/>
      <c r="X30" s="538"/>
      <c r="Y30" s="538"/>
      <c r="Z30" s="630"/>
      <c r="AA30" s="629"/>
      <c r="AB30" s="1937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  <c r="AR30" s="1932"/>
      <c r="AS30" s="21"/>
      <c r="AY30" s="21">
        <f>+IF(EXACT(O30,"X"),12,0)</f>
        <v>0.0</v>
      </c>
      <c r="AZ30" s="21">
        <f>+IF(EXACT(B30,"X"),1,0)</f>
        <v>0.0</v>
      </c>
      <c r="BA30" s="21">
        <f t="shared" si="0" ref="BA30:BK30">+IF(EXACT(C30,"X"),1,0)</f>
        <v>0.0</v>
      </c>
      <c r="BB30" s="21">
        <f t="shared" si="0"/>
        <v>0.0</v>
      </c>
      <c r="BC30" s="21">
        <f t="shared" si="0"/>
        <v>0.0</v>
      </c>
      <c r="BD30" s="21">
        <f t="shared" si="0"/>
        <v>0.0</v>
      </c>
      <c r="BE30" s="21">
        <f t="shared" si="0"/>
        <v>0.0</v>
      </c>
      <c r="BF30" s="21">
        <f t="shared" si="0"/>
        <v>0.0</v>
      </c>
      <c r="BG30" s="21">
        <f t="shared" si="0"/>
        <v>0.0</v>
      </c>
      <c r="BH30" s="21">
        <f t="shared" si="0"/>
        <v>0.0</v>
      </c>
      <c r="BI30" s="21">
        <f t="shared" si="0"/>
        <v>0.0</v>
      </c>
      <c r="BJ30" s="21">
        <f t="shared" si="0"/>
        <v>0.0</v>
      </c>
      <c r="BK30" s="21">
        <f t="shared" si="0"/>
        <v>0.0</v>
      </c>
      <c r="BL30" s="21">
        <f>+IF(AY30=12,12,+SUM(AZ30:BK30))</f>
        <v>0.0</v>
      </c>
    </row>
    <row r="31" spans="1:45" ht="14.1" customHeight="1">
      <c r="A31" s="531"/>
      <c r="B31" s="2038" t="s">
        <v>3792</v>
      </c>
      <c r="C31" s="2039"/>
      <c r="D31" s="2039"/>
      <c r="E31" s="2039"/>
      <c r="F31" s="2039"/>
      <c r="G31" s="2039"/>
      <c r="H31" s="631" t="s">
        <v>221</v>
      </c>
      <c r="I31" s="580"/>
      <c r="J31" s="580"/>
      <c r="K31" s="580"/>
      <c r="L31" s="580"/>
      <c r="M31" s="580"/>
      <c r="N31" s="580"/>
      <c r="O31" s="580"/>
      <c r="P31" s="580"/>
      <c r="Q31" s="580"/>
      <c r="R31" s="631" t="s">
        <v>3796</v>
      </c>
      <c r="S31" s="580"/>
      <c r="T31" s="580"/>
      <c r="U31" s="580"/>
      <c r="V31" s="580"/>
      <c r="W31" s="580"/>
      <c r="X31" s="580"/>
      <c r="Y31" s="580"/>
      <c r="Z31" s="580"/>
      <c r="AA31" s="632"/>
      <c r="AB31" s="1938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6"/>
      <c r="AR31" s="1932"/>
      <c r="AS31" s="21"/>
    </row>
    <row r="32" spans="1:45" ht="18" customHeight="1">
      <c r="A32" s="531"/>
      <c r="B32" s="2040"/>
      <c r="C32" s="2040"/>
      <c r="D32" s="2040"/>
      <c r="E32" s="2040"/>
      <c r="F32" s="2040"/>
      <c r="G32" s="2040"/>
      <c r="H32" s="2041"/>
      <c r="I32" s="2042"/>
      <c r="J32" s="2042"/>
      <c r="K32" s="2042"/>
      <c r="L32" s="2042"/>
      <c r="M32" s="2042"/>
      <c r="N32" s="2042"/>
      <c r="O32" s="2042"/>
      <c r="P32" s="2043"/>
      <c r="Q32" s="578"/>
      <c r="R32" s="2041"/>
      <c r="S32" s="2042"/>
      <c r="T32" s="2042"/>
      <c r="U32" s="2042"/>
      <c r="V32" s="2042"/>
      <c r="W32" s="2042"/>
      <c r="X32" s="2042"/>
      <c r="Y32" s="2042"/>
      <c r="Z32" s="2043"/>
      <c r="AA32" s="578"/>
      <c r="AB32" s="1938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676"/>
      <c r="AQ32" s="676"/>
      <c r="AR32" s="1932"/>
      <c r="AS32" s="21"/>
    </row>
    <row r="33" spans="1:45" ht="6" customHeight="1">
      <c r="A33" s="2077"/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M33" s="1940"/>
      <c r="N33" s="1940"/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941"/>
      <c r="AB33" s="1939"/>
      <c r="AC33" s="1940"/>
      <c r="AD33" s="1940"/>
      <c r="AE33" s="1940"/>
      <c r="AF33" s="1940"/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940"/>
      <c r="AQ33" s="1940"/>
      <c r="AR33" s="1941"/>
      <c r="AS33" s="21"/>
    </row>
    <row r="34" spans="1:45" ht="15" customHeight="1">
      <c r="A34" s="1956" t="s">
        <v>341</v>
      </c>
      <c r="B34" s="1958"/>
      <c r="C34" s="1958"/>
      <c r="D34" s="1958"/>
      <c r="E34" s="1958"/>
      <c r="F34" s="1958"/>
      <c r="G34" s="1958"/>
      <c r="H34" s="1958"/>
      <c r="I34" s="1958"/>
      <c r="J34" s="1958"/>
      <c r="K34" s="1958"/>
      <c r="L34" s="1958"/>
      <c r="M34" s="1958"/>
      <c r="N34" s="1958"/>
      <c r="O34" s="1958"/>
      <c r="P34" s="1958"/>
      <c r="Q34" s="1958"/>
      <c r="R34" s="1958"/>
      <c r="S34" s="1958"/>
      <c r="T34" s="1958"/>
      <c r="U34" s="1958"/>
      <c r="V34" s="1959"/>
      <c r="W34" s="2067" t="s">
        <v>3525</v>
      </c>
      <c r="X34" s="2067"/>
      <c r="Y34" s="2067"/>
      <c r="Z34" s="2067"/>
      <c r="AA34" s="2067"/>
      <c r="AB34" s="2067"/>
      <c r="AC34" s="2067"/>
      <c r="AD34" s="2067"/>
      <c r="AE34" s="2067"/>
      <c r="AF34" s="2067"/>
      <c r="AG34" s="2067"/>
      <c r="AH34" s="2067"/>
      <c r="AI34" s="2067"/>
      <c r="AJ34" s="2067"/>
      <c r="AK34" s="2067"/>
      <c r="AL34" s="2067"/>
      <c r="AM34" s="2068"/>
      <c r="AN34" s="2068"/>
      <c r="AO34" s="2068"/>
      <c r="AP34" s="2068"/>
      <c r="AQ34" s="2068"/>
      <c r="AR34" s="2068"/>
      <c r="AS34" s="21"/>
    </row>
    <row r="35" spans="1:45" ht="18" customHeight="1">
      <c r="A35" s="531"/>
      <c r="B35" s="2120"/>
      <c r="C35" s="2120"/>
      <c r="D35" s="2120"/>
      <c r="E35" s="2120"/>
      <c r="F35" s="2120"/>
      <c r="G35" s="2120"/>
      <c r="H35" s="2120"/>
      <c r="I35" s="2119" t="s">
        <v>3886</v>
      </c>
      <c r="J35" s="2119"/>
      <c r="K35" s="2119"/>
      <c r="L35" s="2119"/>
      <c r="M35" s="2119"/>
      <c r="N35" s="2119"/>
      <c r="O35" s="2119"/>
      <c r="P35" s="2119"/>
      <c r="Q35" s="2119"/>
      <c r="R35" s="2119"/>
      <c r="S35" s="2119"/>
      <c r="T35" s="1984"/>
      <c r="U35" s="2012"/>
      <c r="V35" s="2013"/>
      <c r="W35" s="2069" t="s">
        <v>3967</v>
      </c>
      <c r="X35" s="2069"/>
      <c r="Y35" s="2069"/>
      <c r="Z35" s="2069"/>
      <c r="AA35" s="2069"/>
      <c r="AB35" s="2069"/>
      <c r="AC35" s="2069"/>
      <c r="AD35" s="2069"/>
      <c r="AE35" s="2069"/>
      <c r="AF35" s="2069"/>
      <c r="AG35" s="2069"/>
      <c r="AH35" s="2069"/>
      <c r="AI35" s="2069"/>
      <c r="AJ35" s="2069"/>
      <c r="AK35" s="2069"/>
      <c r="AL35" s="2069"/>
      <c r="AM35" s="2069"/>
      <c r="AN35" s="2069"/>
      <c r="AO35" s="2069"/>
      <c r="AP35" s="2069"/>
      <c r="AQ35" s="2069"/>
      <c r="AR35" s="2070"/>
      <c r="AS35" s="21"/>
    </row>
    <row r="36" spans="1:45" ht="18" customHeight="1">
      <c r="A36" s="532"/>
      <c r="B36" s="2036" t="s">
        <v>3885</v>
      </c>
      <c r="C36" s="2037"/>
      <c r="D36" s="2037"/>
      <c r="E36" s="2037"/>
      <c r="F36" s="2037"/>
      <c r="G36" s="2037"/>
      <c r="H36" s="2037"/>
      <c r="I36" s="2078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079"/>
      <c r="K36" s="2079"/>
      <c r="L36" s="2079"/>
      <c r="M36" s="2079"/>
      <c r="N36" s="2079"/>
      <c r="O36" s="2079"/>
      <c r="P36" s="2079"/>
      <c r="Q36" s="2079"/>
      <c r="R36" s="2079"/>
      <c r="S36" s="2080"/>
      <c r="T36" s="2019" t="s">
        <v>200</v>
      </c>
      <c r="U36" s="2020"/>
      <c r="V36" s="2021"/>
      <c r="W36" s="540"/>
      <c r="X36" s="2036" t="s">
        <v>347</v>
      </c>
      <c r="Y36" s="2020"/>
      <c r="Z36" s="2020"/>
      <c r="AA36" s="2020"/>
      <c r="AB36" s="2020"/>
      <c r="AC36" s="2020"/>
      <c r="AD36" s="2020"/>
      <c r="AE36" s="2016">
        <v>0.0</v>
      </c>
      <c r="AF36" s="2071"/>
      <c r="AG36" s="2071"/>
      <c r="AH36" s="2071"/>
      <c r="AI36" s="2071"/>
      <c r="AJ36" s="2071"/>
      <c r="AK36" s="2071"/>
      <c r="AL36" s="2071"/>
      <c r="AM36" s="2071"/>
      <c r="AN36" s="2072"/>
      <c r="AO36" s="2019" t="s">
        <v>200</v>
      </c>
      <c r="AP36" s="2020"/>
      <c r="AQ36" s="2020"/>
      <c r="AR36" s="2021"/>
      <c r="AS36" s="21"/>
    </row>
    <row r="37" spans="1:45" ht="18" customHeight="1">
      <c r="A37" s="532"/>
      <c r="B37" s="2045" t="s">
        <v>3968</v>
      </c>
      <c r="C37" s="2046"/>
      <c r="D37" s="2046"/>
      <c r="E37" s="2046"/>
      <c r="F37" s="2046"/>
      <c r="G37" s="2046"/>
      <c r="H37" s="2046"/>
      <c r="I37" s="2046"/>
      <c r="J37" s="2046"/>
      <c r="K37" s="2046"/>
      <c r="L37" s="2046"/>
      <c r="M37" s="2046"/>
      <c r="N37" s="2046"/>
      <c r="O37" s="2046"/>
      <c r="P37" s="2046"/>
      <c r="Q37" s="2046"/>
      <c r="R37" s="2046"/>
      <c r="S37" s="2046"/>
      <c r="T37" s="2046"/>
      <c r="U37" s="2046"/>
      <c r="V37" s="2047"/>
      <c r="W37" s="2069" t="s">
        <v>3891</v>
      </c>
      <c r="X37" s="2069"/>
      <c r="Y37" s="2069"/>
      <c r="Z37" s="2069"/>
      <c r="AA37" s="2069"/>
      <c r="AB37" s="2069"/>
      <c r="AC37" s="2069"/>
      <c r="AD37" s="2069"/>
      <c r="AE37" s="2069"/>
      <c r="AF37" s="2069"/>
      <c r="AG37" s="2069"/>
      <c r="AH37" s="2069"/>
      <c r="AI37" s="2069"/>
      <c r="AJ37" s="2069"/>
      <c r="AK37" s="2069"/>
      <c r="AL37" s="2069"/>
      <c r="AM37" s="2069"/>
      <c r="AN37" s="2069"/>
      <c r="AO37" s="2069"/>
      <c r="AP37" s="2069"/>
      <c r="AQ37" s="2069"/>
      <c r="AR37" s="2070"/>
      <c r="AS37" s="21"/>
    </row>
    <row r="38" spans="1:45" ht="18" customHeight="1">
      <c r="A38" s="532"/>
      <c r="B38" s="2036" t="s">
        <v>342</v>
      </c>
      <c r="C38" s="2037"/>
      <c r="D38" s="2037"/>
      <c r="E38" s="2037"/>
      <c r="F38" s="2037"/>
      <c r="G38" s="2037"/>
      <c r="H38" s="2037"/>
      <c r="I38" s="2037"/>
      <c r="J38" s="2037"/>
      <c r="K38" s="2037"/>
      <c r="L38" s="2037"/>
      <c r="M38" s="2037"/>
      <c r="N38" s="2025">
        <f>+'1Př2'!G3</f>
        <v>12.0</v>
      </c>
      <c r="O38" s="2026"/>
      <c r="P38" s="2027"/>
      <c r="Q38" s="2028"/>
      <c r="R38" s="2028"/>
      <c r="S38" s="2028"/>
      <c r="T38" s="2028"/>
      <c r="U38" s="2028"/>
      <c r="V38" s="2029"/>
      <c r="W38" s="540"/>
      <c r="X38" s="2036" t="s">
        <v>185</v>
      </c>
      <c r="Y38" s="2037"/>
      <c r="Z38" s="2037"/>
      <c r="AA38" s="2037"/>
      <c r="AB38" s="2037"/>
      <c r="AC38" s="2037"/>
      <c r="AD38" s="2037"/>
      <c r="AE38" s="2073">
        <f>+AE36-I49</f>
        <v>-31518.0</v>
      </c>
      <c r="AF38" s="2074"/>
      <c r="AG38" s="2074"/>
      <c r="AH38" s="2074"/>
      <c r="AI38" s="2074"/>
      <c r="AJ38" s="2074"/>
      <c r="AK38" s="2074"/>
      <c r="AL38" s="2074"/>
      <c r="AM38" s="2074"/>
      <c r="AN38" s="2075"/>
      <c r="AO38" s="2019" t="s">
        <v>200</v>
      </c>
      <c r="AP38" s="2020"/>
      <c r="AQ38" s="2020"/>
      <c r="AR38" s="2021"/>
      <c r="AS38" s="21"/>
    </row>
    <row r="39" spans="1:45" ht="18" customHeight="1">
      <c r="A39" s="532"/>
      <c r="B39" s="2045" t="s">
        <v>3752</v>
      </c>
      <c r="C39" s="2046"/>
      <c r="D39" s="2046"/>
      <c r="E39" s="2046"/>
      <c r="F39" s="2046"/>
      <c r="G39" s="2046"/>
      <c r="H39" s="2046"/>
      <c r="I39" s="2046"/>
      <c r="J39" s="2046"/>
      <c r="K39" s="2046"/>
      <c r="L39" s="2046"/>
      <c r="M39" s="2046"/>
      <c r="N39" s="2046"/>
      <c r="O39" s="2046"/>
      <c r="P39" s="2046"/>
      <c r="Q39" s="2046"/>
      <c r="R39" s="2046"/>
      <c r="S39" s="2046"/>
      <c r="T39" s="2046"/>
      <c r="U39" s="2046"/>
      <c r="V39" s="2047"/>
      <c r="W39" s="2048"/>
      <c r="X39" s="1078"/>
      <c r="Y39" s="1078"/>
      <c r="Z39" s="1078"/>
      <c r="AA39" s="1078"/>
      <c r="AB39" s="1078"/>
      <c r="AC39" s="1078"/>
      <c r="AD39" s="1078"/>
      <c r="AE39" s="1078"/>
      <c r="AF39" s="1078"/>
      <c r="AG39" s="1078"/>
      <c r="AH39" s="1078"/>
      <c r="AI39" s="1078"/>
      <c r="AJ39" s="1078"/>
      <c r="AK39" s="1078"/>
      <c r="AL39" s="1078"/>
      <c r="AM39" s="1078"/>
      <c r="AN39" s="1078"/>
      <c r="AO39" s="1078"/>
      <c r="AP39" s="1078"/>
      <c r="AQ39" s="1078"/>
      <c r="AR39" s="1930"/>
      <c r="AS39" s="21"/>
    </row>
    <row r="40" spans="1:45" ht="18" customHeight="1">
      <c r="A40" s="588" t="s">
        <v>3793</v>
      </c>
      <c r="B40" s="2036" t="s">
        <v>3887</v>
      </c>
      <c r="C40" s="2037"/>
      <c r="D40" s="2037"/>
      <c r="E40" s="2037"/>
      <c r="F40" s="2037"/>
      <c r="G40" s="2037"/>
      <c r="H40" s="2037"/>
      <c r="I40" s="2037"/>
      <c r="J40" s="2037"/>
      <c r="K40" s="2037"/>
      <c r="L40" s="2037"/>
      <c r="M40" s="2037"/>
      <c r="N40" s="2025">
        <v>12.0</v>
      </c>
      <c r="O40" s="2026"/>
      <c r="P40" s="2027"/>
      <c r="Q40" s="2028"/>
      <c r="R40" s="2028"/>
      <c r="S40" s="2028"/>
      <c r="T40" s="2028"/>
      <c r="U40" s="2028"/>
      <c r="V40" s="2029"/>
      <c r="W40" s="540"/>
      <c r="X40" s="2019" t="s">
        <v>348</v>
      </c>
      <c r="Y40" s="2019"/>
      <c r="Z40" s="2019"/>
      <c r="AA40" s="2019"/>
      <c r="AB40" s="2019"/>
      <c r="AC40" s="2019"/>
      <c r="AD40" s="2019"/>
      <c r="AE40" s="2019"/>
      <c r="AF40" s="2019"/>
      <c r="AG40" s="2019"/>
      <c r="AH40" s="2019"/>
      <c r="AI40" s="2019"/>
      <c r="AJ40" s="2019"/>
      <c r="AK40" s="2019"/>
      <c r="AL40" s="2019"/>
      <c r="AM40" s="2019"/>
      <c r="AN40" s="2019"/>
      <c r="AO40" s="2019"/>
      <c r="AP40" s="2019"/>
      <c r="AQ40" s="2019"/>
      <c r="AR40" s="2076"/>
      <c r="AS40" s="21"/>
    </row>
    <row r="41" spans="1:55" ht="18" customHeight="1">
      <c r="A41" s="532"/>
      <c r="B41" s="2069" t="s">
        <v>343</v>
      </c>
      <c r="C41" s="2117"/>
      <c r="D41" s="2117"/>
      <c r="E41" s="2117"/>
      <c r="F41" s="2117"/>
      <c r="G41" s="2117"/>
      <c r="H41" s="2117"/>
      <c r="I41" s="2117"/>
      <c r="J41" s="2117"/>
      <c r="K41" s="2117"/>
      <c r="L41" s="2117"/>
      <c r="M41" s="2117"/>
      <c r="N41" s="2117"/>
      <c r="O41" s="2117"/>
      <c r="P41" s="2117"/>
      <c r="Q41" s="2117"/>
      <c r="R41" s="2117"/>
      <c r="S41" s="2117"/>
      <c r="T41" s="2117"/>
      <c r="U41" s="2117"/>
      <c r="V41" s="2118"/>
      <c r="W41" s="540"/>
      <c r="X41" s="538" t="str">
        <f>+IF(AE38&lt;0,"X"," ")</f>
        <v>X</v>
      </c>
      <c r="Y41" s="2014" t="s">
        <v>3798</v>
      </c>
      <c r="Z41" s="2014"/>
      <c r="AA41" s="2014"/>
      <c r="AB41" s="2014"/>
      <c r="AC41" s="2014"/>
      <c r="AD41" s="2014"/>
      <c r="AE41" s="2014"/>
      <c r="AF41" s="2014"/>
      <c r="AG41" s="2014"/>
      <c r="AH41" s="2014"/>
      <c r="AI41" s="2014"/>
      <c r="AJ41" s="2014"/>
      <c r="AK41" s="2014"/>
      <c r="AL41" s="2014"/>
      <c r="AM41" s="2014"/>
      <c r="AN41" s="2014"/>
      <c r="AO41" s="2014"/>
      <c r="AP41" s="2014"/>
      <c r="AQ41" s="2014"/>
      <c r="AR41" s="2015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532"/>
      <c r="B42" s="2036" t="s">
        <v>344</v>
      </c>
      <c r="C42" s="2037"/>
      <c r="D42" s="2037"/>
      <c r="E42" s="2037"/>
      <c r="F42" s="2037"/>
      <c r="G42" s="2037"/>
      <c r="H42" s="2037"/>
      <c r="I42" s="2037"/>
      <c r="J42" s="2037"/>
      <c r="K42" s="2037"/>
      <c r="L42" s="2037"/>
      <c r="M42" s="2037"/>
      <c r="N42" s="2025">
        <f>12-BL30</f>
        <v>12.0</v>
      </c>
      <c r="O42" s="2026"/>
      <c r="P42" s="2027"/>
      <c r="Q42" s="2028"/>
      <c r="R42" s="2028"/>
      <c r="S42" s="2028"/>
      <c r="T42" s="2028"/>
      <c r="U42" s="2028"/>
      <c r="V42" s="2029"/>
      <c r="W42" s="540"/>
      <c r="X42" s="538" t="str">
        <f>+IF(AE38&gt;0,"X"," ")</f>
        <v xml:space="preserve"> </v>
      </c>
      <c r="Y42" s="2014" t="s">
        <v>3620</v>
      </c>
      <c r="Z42" s="2020"/>
      <c r="AA42" s="2020"/>
      <c r="AB42" s="2020"/>
      <c r="AC42" s="2020"/>
      <c r="AD42" s="2020"/>
      <c r="AE42" s="2020"/>
      <c r="AF42" s="2020"/>
      <c r="AG42" s="2020"/>
      <c r="AH42" s="2016">
        <f>+MAX(0,AE38)</f>
        <v>0.0</v>
      </c>
      <c r="AI42" s="2017"/>
      <c r="AJ42" s="2017"/>
      <c r="AK42" s="2017"/>
      <c r="AL42" s="2017"/>
      <c r="AM42" s="2017"/>
      <c r="AN42" s="2017"/>
      <c r="AO42" s="2018"/>
      <c r="AP42" s="2019" t="s">
        <v>200</v>
      </c>
      <c r="AQ42" s="2020"/>
      <c r="AR42" s="2021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532"/>
      <c r="B43" s="2035"/>
      <c r="C43" s="2035"/>
      <c r="D43" s="2035"/>
      <c r="E43" s="2035"/>
      <c r="F43" s="2035"/>
      <c r="G43" s="2035"/>
      <c r="H43" s="2035"/>
      <c r="I43" s="2034" t="s">
        <v>3979</v>
      </c>
      <c r="J43" s="2034"/>
      <c r="K43" s="2034"/>
      <c r="L43" s="2034"/>
      <c r="M43" s="2034"/>
      <c r="N43" s="2034"/>
      <c r="O43" s="2034"/>
      <c r="P43" s="2034"/>
      <c r="Q43" s="2034"/>
      <c r="R43" s="2034"/>
      <c r="S43" s="2034"/>
      <c r="T43" s="2027"/>
      <c r="U43" s="2028"/>
      <c r="V43" s="2029"/>
      <c r="W43" s="2048"/>
      <c r="X43" s="1078"/>
      <c r="Y43" s="2133" t="s">
        <v>3888</v>
      </c>
      <c r="Z43" s="2134"/>
      <c r="AA43" s="2134"/>
      <c r="AB43" s="2134"/>
      <c r="AC43" s="2135"/>
      <c r="AD43" s="538" t="str">
        <f>+X42</f>
        <v xml:space="preserve"> </v>
      </c>
      <c r="AE43" s="2136" t="s">
        <v>3889</v>
      </c>
      <c r="AF43" s="1078"/>
      <c r="AG43" s="1078"/>
      <c r="AH43" s="1078"/>
      <c r="AI43" s="1078"/>
      <c r="AJ43" s="1078"/>
      <c r="AK43" s="1078"/>
      <c r="AL43" s="1078"/>
      <c r="AM43" s="1078"/>
      <c r="AN43" s="1078"/>
      <c r="AO43" s="1078"/>
      <c r="AP43" s="1078"/>
      <c r="AQ43" s="1078"/>
      <c r="AR43" s="193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532"/>
      <c r="B44" s="2036" t="s">
        <v>345</v>
      </c>
      <c r="C44" s="2020"/>
      <c r="D44" s="2020"/>
      <c r="E44" s="2020"/>
      <c r="F44" s="2020"/>
      <c r="G44" s="2020"/>
      <c r="H44" s="2020"/>
      <c r="I44" s="2030">
        <f>+N42*19455.5</f>
        <v>233466.0</v>
      </c>
      <c r="J44" s="2031"/>
      <c r="K44" s="2031"/>
      <c r="L44" s="2031"/>
      <c r="M44" s="2031"/>
      <c r="N44" s="2031"/>
      <c r="O44" s="2031"/>
      <c r="P44" s="2031"/>
      <c r="Q44" s="2031"/>
      <c r="R44" s="2031"/>
      <c r="S44" s="2032"/>
      <c r="T44" s="2019" t="s">
        <v>200</v>
      </c>
      <c r="U44" s="2020"/>
      <c r="V44" s="2021"/>
      <c r="W44" s="2048"/>
      <c r="X44" s="1078"/>
      <c r="Y44" s="1078"/>
      <c r="Z44" s="1078"/>
      <c r="AA44" s="1078"/>
      <c r="AB44" s="1078"/>
      <c r="AC44" s="1930"/>
      <c r="AD44" s="538"/>
      <c r="AE44" s="2136" t="s">
        <v>3890</v>
      </c>
      <c r="AF44" s="1078"/>
      <c r="AG44" s="1078"/>
      <c r="AH44" s="1078"/>
      <c r="AI44" s="1078"/>
      <c r="AJ44" s="1078"/>
      <c r="AK44" s="1078"/>
      <c r="AL44" s="1078"/>
      <c r="AM44" s="1078"/>
      <c r="AN44" s="1078"/>
      <c r="AO44" s="1078"/>
      <c r="AP44" s="1078"/>
      <c r="AQ44" s="1078"/>
      <c r="AR44" s="193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033" t="s">
        <v>3969</v>
      </c>
      <c r="B45" s="2020"/>
      <c r="C45" s="2020"/>
      <c r="D45" s="2020"/>
      <c r="E45" s="2020"/>
      <c r="F45" s="2020"/>
      <c r="G45" s="2020"/>
      <c r="H45" s="2020"/>
      <c r="I45" s="2020"/>
      <c r="J45" s="2020"/>
      <c r="K45" s="2020"/>
      <c r="L45" s="2020"/>
      <c r="M45" s="2020"/>
      <c r="N45" s="2020"/>
      <c r="O45" s="2020"/>
      <c r="P45" s="2020"/>
      <c r="Q45" s="2020"/>
      <c r="R45" s="2020"/>
      <c r="S45" s="2020"/>
      <c r="T45" s="2020"/>
      <c r="U45" s="2020"/>
      <c r="V45" s="2021"/>
      <c r="W45" s="2022" t="s">
        <v>3526</v>
      </c>
      <c r="X45" s="2022"/>
      <c r="Y45" s="2022"/>
      <c r="Z45" s="2022"/>
      <c r="AA45" s="2022"/>
      <c r="AB45" s="2022"/>
      <c r="AC45" s="2022"/>
      <c r="AD45" s="2022"/>
      <c r="AE45" s="2022"/>
      <c r="AF45" s="2022"/>
      <c r="AG45" s="2022"/>
      <c r="AH45" s="2022"/>
      <c r="AI45" s="2022"/>
      <c r="AJ45" s="2022"/>
      <c r="AK45" s="2022"/>
      <c r="AL45" s="2022"/>
      <c r="AM45" s="2023"/>
      <c r="AN45" s="2023"/>
      <c r="AO45" s="2023"/>
      <c r="AP45" s="2023"/>
      <c r="AQ45" s="2023"/>
      <c r="AR45" s="2024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532"/>
      <c r="B46" s="2036" t="s">
        <v>120</v>
      </c>
      <c r="C46" s="2037"/>
      <c r="D46" s="2037"/>
      <c r="E46" s="2037"/>
      <c r="F46" s="2037"/>
      <c r="G46" s="2037"/>
      <c r="H46" s="2037"/>
      <c r="I46" s="2030">
        <f>+MAX(I44,+I36*0.5)</f>
        <v>233466.0</v>
      </c>
      <c r="J46" s="2115"/>
      <c r="K46" s="2115"/>
      <c r="L46" s="2115"/>
      <c r="M46" s="2115"/>
      <c r="N46" s="2115"/>
      <c r="O46" s="2115"/>
      <c r="P46" s="2115"/>
      <c r="Q46" s="2115"/>
      <c r="R46" s="2115"/>
      <c r="S46" s="2116"/>
      <c r="T46" s="2019" t="s">
        <v>200</v>
      </c>
      <c r="U46" s="2020"/>
      <c r="V46" s="2021"/>
      <c r="W46" s="2056" t="s">
        <v>3893</v>
      </c>
      <c r="X46" s="2056"/>
      <c r="Y46" s="2056"/>
      <c r="Z46" s="2056"/>
      <c r="AA46" s="2056"/>
      <c r="AB46" s="2056"/>
      <c r="AC46" s="2056"/>
      <c r="AD46" s="2056"/>
      <c r="AE46" s="2056"/>
      <c r="AF46" s="2056"/>
      <c r="AG46" s="2056"/>
      <c r="AH46" s="2056"/>
      <c r="AI46" s="2056"/>
      <c r="AJ46" s="2056"/>
      <c r="AK46" s="2056"/>
      <c r="AL46" s="2056"/>
      <c r="AM46" s="2056"/>
      <c r="AN46" s="2056"/>
      <c r="AO46" s="2056"/>
      <c r="AP46" s="2056"/>
      <c r="AQ46" s="2056"/>
      <c r="AR46" s="2057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2048"/>
      <c r="B47" s="2028"/>
      <c r="C47" s="2028"/>
      <c r="D47" s="2028"/>
      <c r="E47" s="2028"/>
      <c r="F47" s="2028"/>
      <c r="G47" s="2028"/>
      <c r="H47" s="2028"/>
      <c r="I47" s="2028"/>
      <c r="J47" s="2028"/>
      <c r="K47" s="2028"/>
      <c r="L47" s="2028"/>
      <c r="M47" s="2028"/>
      <c r="N47" s="2028"/>
      <c r="O47" s="2028"/>
      <c r="P47" s="2028"/>
      <c r="Q47" s="2028"/>
      <c r="R47" s="2028"/>
      <c r="S47" s="2028"/>
      <c r="T47" s="2028"/>
      <c r="U47" s="2028"/>
      <c r="V47" s="2029"/>
      <c r="W47" s="592"/>
      <c r="X47" s="2049" t="s">
        <v>349</v>
      </c>
      <c r="Y47" s="2050"/>
      <c r="Z47" s="2050"/>
      <c r="AA47" s="2050"/>
      <c r="AB47" s="2050"/>
      <c r="AC47" s="2050"/>
      <c r="AD47" s="2051"/>
      <c r="AE47" s="2050"/>
      <c r="AF47" s="2052"/>
      <c r="AG47" s="2073">
        <f>+CEILING(0.135*0.5*MAX(0,I36)/N38,1)</f>
        <v>0.0</v>
      </c>
      <c r="AH47" s="2074"/>
      <c r="AI47" s="2074"/>
      <c r="AJ47" s="2074"/>
      <c r="AK47" s="2074"/>
      <c r="AL47" s="2074"/>
      <c r="AM47" s="2074"/>
      <c r="AN47" s="2075"/>
      <c r="AO47" s="2137" t="s">
        <v>200</v>
      </c>
      <c r="AP47" s="2124"/>
      <c r="AQ47" s="2124"/>
      <c r="AR47" s="2125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2" customHeight="1">
      <c r="A48" s="529"/>
      <c r="B48" s="2053" t="s">
        <v>3970</v>
      </c>
      <c r="C48" s="2054"/>
      <c r="D48" s="2054"/>
      <c r="E48" s="2054"/>
      <c r="F48" s="2054"/>
      <c r="G48" s="2054"/>
      <c r="H48" s="2054"/>
      <c r="I48" s="2054"/>
      <c r="J48" s="2054"/>
      <c r="K48" s="2054"/>
      <c r="L48" s="2054"/>
      <c r="M48" s="2054"/>
      <c r="N48" s="2054"/>
      <c r="O48" s="2054"/>
      <c r="P48" s="2054"/>
      <c r="Q48" s="2054"/>
      <c r="R48" s="2054"/>
      <c r="S48" s="2054"/>
      <c r="T48" s="2054"/>
      <c r="U48" s="2054"/>
      <c r="V48" s="2055"/>
      <c r="W48" s="591" t="s">
        <v>3797</v>
      </c>
      <c r="X48" s="591"/>
      <c r="Y48" s="591"/>
      <c r="Z48" s="591"/>
      <c r="AA48" s="591"/>
      <c r="AB48" s="591"/>
      <c r="AC48" s="591"/>
      <c r="AD48" s="591"/>
      <c r="AE48" s="591"/>
      <c r="AF48" s="591"/>
      <c r="AG48" s="528"/>
      <c r="AH48" s="528"/>
      <c r="AI48" s="528"/>
      <c r="AJ48" s="528"/>
      <c r="AK48" s="528"/>
      <c r="AL48" s="528"/>
      <c r="AM48" s="528"/>
      <c r="AN48" s="528"/>
      <c r="AO48" s="591"/>
      <c r="AP48" s="591"/>
      <c r="AQ48" s="591"/>
      <c r="AR48" s="593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30"/>
      <c r="B49" s="2049" t="s">
        <v>346</v>
      </c>
      <c r="C49" s="2121"/>
      <c r="D49" s="2121"/>
      <c r="E49" s="2121"/>
      <c r="F49" s="2121"/>
      <c r="G49" s="2121"/>
      <c r="H49" s="2121"/>
      <c r="I49" s="2030">
        <f>+CEILING(0.135*(I46*N40)/N38,1)</f>
        <v>31518.0</v>
      </c>
      <c r="J49" s="2115"/>
      <c r="K49" s="2115"/>
      <c r="L49" s="2115"/>
      <c r="M49" s="2115"/>
      <c r="N49" s="2115"/>
      <c r="O49" s="2115"/>
      <c r="P49" s="2115"/>
      <c r="Q49" s="2115"/>
      <c r="R49" s="2115"/>
      <c r="S49" s="2116"/>
      <c r="T49" s="2123" t="s">
        <v>200</v>
      </c>
      <c r="U49" s="2140"/>
      <c r="V49" s="2141"/>
      <c r="W49" s="541"/>
      <c r="X49" s="538" t="s">
        <v>255</v>
      </c>
      <c r="Y49" s="2142" t="s">
        <v>3976</v>
      </c>
      <c r="Z49" s="2124"/>
      <c r="AA49" s="2124"/>
      <c r="AB49" s="538"/>
      <c r="AC49" s="2142" t="s">
        <v>3527</v>
      </c>
      <c r="AD49" s="2124"/>
      <c r="AE49" s="2124"/>
      <c r="AF49" s="538"/>
      <c r="AG49" s="2142" t="s">
        <v>350</v>
      </c>
      <c r="AH49" s="2124"/>
      <c r="AI49" s="2124"/>
      <c r="AJ49" s="2108">
        <f>+IF(OR(EXACT(X49,"X"),EXACT(X49,"x")),MAX(AG47,2722),IF(OR(EXACT(AF49,"X"),EXACT(AF49,"x")),0,+AG47))</f>
        <v>2722.0</v>
      </c>
      <c r="AK49" s="2109"/>
      <c r="AL49" s="2109"/>
      <c r="AM49" s="2109"/>
      <c r="AN49" s="2110"/>
      <c r="AO49" s="2123" t="s">
        <v>200</v>
      </c>
      <c r="AP49" s="2124"/>
      <c r="AQ49" s="2124"/>
      <c r="AR49" s="2125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8" customHeight="1">
      <c r="A50" s="1988"/>
      <c r="B50" s="1989"/>
      <c r="C50" s="1989"/>
      <c r="D50" s="1989"/>
      <c r="E50" s="1989"/>
      <c r="F50" s="1989"/>
      <c r="G50" s="1989"/>
      <c r="H50" s="1989"/>
      <c r="I50" s="1989"/>
      <c r="J50" s="1989"/>
      <c r="K50" s="1989"/>
      <c r="L50" s="1989"/>
      <c r="M50" s="1989"/>
      <c r="N50" s="1989"/>
      <c r="O50" s="1989"/>
      <c r="P50" s="1989"/>
      <c r="Q50" s="1989"/>
      <c r="R50" s="1989"/>
      <c r="S50" s="1989"/>
      <c r="T50" s="1989"/>
      <c r="U50" s="1989"/>
      <c r="V50" s="1990"/>
      <c r="W50" s="1991"/>
      <c r="X50" s="1992"/>
      <c r="Y50" s="1992"/>
      <c r="Z50" s="1992"/>
      <c r="AA50" s="1992"/>
      <c r="AB50" s="1992"/>
      <c r="AC50" s="1992"/>
      <c r="AD50" s="1992"/>
      <c r="AE50" s="1992"/>
      <c r="AF50" s="1992"/>
      <c r="AG50" s="1992"/>
      <c r="AH50" s="1992"/>
      <c r="AI50" s="1992"/>
      <c r="AJ50" s="1992"/>
      <c r="AK50" s="1992"/>
      <c r="AL50" s="1992"/>
      <c r="AM50" s="1992"/>
      <c r="AN50" s="1992"/>
      <c r="AO50" s="1992"/>
      <c r="AP50" s="1992"/>
      <c r="AQ50" s="1992"/>
      <c r="AR50" s="1993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8" customHeight="1">
      <c r="A51" s="584" t="s">
        <v>3528</v>
      </c>
      <c r="B51" s="585"/>
      <c r="C51" s="585"/>
      <c r="D51" s="585"/>
      <c r="E51" s="585"/>
      <c r="F51" s="585"/>
      <c r="G51" s="585"/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6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2" customHeight="1">
      <c r="A52" s="2138" t="s">
        <v>3753</v>
      </c>
      <c r="B52" s="2039"/>
      <c r="C52" s="2039"/>
      <c r="D52" s="2039"/>
      <c r="E52" s="2039"/>
      <c r="F52" s="2039"/>
      <c r="G52" s="2039"/>
      <c r="H52" s="2039"/>
      <c r="I52" s="2039"/>
      <c r="J52" s="2039"/>
      <c r="K52" s="2039"/>
      <c r="L52" s="2039"/>
      <c r="M52" s="2039"/>
      <c r="N52" s="2039"/>
      <c r="O52" s="2039"/>
      <c r="P52" s="2039"/>
      <c r="Q52" s="2039"/>
      <c r="R52" s="2039"/>
      <c r="S52" s="2039"/>
      <c r="T52" s="2039"/>
      <c r="U52" s="2039"/>
      <c r="V52" s="2039"/>
      <c r="W52" s="2039"/>
      <c r="X52" s="2039"/>
      <c r="Y52" s="2039"/>
      <c r="Z52" s="580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33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ht="18" customHeight="1">
      <c r="A53" s="2139"/>
      <c r="B53" s="2040"/>
      <c r="C53" s="2040"/>
      <c r="D53" s="2040"/>
      <c r="E53" s="2040"/>
      <c r="F53" s="2040"/>
      <c r="G53" s="2040"/>
      <c r="H53" s="2040"/>
      <c r="I53" s="2040"/>
      <c r="J53" s="2040"/>
      <c r="K53" s="2040"/>
      <c r="L53" s="2040"/>
      <c r="M53" s="2040"/>
      <c r="N53" s="2040"/>
      <c r="O53" s="2040"/>
      <c r="P53" s="2040"/>
      <c r="Q53" s="2040"/>
      <c r="R53" s="2040"/>
      <c r="S53" s="2040"/>
      <c r="T53" s="2040"/>
      <c r="U53" s="2040"/>
      <c r="V53" s="2040"/>
      <c r="W53" s="2040"/>
      <c r="X53" s="2040"/>
      <c r="Y53" s="2040"/>
      <c r="Z53" s="580"/>
      <c r="AA53" s="526"/>
      <c r="AB53" s="2058" t="s">
        <v>351</v>
      </c>
      <c r="AC53" s="2059"/>
      <c r="AD53" s="2059"/>
      <c r="AE53" s="2059"/>
      <c r="AF53" s="2059"/>
      <c r="AG53" s="2059"/>
      <c r="AH53" s="2059"/>
      <c r="AI53" s="2059"/>
      <c r="AJ53" s="2059"/>
      <c r="AK53" s="2059"/>
      <c r="AL53" s="2059"/>
      <c r="AM53" s="2059"/>
      <c r="AN53" s="2060"/>
      <c r="AO53" s="1984"/>
      <c r="AP53" s="1984"/>
      <c r="AQ53" s="1984"/>
      <c r="AR53" s="2044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ht="12" customHeight="1">
      <c r="A54" s="587"/>
      <c r="B54" s="580"/>
      <c r="C54" s="580"/>
      <c r="D54" s="580"/>
      <c r="E54" s="580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26"/>
      <c r="AB54" s="2061"/>
      <c r="AC54" s="2062"/>
      <c r="AD54" s="2062"/>
      <c r="AE54" s="2062"/>
      <c r="AF54" s="2062"/>
      <c r="AG54" s="2062"/>
      <c r="AH54" s="2062"/>
      <c r="AI54" s="2062"/>
      <c r="AJ54" s="2062"/>
      <c r="AK54" s="2062"/>
      <c r="AL54" s="2062"/>
      <c r="AM54" s="2062"/>
      <c r="AN54" s="2063"/>
      <c r="AO54" s="1984"/>
      <c r="AP54" s="1984"/>
      <c r="AQ54" s="1984"/>
      <c r="AR54" s="2044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ht="18" customHeight="1">
      <c r="A55" s="587"/>
      <c r="B55" s="580"/>
      <c r="C55" s="580"/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26"/>
      <c r="AB55" s="2061"/>
      <c r="AC55" s="2062"/>
      <c r="AD55" s="2062"/>
      <c r="AE55" s="2062"/>
      <c r="AF55" s="2062"/>
      <c r="AG55" s="2062"/>
      <c r="AH55" s="2062"/>
      <c r="AI55" s="2062"/>
      <c r="AJ55" s="2062"/>
      <c r="AK55" s="2062"/>
      <c r="AL55" s="2062"/>
      <c r="AM55" s="2062"/>
      <c r="AN55" s="2063"/>
      <c r="AO55" s="1984"/>
      <c r="AP55" s="1984"/>
      <c r="AQ55" s="1984"/>
      <c r="AR55" s="2044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ht="12" customHeight="1">
      <c r="A56" s="531"/>
      <c r="B56" s="2122" t="s">
        <v>3971</v>
      </c>
      <c r="C56" s="2122"/>
      <c r="D56" s="2122"/>
      <c r="E56" s="2122"/>
      <c r="F56" s="2122"/>
      <c r="G56" s="2122"/>
      <c r="H56" s="2122"/>
      <c r="I56" s="2122"/>
      <c r="J56" s="2122"/>
      <c r="K56" s="2122"/>
      <c r="L56" s="2122"/>
      <c r="M56" s="2122"/>
      <c r="N56" s="2122"/>
      <c r="O56" s="2122"/>
      <c r="P56" s="2122"/>
      <c r="Q56" s="579" t="s">
        <v>352</v>
      </c>
      <c r="R56" s="580"/>
      <c r="S56" s="580"/>
      <c r="T56" s="580"/>
      <c r="U56" s="580"/>
      <c r="V56" s="580"/>
      <c r="W56" s="580"/>
      <c r="X56" s="580"/>
      <c r="Y56" s="580"/>
      <c r="Z56" s="527"/>
      <c r="AA56" s="527"/>
      <c r="AB56" s="2061"/>
      <c r="AC56" s="2062"/>
      <c r="AD56" s="2062"/>
      <c r="AE56" s="2062"/>
      <c r="AF56" s="2062"/>
      <c r="AG56" s="2062"/>
      <c r="AH56" s="2062"/>
      <c r="AI56" s="2062"/>
      <c r="AJ56" s="2062"/>
      <c r="AK56" s="2062"/>
      <c r="AL56" s="2062"/>
      <c r="AM56" s="2062"/>
      <c r="AN56" s="2063"/>
      <c r="AO56" s="1984"/>
      <c r="AP56" s="1984"/>
      <c r="AQ56" s="1984"/>
      <c r="AR56" s="2044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ht="18" customHeight="1">
      <c r="A57" s="531"/>
      <c r="B57" s="261"/>
      <c r="C57" s="1984"/>
      <c r="D57" s="1984"/>
      <c r="E57" s="1984"/>
      <c r="F57" s="1984"/>
      <c r="G57" s="1984"/>
      <c r="H57" s="1984"/>
      <c r="I57" s="1984"/>
      <c r="J57" s="1984"/>
      <c r="K57" s="1984"/>
      <c r="L57" s="1984"/>
      <c r="M57" s="1984"/>
      <c r="N57" s="1984"/>
      <c r="O57" s="1984"/>
      <c r="P57" s="1984"/>
      <c r="Q57" s="2128">
        <f ca="1">+TODAY()</f>
        <v>44994.0</v>
      </c>
      <c r="R57" s="2129"/>
      <c r="S57" s="2129"/>
      <c r="T57" s="2129"/>
      <c r="U57" s="2129"/>
      <c r="V57" s="2129"/>
      <c r="W57" s="2129"/>
      <c r="X57" s="2129"/>
      <c r="Y57" s="2130"/>
      <c r="Z57" s="526"/>
      <c r="AA57" s="526"/>
      <c r="AB57" s="2061"/>
      <c r="AC57" s="2062"/>
      <c r="AD57" s="2062"/>
      <c r="AE57" s="2062"/>
      <c r="AF57" s="2062"/>
      <c r="AG57" s="2062"/>
      <c r="AH57" s="2062"/>
      <c r="AI57" s="2062"/>
      <c r="AJ57" s="2062"/>
      <c r="AK57" s="2062"/>
      <c r="AL57" s="2062"/>
      <c r="AM57" s="2062"/>
      <c r="AN57" s="2063"/>
      <c r="AO57" s="1984"/>
      <c r="AP57" s="1984"/>
      <c r="AQ57" s="261"/>
      <c r="AR57" s="2044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ht="3" customHeight="1">
      <c r="A58" s="2114"/>
      <c r="B58" s="2012"/>
      <c r="C58" s="2012"/>
      <c r="D58" s="2012"/>
      <c r="E58" s="2012"/>
      <c r="F58" s="2012"/>
      <c r="G58" s="2012"/>
      <c r="H58" s="2012"/>
      <c r="I58" s="2012"/>
      <c r="J58" s="2012"/>
      <c r="K58" s="2012"/>
      <c r="L58" s="2012"/>
      <c r="M58" s="2012"/>
      <c r="N58" s="2012"/>
      <c r="O58" s="2012"/>
      <c r="P58" s="2012"/>
      <c r="Q58" s="1939"/>
      <c r="R58" s="1940"/>
      <c r="S58" s="1940"/>
      <c r="T58" s="1940"/>
      <c r="U58" s="1940"/>
      <c r="V58" s="1940"/>
      <c r="W58" s="1940"/>
      <c r="X58" s="1940"/>
      <c r="Y58" s="1941"/>
      <c r="Z58" s="526"/>
      <c r="AA58" s="526"/>
      <c r="AB58" s="2064"/>
      <c r="AC58" s="2065"/>
      <c r="AD58" s="2065"/>
      <c r="AE58" s="2065"/>
      <c r="AF58" s="2065"/>
      <c r="AG58" s="2065"/>
      <c r="AH58" s="2065"/>
      <c r="AI58" s="2065"/>
      <c r="AJ58" s="2065"/>
      <c r="AK58" s="2065"/>
      <c r="AL58" s="2065"/>
      <c r="AM58" s="2065"/>
      <c r="AN58" s="2066"/>
      <c r="AO58" s="1984"/>
      <c r="AP58" s="1984"/>
      <c r="AQ58" s="526"/>
      <c r="AR58" s="2044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45" ht="12.75" customHeight="1">
      <c r="A59" s="581"/>
      <c r="B59" s="582"/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2"/>
      <c r="AQ59" s="582"/>
      <c r="AR59" s="583"/>
      <c r="AS59" s="21"/>
    </row>
    <row r="60" spans="1:45" ht="12" customHeight="1">
      <c r="A60" s="2126" t="str">
        <f>+'SP1'!A69</f>
        <v>Formulář zpracovala ASPEKT HM, daňová, účetní a auditorská kancelář, www.danovapriznani.cz, business.center.cz</v>
      </c>
      <c r="B60" s="2127"/>
      <c r="C60" s="2127"/>
      <c r="D60" s="2127"/>
      <c r="E60" s="2127"/>
      <c r="F60" s="2127"/>
      <c r="G60" s="2127"/>
      <c r="H60" s="2127"/>
      <c r="I60" s="2127"/>
      <c r="J60" s="2127"/>
      <c r="K60" s="2127"/>
      <c r="L60" s="2127"/>
      <c r="M60" s="2127"/>
      <c r="N60" s="2127"/>
      <c r="O60" s="2127"/>
      <c r="P60" s="2127"/>
      <c r="Q60" s="2127"/>
      <c r="R60" s="2127"/>
      <c r="S60" s="2127"/>
      <c r="T60" s="2127"/>
      <c r="U60" s="2127"/>
      <c r="V60" s="2127"/>
      <c r="W60" s="2127"/>
      <c r="X60" s="2127"/>
      <c r="Y60" s="2127"/>
      <c r="Z60" s="2127"/>
      <c r="AA60" s="2127"/>
      <c r="AB60" s="2127"/>
      <c r="AC60" s="2127"/>
      <c r="AD60" s="2127"/>
      <c r="AE60" s="2127"/>
      <c r="AF60" s="2127"/>
      <c r="AG60" s="2127"/>
      <c r="AH60" s="2127"/>
      <c r="AI60" s="2127"/>
      <c r="AJ60" s="2127"/>
      <c r="AK60" s="2127"/>
      <c r="AL60" s="2127"/>
      <c r="AM60" s="2127"/>
      <c r="AN60" s="2127"/>
      <c r="AO60" s="2127"/>
      <c r="AP60" s="2127"/>
      <c r="AQ60" s="2127"/>
      <c r="AR60" s="2127"/>
      <c r="AS60" s="21"/>
    </row>
    <row r="61" spans="1:45" ht="12" customHeight="1">
      <c r="A61" s="2131" t="str">
        <f>+CONCATENATE(ZAKL_DATA!A44)</f>
        <v/>
      </c>
      <c r="B61" s="2132"/>
      <c r="C61" s="2132"/>
      <c r="D61" s="2132"/>
      <c r="E61" s="2132"/>
      <c r="F61" s="2132"/>
      <c r="G61" s="2132"/>
      <c r="H61" s="2132"/>
      <c r="I61" s="2132"/>
      <c r="J61" s="2132"/>
      <c r="K61" s="2132"/>
      <c r="L61" s="2132"/>
      <c r="M61" s="2132"/>
      <c r="N61" s="2132"/>
      <c r="O61" s="2132"/>
      <c r="P61" s="2132"/>
      <c r="Q61" s="2132"/>
      <c r="R61" s="2132"/>
      <c r="S61" s="2132"/>
      <c r="T61" s="2132"/>
      <c r="U61" s="2132"/>
      <c r="V61" s="2132"/>
      <c r="W61" s="2132"/>
      <c r="X61" s="2132"/>
      <c r="Y61" s="2132"/>
      <c r="Z61" s="2132"/>
      <c r="AA61" s="2132"/>
      <c r="AB61" s="2132"/>
      <c r="AC61" s="2132"/>
      <c r="AD61" s="2132"/>
      <c r="AE61" s="2132"/>
      <c r="AF61" s="2132"/>
      <c r="AG61" s="2132"/>
      <c r="AH61" s="2132"/>
      <c r="AI61" s="2132"/>
      <c r="AJ61" s="2132"/>
      <c r="AK61" s="2132"/>
      <c r="AL61" s="2132"/>
      <c r="AM61" s="2132"/>
      <c r="AN61" s="2132"/>
      <c r="AO61" s="2132"/>
      <c r="AP61" s="2132"/>
      <c r="AQ61" s="2132"/>
      <c r="AR61" s="2132"/>
      <c r="AS61" s="21"/>
    </row>
    <row r="62" spans="1:45" ht="1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:45" ht="9.9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spans="1:45" ht="9.9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:45" ht="9.9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:45" ht="9.9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:45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spans="1:45" ht="1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spans="1:45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:45" ht="8.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:45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spans="1:45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spans="1:45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45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2:45" ht="12.7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2:45" ht="12.7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</sheetData>
  <sheetProtection algorithmName="SHA-512" hashValue="gHWBauzrydps8TcpL9L7GVCh/QlBU2yw7nT0efThJMFCFdBNJhbfPvE+0M2Ngsy1RLhbgi4+akW8t1XaW+YoIg==" saltValue="Vc5zPJk2Eeb11H/ry1YP7Q==" spinCount="100000" sheet="1" objects="1" scenarios="1"/>
  <mergeCells count="147">
    <mergeCell ref="A60:AR60"/>
    <mergeCell ref="Q57:Y58"/>
    <mergeCell ref="A61:AR61"/>
    <mergeCell ref="B40:M40"/>
    <mergeCell ref="N40:O40"/>
    <mergeCell ref="P40:V40"/>
    <mergeCell ref="W39:AR39"/>
    <mergeCell ref="W43:X43"/>
    <mergeCell ref="Y43:AC43"/>
    <mergeCell ref="AE43:AR43"/>
    <mergeCell ref="W44:AC44"/>
    <mergeCell ref="AE44:AR44"/>
    <mergeCell ref="AG47:AN47"/>
    <mergeCell ref="AO47:AR47"/>
    <mergeCell ref="A52:Y53"/>
    <mergeCell ref="T49:V49"/>
    <mergeCell ref="I49:S49"/>
    <mergeCell ref="C57:P57"/>
    <mergeCell ref="T46:V46"/>
    <mergeCell ref="Y49:AA49"/>
    <mergeCell ref="AC49:AE49"/>
    <mergeCell ref="AG49:AI49"/>
    <mergeCell ref="AO53:AR56"/>
    <mergeCell ref="AO57:AP58"/>
    <mergeCell ref="AR57:AR58"/>
    <mergeCell ref="AJ49:AN49"/>
    <mergeCell ref="B25:AA25"/>
    <mergeCell ref="AB22:AR22"/>
    <mergeCell ref="AB24:AR24"/>
    <mergeCell ref="AD23:AR23"/>
    <mergeCell ref="AD25:AR25"/>
    <mergeCell ref="A58:P58"/>
    <mergeCell ref="I46:S46"/>
    <mergeCell ref="B46:H46"/>
    <mergeCell ref="B41:V41"/>
    <mergeCell ref="B39:V39"/>
    <mergeCell ref="P38:V38"/>
    <mergeCell ref="N38:O38"/>
    <mergeCell ref="B44:H44"/>
    <mergeCell ref="I35:S35"/>
    <mergeCell ref="B35:H35"/>
    <mergeCell ref="B49:H49"/>
    <mergeCell ref="B56:P56"/>
    <mergeCell ref="AO49:AR49"/>
    <mergeCell ref="P30:S30"/>
    <mergeCell ref="N29:O29"/>
    <mergeCell ref="N23:O23"/>
    <mergeCell ref="T36:V36"/>
    <mergeCell ref="T3:AA3"/>
    <mergeCell ref="T4:AA4"/>
    <mergeCell ref="A7:S7"/>
    <mergeCell ref="U6:Z6"/>
    <mergeCell ref="T7:V7"/>
    <mergeCell ref="X7:Y7"/>
    <mergeCell ref="A4:E4"/>
    <mergeCell ref="F4:S4"/>
    <mergeCell ref="A19:AR19"/>
    <mergeCell ref="A5:R6"/>
    <mergeCell ref="A18:AR18"/>
    <mergeCell ref="AH12:AR12"/>
    <mergeCell ref="AG17:AR17"/>
    <mergeCell ref="A11:W11"/>
    <mergeCell ref="Y11:AL11"/>
    <mergeCell ref="AN11:AR11"/>
    <mergeCell ref="A12:W12"/>
    <mergeCell ref="Y12:AF12"/>
    <mergeCell ref="A20:AR20"/>
    <mergeCell ref="B37:V37"/>
    <mergeCell ref="A47:V47"/>
    <mergeCell ref="X47:AF47"/>
    <mergeCell ref="B48:V48"/>
    <mergeCell ref="W46:AR46"/>
    <mergeCell ref="AB53:AN58"/>
    <mergeCell ref="A34:V34"/>
    <mergeCell ref="W34:AR34"/>
    <mergeCell ref="W35:AR35"/>
    <mergeCell ref="X36:AD36"/>
    <mergeCell ref="AE36:AN36"/>
    <mergeCell ref="AO36:AR36"/>
    <mergeCell ref="W37:AR37"/>
    <mergeCell ref="X38:AD38"/>
    <mergeCell ref="AE38:AN38"/>
    <mergeCell ref="AO38:AR38"/>
    <mergeCell ref="X40:AR40"/>
    <mergeCell ref="B36:H36"/>
    <mergeCell ref="A33:AA33"/>
    <mergeCell ref="B42:M42"/>
    <mergeCell ref="I36:S36"/>
    <mergeCell ref="B22:AA22"/>
    <mergeCell ref="P23:AA24"/>
    <mergeCell ref="AT1:AV1"/>
    <mergeCell ref="A50:V50"/>
    <mergeCell ref="W50:AR50"/>
    <mergeCell ref="AF1:AR7"/>
    <mergeCell ref="T1:AA1"/>
    <mergeCell ref="T2:AA2"/>
    <mergeCell ref="T35:V35"/>
    <mergeCell ref="Y41:AR41"/>
    <mergeCell ref="AH42:AO42"/>
    <mergeCell ref="AP42:AR42"/>
    <mergeCell ref="Y42:AG42"/>
    <mergeCell ref="W45:AR45"/>
    <mergeCell ref="N42:O42"/>
    <mergeCell ref="P42:V42"/>
    <mergeCell ref="I44:S44"/>
    <mergeCell ref="A45:V45"/>
    <mergeCell ref="I43:S43"/>
    <mergeCell ref="B43:H43"/>
    <mergeCell ref="T44:V44"/>
    <mergeCell ref="T43:V43"/>
    <mergeCell ref="B38:M38"/>
    <mergeCell ref="B31:G32"/>
    <mergeCell ref="H32:P32"/>
    <mergeCell ref="R32:Z32"/>
    <mergeCell ref="N26:O26"/>
    <mergeCell ref="P26:S26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B30:AR33"/>
    <mergeCell ref="T5:AA5"/>
    <mergeCell ref="A8:AR8"/>
    <mergeCell ref="A15:F15"/>
    <mergeCell ref="AK15:AR15"/>
    <mergeCell ref="AK14:AR14"/>
    <mergeCell ref="A13:W13"/>
    <mergeCell ref="AG16:AR16"/>
    <mergeCell ref="A21:AR21"/>
    <mergeCell ref="A14:F14"/>
    <mergeCell ref="H15:AI15"/>
    <mergeCell ref="H14:AI14"/>
    <mergeCell ref="A17:AE17"/>
    <mergeCell ref="A16:AE16"/>
    <mergeCell ref="Y13:AF13"/>
    <mergeCell ref="AH13:AR13"/>
    <mergeCell ref="A9:AR9"/>
    <mergeCell ref="A10:W10"/>
    <mergeCell ref="Y10:AL10"/>
    <mergeCell ref="AN10:AR10"/>
  </mergeCells>
  <printOptions horizontalCentered="1" verticalCentered="1"/>
  <pageMargins left="0.2755905511811024" right="0.2755905511811024" top="0.3937007874015748" bottom="0.3937007874015748" header="0.5118110236220472" footer="0"/>
  <pageSetup orientation="portrait" paperSize="9" scale="81" r:id="rId4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7EA-5B48-462F-A93E-1C8ED0D2C263}">
  <sheetPr>
    <tabColor theme="6" tint="0.5999900102615356"/>
    <pageSetUpPr fitToPage="1"/>
  </sheetPr>
  <dimension ref="A1:CX113"/>
  <sheetViews>
    <sheetView workbookViewId="0" topLeftCell="A1">
      <selection pane="topLeft" activeCell="A11" sqref="A11:W11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9" width="9.142857142857142" style="21"/>
    <col min="50" max="55" width="4.714285714285714" style="21" hidden="1" customWidth="1"/>
    <col min="56" max="64" width="4.714285714285714" style="20" hidden="1" customWidth="1"/>
    <col min="65" max="102" width="9.142857142857142" style="20"/>
  </cols>
  <sheetData>
    <row r="1" spans="1:49" ht="21.95" customHeight="1">
      <c r="A1" s="2204" t="s">
        <v>3558</v>
      </c>
      <c r="B1" s="2204"/>
      <c r="C1" s="2204"/>
      <c r="D1" s="2204"/>
      <c r="E1" s="2204"/>
      <c r="F1" s="2204"/>
      <c r="G1" s="2204"/>
      <c r="H1" s="2204"/>
      <c r="I1" s="2204"/>
      <c r="J1" s="2204"/>
      <c r="K1" s="2204"/>
      <c r="L1" s="2204"/>
      <c r="M1" s="2204"/>
      <c r="N1" s="2204"/>
      <c r="O1" s="2204"/>
      <c r="P1" s="2204"/>
      <c r="Q1" s="75"/>
      <c r="R1" s="75"/>
      <c r="S1" s="75"/>
      <c r="T1" s="2185" t="s">
        <v>354</v>
      </c>
      <c r="U1" s="797"/>
      <c r="V1" s="797"/>
      <c r="W1" s="797"/>
      <c r="X1" s="797"/>
      <c r="Y1" s="797"/>
      <c r="Z1" s="797"/>
      <c r="AA1" s="798"/>
      <c r="AB1" s="75"/>
      <c r="AC1" s="75"/>
      <c r="AD1" s="271"/>
      <c r="AE1" s="271"/>
      <c r="AF1" s="2186" t="s">
        <v>3794</v>
      </c>
      <c r="AG1" s="2187"/>
      <c r="AH1" s="2187"/>
      <c r="AI1" s="2187"/>
      <c r="AJ1" s="2187"/>
      <c r="AK1" s="2187"/>
      <c r="AL1" s="2187"/>
      <c r="AM1" s="2187"/>
      <c r="AN1" s="2187"/>
      <c r="AO1" s="2187"/>
      <c r="AP1" s="2187"/>
      <c r="AQ1" s="2187"/>
      <c r="AR1" s="2188"/>
      <c r="AS1" s="386"/>
      <c r="AT1" s="1986" t="s">
        <v>3621</v>
      </c>
      <c r="AU1" s="1987"/>
      <c r="AV1" s="1987"/>
      <c r="AW1" s="386"/>
    </row>
    <row r="2" spans="1:49" ht="18" customHeight="1">
      <c r="A2" s="2204"/>
      <c r="B2" s="2204"/>
      <c r="C2" s="2204"/>
      <c r="D2" s="2204"/>
      <c r="E2" s="2204"/>
      <c r="F2" s="2204"/>
      <c r="G2" s="2204"/>
      <c r="H2" s="2204"/>
      <c r="I2" s="2204"/>
      <c r="J2" s="2204"/>
      <c r="K2" s="2204"/>
      <c r="L2" s="2204"/>
      <c r="M2" s="2204"/>
      <c r="N2" s="2204"/>
      <c r="O2" s="2204"/>
      <c r="P2" s="2204"/>
      <c r="Q2" s="75"/>
      <c r="R2" s="261"/>
      <c r="S2" s="75"/>
      <c r="T2" s="2198" t="s">
        <v>355</v>
      </c>
      <c r="U2" s="676"/>
      <c r="V2" s="676"/>
      <c r="W2" s="676"/>
      <c r="X2" s="676"/>
      <c r="Y2" s="676"/>
      <c r="Z2" s="676"/>
      <c r="AA2" s="781"/>
      <c r="AB2" s="75"/>
      <c r="AC2" s="261"/>
      <c r="AD2" s="271"/>
      <c r="AE2" s="271"/>
      <c r="AF2" s="2189"/>
      <c r="AG2" s="2190"/>
      <c r="AH2" s="2190"/>
      <c r="AI2" s="2190"/>
      <c r="AJ2" s="2190"/>
      <c r="AK2" s="2190"/>
      <c r="AL2" s="2190"/>
      <c r="AM2" s="2190"/>
      <c r="AN2" s="2190"/>
      <c r="AO2" s="2190"/>
      <c r="AP2" s="2190"/>
      <c r="AQ2" s="2190"/>
      <c r="AR2" s="2191"/>
      <c r="AS2" s="386"/>
      <c r="AT2" s="521" t="s">
        <v>3576</v>
      </c>
      <c r="AU2" s="521"/>
      <c r="AV2" s="521" t="s">
        <v>3577</v>
      </c>
      <c r="AW2" s="386"/>
    </row>
    <row r="3" spans="1:49" ht="14.25" customHeight="1">
      <c r="A3" s="2204"/>
      <c r="B3" s="2204"/>
      <c r="C3" s="2204"/>
      <c r="D3" s="2204"/>
      <c r="E3" s="2204"/>
      <c r="F3" s="2204"/>
      <c r="G3" s="2204"/>
      <c r="H3" s="2204"/>
      <c r="I3" s="2204"/>
      <c r="J3" s="2204"/>
      <c r="K3" s="2204"/>
      <c r="L3" s="2204"/>
      <c r="M3" s="2204"/>
      <c r="N3" s="2204"/>
      <c r="O3" s="2204"/>
      <c r="P3" s="2204"/>
      <c r="Q3" s="1047"/>
      <c r="R3" s="676"/>
      <c r="S3" s="781"/>
      <c r="T3" s="2199" t="s">
        <v>356</v>
      </c>
      <c r="U3" s="676"/>
      <c r="V3" s="676"/>
      <c r="W3" s="676"/>
      <c r="X3" s="676"/>
      <c r="Y3" s="676"/>
      <c r="Z3" s="676"/>
      <c r="AA3" s="781"/>
      <c r="AB3" s="75"/>
      <c r="AC3" s="75"/>
      <c r="AD3" s="271"/>
      <c r="AE3" s="271"/>
      <c r="AF3" s="2189"/>
      <c r="AG3" s="2190"/>
      <c r="AH3" s="2190"/>
      <c r="AI3" s="2190"/>
      <c r="AJ3" s="2190"/>
      <c r="AK3" s="2190"/>
      <c r="AL3" s="2190"/>
      <c r="AM3" s="2190"/>
      <c r="AN3" s="2190"/>
      <c r="AO3" s="2190"/>
      <c r="AP3" s="2190"/>
      <c r="AQ3" s="2190"/>
      <c r="AR3" s="2191"/>
      <c r="AS3" s="386"/>
      <c r="AT3" s="387"/>
      <c r="AU3" s="386"/>
      <c r="AV3" s="387"/>
      <c r="AW3" s="386"/>
    </row>
    <row r="4" spans="1:49" ht="21.95" customHeight="1">
      <c r="A4" s="2205"/>
      <c r="B4" s="2205"/>
      <c r="C4" s="2205"/>
      <c r="D4" s="2205"/>
      <c r="E4" s="2205"/>
      <c r="F4" s="2205"/>
      <c r="G4" s="2205"/>
      <c r="H4" s="2205"/>
      <c r="I4" s="2205"/>
      <c r="J4" s="2205"/>
      <c r="K4" s="2205"/>
      <c r="L4" s="2205"/>
      <c r="M4" s="2205"/>
      <c r="N4" s="2205"/>
      <c r="O4" s="2205"/>
      <c r="P4" s="2205"/>
      <c r="Q4" s="676"/>
      <c r="R4" s="676"/>
      <c r="S4" s="781"/>
      <c r="T4" s="2200">
        <v>2022.0</v>
      </c>
      <c r="U4" s="1344"/>
      <c r="V4" s="1344"/>
      <c r="W4" s="1344"/>
      <c r="X4" s="1344"/>
      <c r="Y4" s="1344"/>
      <c r="Z4" s="1344"/>
      <c r="AA4" s="2201"/>
      <c r="AB4" s="75"/>
      <c r="AC4" s="75"/>
      <c r="AD4" s="271"/>
      <c r="AE4" s="271"/>
      <c r="AF4" s="2189"/>
      <c r="AG4" s="2190"/>
      <c r="AH4" s="2190"/>
      <c r="AI4" s="2190"/>
      <c r="AJ4" s="2190"/>
      <c r="AK4" s="2190"/>
      <c r="AL4" s="2190"/>
      <c r="AM4" s="2190"/>
      <c r="AN4" s="2190"/>
      <c r="AO4" s="2190"/>
      <c r="AP4" s="2190"/>
      <c r="AQ4" s="2190"/>
      <c r="AR4" s="2191"/>
      <c r="AS4" s="386"/>
      <c r="AT4" s="386"/>
      <c r="AU4" s="386"/>
      <c r="AV4" s="386"/>
      <c r="AW4" s="386"/>
    </row>
    <row r="5" spans="1:44" ht="15" customHeight="1">
      <c r="A5" s="2202" t="s">
        <v>3892</v>
      </c>
      <c r="B5" s="2202"/>
      <c r="C5" s="2202"/>
      <c r="D5" s="2202"/>
      <c r="E5" s="2202"/>
      <c r="F5" s="2202"/>
      <c r="G5" s="2202"/>
      <c r="H5" s="2202"/>
      <c r="I5" s="2202"/>
      <c r="J5" s="2202"/>
      <c r="K5" s="2202"/>
      <c r="L5" s="2202"/>
      <c r="M5" s="2202"/>
      <c r="N5" s="2202"/>
      <c r="O5" s="2202"/>
      <c r="P5" s="2202"/>
      <c r="Q5" s="2202"/>
      <c r="R5" s="2202"/>
      <c r="S5" s="142"/>
      <c r="T5" s="2203"/>
      <c r="U5" s="1730"/>
      <c r="V5" s="1730"/>
      <c r="W5" s="1730"/>
      <c r="X5" s="1730"/>
      <c r="Y5" s="1730"/>
      <c r="Z5" s="1730"/>
      <c r="AA5" s="1730"/>
      <c r="AB5" s="75"/>
      <c r="AC5" s="75"/>
      <c r="AD5" s="271"/>
      <c r="AE5" s="271"/>
      <c r="AF5" s="2189"/>
      <c r="AG5" s="2190"/>
      <c r="AH5" s="2190"/>
      <c r="AI5" s="2190"/>
      <c r="AJ5" s="2190"/>
      <c r="AK5" s="2190"/>
      <c r="AL5" s="2190"/>
      <c r="AM5" s="2190"/>
      <c r="AN5" s="2190"/>
      <c r="AO5" s="2190"/>
      <c r="AP5" s="2190"/>
      <c r="AQ5" s="2190"/>
      <c r="AR5" s="2191"/>
    </row>
    <row r="6" spans="1:44" ht="15" customHeight="1">
      <c r="A6" s="2202"/>
      <c r="B6" s="2202"/>
      <c r="C6" s="2202"/>
      <c r="D6" s="2202"/>
      <c r="E6" s="2202"/>
      <c r="F6" s="2202"/>
      <c r="G6" s="2202"/>
      <c r="H6" s="2202"/>
      <c r="I6" s="2202"/>
      <c r="J6" s="2202"/>
      <c r="K6" s="2202"/>
      <c r="L6" s="2202"/>
      <c r="M6" s="2202"/>
      <c r="N6" s="2202"/>
      <c r="O6" s="2202"/>
      <c r="P6" s="2202"/>
      <c r="Q6" s="2202"/>
      <c r="R6" s="2202"/>
      <c r="S6" s="142"/>
      <c r="T6" s="75"/>
      <c r="U6" s="2206" t="s">
        <v>63</v>
      </c>
      <c r="V6" s="2206"/>
      <c r="W6" s="2206"/>
      <c r="X6" s="2206"/>
      <c r="Y6" s="2206"/>
      <c r="Z6" s="2206"/>
      <c r="AA6" s="75"/>
      <c r="AB6" s="75"/>
      <c r="AC6" s="75"/>
      <c r="AD6" s="75"/>
      <c r="AE6" s="75"/>
      <c r="AF6" s="2192"/>
      <c r="AG6" s="2193"/>
      <c r="AH6" s="2193"/>
      <c r="AI6" s="2193"/>
      <c r="AJ6" s="2193"/>
      <c r="AK6" s="2193"/>
      <c r="AL6" s="2193"/>
      <c r="AM6" s="2193"/>
      <c r="AN6" s="2193"/>
      <c r="AO6" s="2193"/>
      <c r="AP6" s="2193"/>
      <c r="AQ6" s="2193"/>
      <c r="AR6" s="2194"/>
    </row>
    <row r="7" spans="1:44" ht="10.5" customHeight="1">
      <c r="A7" s="2207" t="s">
        <v>3520</v>
      </c>
      <c r="B7" s="2208"/>
      <c r="C7" s="2208"/>
      <c r="D7" s="2208"/>
      <c r="E7" s="2208"/>
      <c r="F7" s="2208"/>
      <c r="G7" s="2208"/>
      <c r="H7" s="2208"/>
      <c r="I7" s="2208"/>
      <c r="J7" s="2208"/>
      <c r="K7" s="2208"/>
      <c r="L7" s="2208"/>
      <c r="M7" s="2208"/>
      <c r="N7" s="2208"/>
      <c r="O7" s="2208"/>
      <c r="P7" s="2208"/>
      <c r="Q7" s="2208"/>
      <c r="R7" s="2208"/>
      <c r="S7" s="2208"/>
      <c r="T7" s="2209" t="s">
        <v>326</v>
      </c>
      <c r="U7" s="676"/>
      <c r="V7" s="2210"/>
      <c r="W7" s="262" t="s">
        <v>255</v>
      </c>
      <c r="X7" s="2211" t="s">
        <v>327</v>
      </c>
      <c r="Y7" s="2212"/>
      <c r="Z7" s="262"/>
      <c r="AA7" s="75"/>
      <c r="AB7" s="75"/>
      <c r="AC7" s="75"/>
      <c r="AD7" s="75"/>
      <c r="AE7" s="75"/>
      <c r="AF7" s="2195"/>
      <c r="AG7" s="2196"/>
      <c r="AH7" s="2196"/>
      <c r="AI7" s="2196"/>
      <c r="AJ7" s="2196"/>
      <c r="AK7" s="2196"/>
      <c r="AL7" s="2196"/>
      <c r="AM7" s="2196"/>
      <c r="AN7" s="2196"/>
      <c r="AO7" s="2196"/>
      <c r="AP7" s="2196"/>
      <c r="AQ7" s="2196"/>
      <c r="AR7" s="2197"/>
    </row>
    <row r="8" spans="1:44" ht="12.75">
      <c r="A8" s="2159" t="s">
        <v>89</v>
      </c>
      <c r="B8" s="2159"/>
      <c r="C8" s="2159"/>
      <c r="D8" s="2159"/>
      <c r="E8" s="2159"/>
      <c r="F8" s="2159"/>
      <c r="G8" s="2159"/>
      <c r="H8" s="2159"/>
      <c r="I8" s="2159"/>
      <c r="J8" s="2159"/>
      <c r="K8" s="2159"/>
      <c r="L8" s="2159"/>
      <c r="M8" s="2159"/>
      <c r="N8" s="2159"/>
      <c r="O8" s="2159"/>
      <c r="P8" s="2159"/>
      <c r="Q8" s="2159"/>
      <c r="R8" s="2159"/>
      <c r="S8" s="2159"/>
      <c r="T8" s="2159"/>
      <c r="U8" s="2159"/>
      <c r="V8" s="2159"/>
      <c r="W8" s="2159"/>
      <c r="X8" s="2159"/>
      <c r="Y8" s="2159"/>
      <c r="Z8" s="2159"/>
      <c r="AA8" s="2159"/>
      <c r="AB8" s="2159"/>
      <c r="AC8" s="2159"/>
      <c r="AD8" s="2159"/>
      <c r="AE8" s="2159"/>
      <c r="AF8" s="2159"/>
      <c r="AG8" s="2159"/>
      <c r="AH8" s="2159"/>
      <c r="AI8" s="2159"/>
      <c r="AJ8" s="2159"/>
      <c r="AK8" s="2159"/>
      <c r="AL8" s="2159"/>
      <c r="AM8" s="2159"/>
      <c r="AN8" s="2159"/>
      <c r="AO8" s="2159"/>
      <c r="AP8" s="2159"/>
      <c r="AQ8" s="2159"/>
      <c r="AR8" s="2159"/>
    </row>
    <row r="9" spans="1:44" ht="15" customHeight="1">
      <c r="A9" s="2160" t="s">
        <v>119</v>
      </c>
      <c r="B9" s="2161"/>
      <c r="C9" s="2161"/>
      <c r="D9" s="2161"/>
      <c r="E9" s="2161"/>
      <c r="F9" s="2161"/>
      <c r="G9" s="2161"/>
      <c r="H9" s="2161"/>
      <c r="I9" s="2161"/>
      <c r="J9" s="2161"/>
      <c r="K9" s="2161"/>
      <c r="L9" s="2161"/>
      <c r="M9" s="2161"/>
      <c r="N9" s="2161"/>
      <c r="O9" s="2161"/>
      <c r="P9" s="2161"/>
      <c r="Q9" s="2161"/>
      <c r="R9" s="2161"/>
      <c r="S9" s="2161"/>
      <c r="T9" s="2161"/>
      <c r="U9" s="2161"/>
      <c r="V9" s="2161"/>
      <c r="W9" s="2161"/>
      <c r="X9" s="2161"/>
      <c r="Y9" s="2161"/>
      <c r="Z9" s="2161"/>
      <c r="AA9" s="2161"/>
      <c r="AB9" s="2161"/>
      <c r="AC9" s="2161"/>
      <c r="AD9" s="2161"/>
      <c r="AE9" s="2161"/>
      <c r="AF9" s="2161"/>
      <c r="AG9" s="2161"/>
      <c r="AH9" s="2161"/>
      <c r="AI9" s="2161"/>
      <c r="AJ9" s="2161"/>
      <c r="AK9" s="2161"/>
      <c r="AL9" s="2161"/>
      <c r="AM9" s="2161"/>
      <c r="AN9" s="2161"/>
      <c r="AO9" s="2161"/>
      <c r="AP9" s="2161"/>
      <c r="AQ9" s="2161"/>
      <c r="AR9" s="2162"/>
    </row>
    <row r="10" spans="1:102" s="282" customFormat="1" ht="9.95" customHeight="1">
      <c r="A10" s="2163" t="s">
        <v>96</v>
      </c>
      <c r="B10" s="2164"/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80"/>
      <c r="Y10" s="2164" t="s">
        <v>95</v>
      </c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80"/>
      <c r="AN10" s="2164" t="s">
        <v>114</v>
      </c>
      <c r="AO10" s="2164"/>
      <c r="AP10" s="2164"/>
      <c r="AQ10" s="2164"/>
      <c r="AR10" s="21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</row>
    <row r="11" spans="1:102" s="107" customFormat="1" ht="24" customHeight="1">
      <c r="A11" s="2170" t="str">
        <f>+CONCATENATE(ZAKL_DATA!B5)</f>
        <v/>
      </c>
      <c r="B11" s="2171"/>
      <c r="C11" s="2171"/>
      <c r="D11" s="2171"/>
      <c r="E11" s="2171"/>
      <c r="F11" s="2171"/>
      <c r="G11" s="2171"/>
      <c r="H11" s="2171"/>
      <c r="I11" s="2171"/>
      <c r="J11" s="2171"/>
      <c r="K11" s="2171"/>
      <c r="L11" s="2171"/>
      <c r="M11" s="2171"/>
      <c r="N11" s="2171"/>
      <c r="O11" s="2171"/>
      <c r="P11" s="2171"/>
      <c r="Q11" s="2171"/>
      <c r="R11" s="2171"/>
      <c r="S11" s="2171"/>
      <c r="T11" s="2171"/>
      <c r="U11" s="2171"/>
      <c r="V11" s="2171"/>
      <c r="W11" s="2172"/>
      <c r="X11" s="272"/>
      <c r="Y11" s="2170" t="str">
        <f>+CONCATENATE(+ZAKL_DATA!B4)</f>
        <v/>
      </c>
      <c r="Z11" s="2171"/>
      <c r="AA11" s="2171"/>
      <c r="AB11" s="2171"/>
      <c r="AC11" s="2171"/>
      <c r="AD11" s="2171"/>
      <c r="AE11" s="2171"/>
      <c r="AF11" s="2171"/>
      <c r="AG11" s="2171"/>
      <c r="AH11" s="2171"/>
      <c r="AI11" s="2171"/>
      <c r="AJ11" s="2171"/>
      <c r="AK11" s="2171"/>
      <c r="AL11" s="2172"/>
      <c r="AM11" s="272"/>
      <c r="AN11" s="2182" t="str">
        <f>+CONCATENATE(+ZAKL_DATA!B7)</f>
        <v/>
      </c>
      <c r="AO11" s="2183"/>
      <c r="AP11" s="2183"/>
      <c r="AQ11" s="2183"/>
      <c r="AR11" s="2184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</row>
    <row r="12" spans="1:102" s="282" customFormat="1" ht="9.95" customHeight="1">
      <c r="A12" s="2163" t="s">
        <v>268</v>
      </c>
      <c r="B12" s="2164"/>
      <c r="C12" s="2164"/>
      <c r="D12" s="2164"/>
      <c r="E12" s="2164"/>
      <c r="F12" s="2164"/>
      <c r="G12" s="2164"/>
      <c r="H12" s="2164"/>
      <c r="I12" s="2164"/>
      <c r="J12" s="2164"/>
      <c r="K12" s="2164"/>
      <c r="L12" s="2164"/>
      <c r="M12" s="2164"/>
      <c r="N12" s="2164"/>
      <c r="O12" s="2164"/>
      <c r="P12" s="2164"/>
      <c r="Q12" s="2164"/>
      <c r="R12" s="2164"/>
      <c r="S12" s="2164"/>
      <c r="T12" s="2164"/>
      <c r="U12" s="2164"/>
      <c r="V12" s="2164"/>
      <c r="W12" s="2164"/>
      <c r="X12" s="280"/>
      <c r="Y12" s="2165" t="s">
        <v>3619</v>
      </c>
      <c r="Z12" s="2165"/>
      <c r="AA12" s="2165"/>
      <c r="AB12" s="2165"/>
      <c r="AC12" s="2166"/>
      <c r="AD12" s="2166"/>
      <c r="AE12" s="2166"/>
      <c r="AF12" s="2166"/>
      <c r="AG12" s="522"/>
      <c r="AH12" s="2167" t="s">
        <v>3521</v>
      </c>
      <c r="AI12" s="2168"/>
      <c r="AJ12" s="2168"/>
      <c r="AK12" s="2168"/>
      <c r="AL12" s="2168"/>
      <c r="AM12" s="2168"/>
      <c r="AN12" s="2168"/>
      <c r="AO12" s="2168"/>
      <c r="AP12" s="2168"/>
      <c r="AQ12" s="2168"/>
      <c r="AR12" s="2169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</row>
    <row r="13" spans="1:102" s="107" customFormat="1" ht="24" customHeight="1">
      <c r="A13" s="2170" t="str">
        <f>+CONCATENATE(+ZAKL_DATA!B16)</f>
        <v/>
      </c>
      <c r="B13" s="2171"/>
      <c r="C13" s="2171"/>
      <c r="D13" s="2171"/>
      <c r="E13" s="2171"/>
      <c r="F13" s="2171"/>
      <c r="G13" s="2171"/>
      <c r="H13" s="2171"/>
      <c r="I13" s="2171"/>
      <c r="J13" s="2171"/>
      <c r="K13" s="2171"/>
      <c r="L13" s="2171"/>
      <c r="M13" s="2171"/>
      <c r="N13" s="2171"/>
      <c r="O13" s="2171"/>
      <c r="P13" s="2171"/>
      <c r="Q13" s="2171"/>
      <c r="R13" s="2171"/>
      <c r="S13" s="2171"/>
      <c r="T13" s="2171"/>
      <c r="U13" s="2171"/>
      <c r="V13" s="2171"/>
      <c r="W13" s="2172"/>
      <c r="X13" s="272"/>
      <c r="Y13" s="2173" t="str">
        <f>+CONCATENATE(ZAKL_DATA!B17)</f>
        <v/>
      </c>
      <c r="Z13" s="2174"/>
      <c r="AA13" s="2174"/>
      <c r="AB13" s="2174"/>
      <c r="AC13" s="2175"/>
      <c r="AD13" s="2175"/>
      <c r="AE13" s="2175"/>
      <c r="AF13" s="2176"/>
      <c r="AG13" s="272"/>
      <c r="AH13" s="2177" t="str">
        <f>+CONCATENATE('DAP1'!A9)</f>
        <v/>
      </c>
      <c r="AI13" s="2178"/>
      <c r="AJ13" s="2178"/>
      <c r="AK13" s="2178"/>
      <c r="AL13" s="2178"/>
      <c r="AM13" s="2178"/>
      <c r="AN13" s="2179"/>
      <c r="AO13" s="2179"/>
      <c r="AP13" s="2179"/>
      <c r="AQ13" s="2179"/>
      <c r="AR13" s="218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</row>
    <row r="14" spans="1:102" s="282" customFormat="1" ht="12.6" customHeight="1">
      <c r="A14" s="2255" t="s">
        <v>212</v>
      </c>
      <c r="B14" s="2256"/>
      <c r="C14" s="2256"/>
      <c r="D14" s="2256"/>
      <c r="E14" s="2256"/>
      <c r="F14" s="2256"/>
      <c r="G14" s="280"/>
      <c r="H14" s="2213" t="s">
        <v>269</v>
      </c>
      <c r="I14" s="2213"/>
      <c r="J14" s="2213"/>
      <c r="K14" s="2213"/>
      <c r="L14" s="2213"/>
      <c r="M14" s="2213"/>
      <c r="N14" s="2213"/>
      <c r="O14" s="2213"/>
      <c r="P14" s="2213"/>
      <c r="Q14" s="2213"/>
      <c r="R14" s="2213"/>
      <c r="S14" s="2213"/>
      <c r="T14" s="2213"/>
      <c r="U14" s="2213"/>
      <c r="V14" s="2213"/>
      <c r="W14" s="2213"/>
      <c r="X14" s="2213"/>
      <c r="Y14" s="2213"/>
      <c r="Z14" s="2213"/>
      <c r="AA14" s="2213"/>
      <c r="AB14" s="2213"/>
      <c r="AC14" s="2213"/>
      <c r="AD14" s="2213"/>
      <c r="AE14" s="2213"/>
      <c r="AF14" s="2213"/>
      <c r="AG14" s="2213"/>
      <c r="AH14" s="2213"/>
      <c r="AI14" s="2213"/>
      <c r="AJ14" s="280"/>
      <c r="AK14" s="2214" t="s">
        <v>3522</v>
      </c>
      <c r="AL14" s="2214"/>
      <c r="AM14" s="2214"/>
      <c r="AN14" s="2214"/>
      <c r="AO14" s="2214"/>
      <c r="AP14" s="2214"/>
      <c r="AQ14" s="2214"/>
      <c r="AR14" s="2215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</row>
    <row r="15" spans="1:102" s="107" customFormat="1" ht="24" customHeight="1">
      <c r="A15" s="2173" t="str">
        <f>CONCATENATE(+ZAKL_DATA!B19)</f>
        <v/>
      </c>
      <c r="B15" s="2175"/>
      <c r="C15" s="2175"/>
      <c r="D15" s="2175"/>
      <c r="E15" s="2175"/>
      <c r="F15" s="2176"/>
      <c r="G15" s="272"/>
      <c r="H15" s="2216" t="str">
        <f>+CONCATENATE(ZAKL_DATA!B18)</f>
        <v/>
      </c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8"/>
      <c r="AJ15" s="272"/>
      <c r="AK15" s="2219" t="str">
        <f>+CONCATENATE(+ZAKL_DATA!B10)</f>
        <v/>
      </c>
      <c r="AL15" s="2220"/>
      <c r="AM15" s="2220"/>
      <c r="AN15" s="2220"/>
      <c r="AO15" s="2220"/>
      <c r="AP15" s="2220"/>
      <c r="AQ15" s="2220"/>
      <c r="AR15" s="2221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</row>
    <row r="16" spans="1:102" s="282" customFormat="1" ht="9.95" customHeight="1">
      <c r="A16" s="2222" t="s">
        <v>3523</v>
      </c>
      <c r="B16" s="2223"/>
      <c r="C16" s="2223"/>
      <c r="D16" s="2223"/>
      <c r="E16" s="2223"/>
      <c r="F16" s="2223"/>
      <c r="G16" s="2223"/>
      <c r="H16" s="2223"/>
      <c r="I16" s="2223"/>
      <c r="J16" s="2223"/>
      <c r="K16" s="2154"/>
      <c r="L16" s="2154"/>
      <c r="M16" s="2154"/>
      <c r="N16" s="2154"/>
      <c r="O16" s="2154"/>
      <c r="P16" s="2154"/>
      <c r="Q16" s="2154"/>
      <c r="R16" s="2154"/>
      <c r="S16" s="2154"/>
      <c r="T16" s="2154"/>
      <c r="U16" s="2154"/>
      <c r="V16" s="2154"/>
      <c r="W16" s="2154"/>
      <c r="X16" s="2154"/>
      <c r="Y16" s="2154"/>
      <c r="Z16" s="2154"/>
      <c r="AA16" s="2154"/>
      <c r="AB16" s="2154"/>
      <c r="AC16" s="2154"/>
      <c r="AD16" s="2154"/>
      <c r="AE16" s="2154"/>
      <c r="AF16" s="280"/>
      <c r="AG16" s="2213" t="s">
        <v>31</v>
      </c>
      <c r="AH16" s="2213"/>
      <c r="AI16" s="2213"/>
      <c r="AJ16" s="2213"/>
      <c r="AK16" s="2213"/>
      <c r="AL16" s="2213"/>
      <c r="AM16" s="2213"/>
      <c r="AN16" s="2213"/>
      <c r="AO16" s="2213"/>
      <c r="AP16" s="2213"/>
      <c r="AQ16" s="2213"/>
      <c r="AR16" s="225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</row>
    <row r="17" spans="1:102" s="107" customFormat="1" ht="24" customHeight="1">
      <c r="A17" s="2224" t="str">
        <f>+CONCATENATE(ZAKL_DATA!B32," / ",ZAKL_DATA!B33)</f>
        <v xml:space="preserve"> / </v>
      </c>
      <c r="B17" s="2225"/>
      <c r="C17" s="2225"/>
      <c r="D17" s="2225"/>
      <c r="E17" s="2225"/>
      <c r="F17" s="2225"/>
      <c r="G17" s="2225"/>
      <c r="H17" s="2225"/>
      <c r="I17" s="2225"/>
      <c r="J17" s="2225"/>
      <c r="K17" s="2225"/>
      <c r="L17" s="2225"/>
      <c r="M17" s="2225"/>
      <c r="N17" s="2225"/>
      <c r="O17" s="2225"/>
      <c r="P17" s="2225"/>
      <c r="Q17" s="2225"/>
      <c r="R17" s="2225"/>
      <c r="S17" s="2225"/>
      <c r="T17" s="2225"/>
      <c r="U17" s="2225"/>
      <c r="V17" s="2225"/>
      <c r="W17" s="2225"/>
      <c r="X17" s="2225"/>
      <c r="Y17" s="2225"/>
      <c r="Z17" s="2225"/>
      <c r="AA17" s="2225"/>
      <c r="AB17" s="2225"/>
      <c r="AC17" s="2225"/>
      <c r="AD17" s="2225"/>
      <c r="AE17" s="2226"/>
      <c r="AF17" s="273"/>
      <c r="AG17" s="2252" t="str">
        <f>++CONCATENATE(ZAKL_DATA!B25)</f>
        <v/>
      </c>
      <c r="AH17" s="2253"/>
      <c r="AI17" s="2253"/>
      <c r="AJ17" s="2253"/>
      <c r="AK17" s="2253"/>
      <c r="AL17" s="2253"/>
      <c r="AM17" s="2253"/>
      <c r="AN17" s="2253"/>
      <c r="AO17" s="2253"/>
      <c r="AP17" s="2253"/>
      <c r="AQ17" s="2253"/>
      <c r="AR17" s="2254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</row>
    <row r="18" spans="1:102" s="282" customFormat="1" ht="9.95" customHeight="1">
      <c r="A18" s="2229" t="s">
        <v>213</v>
      </c>
      <c r="B18" s="2230"/>
      <c r="C18" s="2230"/>
      <c r="D18" s="2230"/>
      <c r="E18" s="2230"/>
      <c r="F18" s="2230"/>
      <c r="G18" s="2230"/>
      <c r="H18" s="2230"/>
      <c r="I18" s="2230"/>
      <c r="J18" s="2230"/>
      <c r="K18" s="2230"/>
      <c r="L18" s="2230"/>
      <c r="M18" s="2230"/>
      <c r="N18" s="2230"/>
      <c r="O18" s="2230"/>
      <c r="P18" s="2230"/>
      <c r="Q18" s="2230"/>
      <c r="R18" s="2230"/>
      <c r="S18" s="2230"/>
      <c r="T18" s="2230"/>
      <c r="U18" s="2230"/>
      <c r="V18" s="2230"/>
      <c r="W18" s="2230"/>
      <c r="X18" s="2230"/>
      <c r="Y18" s="2230"/>
      <c r="Z18" s="2230"/>
      <c r="AA18" s="2230"/>
      <c r="AB18" s="2230"/>
      <c r="AC18" s="2230"/>
      <c r="AD18" s="2230"/>
      <c r="AE18" s="2230"/>
      <c r="AF18" s="2230"/>
      <c r="AG18" s="2230"/>
      <c r="AH18" s="2230"/>
      <c r="AI18" s="2230"/>
      <c r="AJ18" s="2230"/>
      <c r="AK18" s="2230"/>
      <c r="AL18" s="2230"/>
      <c r="AM18" s="2230"/>
      <c r="AN18" s="2230"/>
      <c r="AO18" s="2230"/>
      <c r="AP18" s="2230"/>
      <c r="AQ18" s="2230"/>
      <c r="AR18" s="223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</row>
    <row r="19" spans="1:102" s="107" customFormat="1" ht="24" customHeight="1">
      <c r="A19" s="2232" t="str">
        <f>+CONCATENATE(ZAKL_DATA!B27)</f>
        <v/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4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</row>
    <row r="20" spans="1:44" ht="5.1" customHeight="1">
      <c r="A20" s="2233"/>
      <c r="B20" s="2234"/>
      <c r="C20" s="2234"/>
      <c r="D20" s="2234"/>
      <c r="E20" s="2234"/>
      <c r="F20" s="2234"/>
      <c r="G20" s="2234"/>
      <c r="H20" s="2234"/>
      <c r="I20" s="2234"/>
      <c r="J20" s="2234"/>
      <c r="K20" s="2234"/>
      <c r="L20" s="2234"/>
      <c r="M20" s="2234"/>
      <c r="N20" s="2234"/>
      <c r="O20" s="2234"/>
      <c r="P20" s="2234"/>
      <c r="Q20" s="2234"/>
      <c r="R20" s="2234"/>
      <c r="S20" s="2234"/>
      <c r="T20" s="2234"/>
      <c r="U20" s="2234"/>
      <c r="V20" s="2234"/>
      <c r="W20" s="2234"/>
      <c r="X20" s="2234"/>
      <c r="Y20" s="2234"/>
      <c r="Z20" s="2234"/>
      <c r="AA20" s="2234"/>
      <c r="AB20" s="2234"/>
      <c r="AC20" s="2234"/>
      <c r="AD20" s="2234"/>
      <c r="AE20" s="2234"/>
      <c r="AF20" s="2234"/>
      <c r="AG20" s="2234"/>
      <c r="AH20" s="2234"/>
      <c r="AI20" s="2234"/>
      <c r="AJ20" s="2234"/>
      <c r="AK20" s="2234"/>
      <c r="AL20" s="2234"/>
      <c r="AM20" s="2234"/>
      <c r="AN20" s="2234"/>
      <c r="AO20" s="2234"/>
      <c r="AP20" s="2234"/>
      <c r="AQ20" s="2234"/>
      <c r="AR20" s="2235"/>
    </row>
    <row r="21" spans="1:44" ht="15" customHeight="1">
      <c r="A21" s="2236" t="s">
        <v>214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8"/>
      <c r="AD21" s="2238"/>
      <c r="AE21" s="2238"/>
      <c r="AF21" s="2238"/>
      <c r="AG21" s="2238"/>
      <c r="AH21" s="2238"/>
      <c r="AI21" s="2238"/>
      <c r="AJ21" s="2238"/>
      <c r="AK21" s="2238"/>
      <c r="AL21" s="2238"/>
      <c r="AM21" s="2238"/>
      <c r="AN21" s="2238"/>
      <c r="AO21" s="2238"/>
      <c r="AP21" s="2238"/>
      <c r="AQ21" s="2238"/>
      <c r="AR21" s="2239"/>
    </row>
    <row r="22" spans="1:44" ht="14.1" customHeight="1">
      <c r="A22" s="639"/>
      <c r="B22" s="2240" t="s">
        <v>3972</v>
      </c>
      <c r="C22" s="2241"/>
      <c r="D22" s="2241"/>
      <c r="E22" s="2241"/>
      <c r="F22" s="2241"/>
      <c r="G22" s="2241"/>
      <c r="H22" s="2241"/>
      <c r="I22" s="2241"/>
      <c r="J22" s="2241"/>
      <c r="K22" s="2241"/>
      <c r="L22" s="2241"/>
      <c r="M22" s="2241"/>
      <c r="N22" s="2241"/>
      <c r="O22" s="2241"/>
      <c r="P22" s="2241"/>
      <c r="Q22" s="2241"/>
      <c r="R22" s="2241"/>
      <c r="S22" s="2241"/>
      <c r="T22" s="2241"/>
      <c r="U22" s="2241"/>
      <c r="V22" s="2241"/>
      <c r="W22" s="2241"/>
      <c r="X22" s="2241"/>
      <c r="Y22" s="2241"/>
      <c r="Z22" s="2241"/>
      <c r="AA22" s="2242"/>
      <c r="AB22" s="2243"/>
      <c r="AC22" s="2244"/>
      <c r="AD22" s="2244"/>
      <c r="AE22" s="2244"/>
      <c r="AF22" s="2244"/>
      <c r="AG22" s="2244"/>
      <c r="AH22" s="2244"/>
      <c r="AI22" s="2244"/>
      <c r="AJ22" s="2244"/>
      <c r="AK22" s="2244"/>
      <c r="AL22" s="2244"/>
      <c r="AM22" s="2244"/>
      <c r="AN22" s="2244"/>
      <c r="AO22" s="2244"/>
      <c r="AP22" s="2244"/>
      <c r="AQ22" s="2244"/>
      <c r="AR22" s="2245"/>
    </row>
    <row r="23" spans="1:44" ht="14.1" customHeight="1">
      <c r="A23" s="637"/>
      <c r="B23" s="595">
        <v>1.0</v>
      </c>
      <c r="C23" s="595">
        <v>2.0</v>
      </c>
      <c r="D23" s="595">
        <v>3.0</v>
      </c>
      <c r="E23" s="595">
        <v>4.0</v>
      </c>
      <c r="F23" s="595">
        <v>5.0</v>
      </c>
      <c r="G23" s="595">
        <v>6.0</v>
      </c>
      <c r="H23" s="595">
        <v>7.0</v>
      </c>
      <c r="I23" s="595">
        <v>8.0</v>
      </c>
      <c r="J23" s="595">
        <v>9.0</v>
      </c>
      <c r="K23" s="595">
        <v>10.0</v>
      </c>
      <c r="L23" s="595">
        <v>11.0</v>
      </c>
      <c r="M23" s="595">
        <v>12.0</v>
      </c>
      <c r="N23" s="2227" t="s">
        <v>236</v>
      </c>
      <c r="O23" s="2228"/>
      <c r="P23" s="2248"/>
      <c r="Q23" s="2249"/>
      <c r="R23" s="2249"/>
      <c r="S23" s="2249"/>
      <c r="T23" s="2249"/>
      <c r="U23" s="2249"/>
      <c r="V23" s="2249"/>
      <c r="W23" s="2249"/>
      <c r="X23" s="2249"/>
      <c r="Y23" s="2249"/>
      <c r="Z23" s="2249"/>
      <c r="AA23" s="2250"/>
      <c r="AB23" s="596"/>
      <c r="AC23" s="641"/>
      <c r="AD23" s="2246" t="s">
        <v>3973</v>
      </c>
      <c r="AE23" s="2246"/>
      <c r="AF23" s="2246"/>
      <c r="AG23" s="2246"/>
      <c r="AH23" s="2246"/>
      <c r="AI23" s="2246"/>
      <c r="AJ23" s="2246"/>
      <c r="AK23" s="2246"/>
      <c r="AL23" s="2246"/>
      <c r="AM23" s="2246"/>
      <c r="AN23" s="2246"/>
      <c r="AO23" s="2246"/>
      <c r="AP23" s="2246"/>
      <c r="AQ23" s="2246"/>
      <c r="AR23" s="2247"/>
    </row>
    <row r="24" spans="1:44" ht="14.1" customHeight="1">
      <c r="A24" s="637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2"/>
      <c r="O24" s="643"/>
      <c r="P24" s="2249"/>
      <c r="Q24" s="2249"/>
      <c r="R24" s="2249"/>
      <c r="S24" s="2249"/>
      <c r="T24" s="2249"/>
      <c r="U24" s="2249"/>
      <c r="V24" s="2249"/>
      <c r="W24" s="2249"/>
      <c r="X24" s="2249"/>
      <c r="Y24" s="2249"/>
      <c r="Z24" s="2249"/>
      <c r="AA24" s="2250"/>
      <c r="AB24" s="2259"/>
      <c r="AC24" s="2260"/>
      <c r="AD24" s="2260"/>
      <c r="AE24" s="2260"/>
      <c r="AF24" s="2260"/>
      <c r="AG24" s="2260"/>
      <c r="AH24" s="2260"/>
      <c r="AI24" s="2260"/>
      <c r="AJ24" s="2260"/>
      <c r="AK24" s="2260"/>
      <c r="AL24" s="2260"/>
      <c r="AM24" s="2260"/>
      <c r="AN24" s="2260"/>
      <c r="AO24" s="2260"/>
      <c r="AP24" s="2260"/>
      <c r="AQ24" s="2260"/>
      <c r="AR24" s="2261"/>
    </row>
    <row r="25" spans="1:44" ht="14.1" customHeight="1">
      <c r="A25" s="639"/>
      <c r="B25" s="2262" t="s">
        <v>3965</v>
      </c>
      <c r="C25" s="2154"/>
      <c r="D25" s="2154"/>
      <c r="E25" s="2154"/>
      <c r="F25" s="2154"/>
      <c r="G25" s="2154"/>
      <c r="H25" s="2154"/>
      <c r="I25" s="2154"/>
      <c r="J25" s="2154"/>
      <c r="K25" s="2154"/>
      <c r="L25" s="2154"/>
      <c r="M25" s="2154"/>
      <c r="N25" s="2154"/>
      <c r="O25" s="2241"/>
      <c r="P25" s="2154"/>
      <c r="Q25" s="2154"/>
      <c r="R25" s="2154"/>
      <c r="S25" s="2154"/>
      <c r="T25" s="2154"/>
      <c r="U25" s="2154"/>
      <c r="V25" s="2154"/>
      <c r="W25" s="2154"/>
      <c r="X25" s="2154"/>
      <c r="Y25" s="2154"/>
      <c r="Z25" s="2154"/>
      <c r="AA25" s="2263"/>
      <c r="AB25" s="596"/>
      <c r="AC25" s="641"/>
      <c r="AD25" s="2264" t="s">
        <v>3974</v>
      </c>
      <c r="AE25" s="2246"/>
      <c r="AF25" s="2246"/>
      <c r="AG25" s="2246"/>
      <c r="AH25" s="2246"/>
      <c r="AI25" s="2246"/>
      <c r="AJ25" s="2246"/>
      <c r="AK25" s="2246"/>
      <c r="AL25" s="2246"/>
      <c r="AM25" s="2246"/>
      <c r="AN25" s="2246"/>
      <c r="AO25" s="2246"/>
      <c r="AP25" s="2246"/>
      <c r="AQ25" s="2246"/>
      <c r="AR25" s="2247"/>
    </row>
    <row r="26" spans="1:44" ht="14.1" customHeight="1">
      <c r="A26" s="637"/>
      <c r="B26" s="595">
        <v>1.0</v>
      </c>
      <c r="C26" s="595">
        <v>2.0</v>
      </c>
      <c r="D26" s="595">
        <v>3.0</v>
      </c>
      <c r="E26" s="595">
        <v>4.0</v>
      </c>
      <c r="F26" s="595">
        <v>5.0</v>
      </c>
      <c r="G26" s="595">
        <v>6.0</v>
      </c>
      <c r="H26" s="595">
        <v>7.0</v>
      </c>
      <c r="I26" s="595">
        <v>8.0</v>
      </c>
      <c r="J26" s="595">
        <v>9.0</v>
      </c>
      <c r="K26" s="595">
        <v>10.0</v>
      </c>
      <c r="L26" s="595">
        <v>11.0</v>
      </c>
      <c r="M26" s="595">
        <v>12.0</v>
      </c>
      <c r="N26" s="2227" t="s">
        <v>236</v>
      </c>
      <c r="O26" s="2228"/>
      <c r="P26" s="2265"/>
      <c r="Q26" s="2265"/>
      <c r="R26" s="2265"/>
      <c r="S26" s="2265"/>
      <c r="T26" s="2266" t="s">
        <v>215</v>
      </c>
      <c r="U26" s="2267"/>
      <c r="V26" s="2267"/>
      <c r="W26" s="2267"/>
      <c r="X26" s="2266" t="s">
        <v>216</v>
      </c>
      <c r="Y26" s="2267"/>
      <c r="Z26" s="2267"/>
      <c r="AA26" s="2268"/>
      <c r="AB26" s="2259"/>
      <c r="AC26" s="2260"/>
      <c r="AD26" s="2260"/>
      <c r="AE26" s="2260"/>
      <c r="AF26" s="2260"/>
      <c r="AG26" s="2260"/>
      <c r="AH26" s="2260"/>
      <c r="AI26" s="2260"/>
      <c r="AJ26" s="2260"/>
      <c r="AK26" s="2260"/>
      <c r="AL26" s="2260"/>
      <c r="AM26" s="2260"/>
      <c r="AN26" s="2260"/>
      <c r="AO26" s="2260"/>
      <c r="AP26" s="2260"/>
      <c r="AQ26" s="2260"/>
      <c r="AR26" s="2261"/>
    </row>
    <row r="27" spans="1:44" ht="14.1" customHeight="1">
      <c r="A27" s="637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2"/>
      <c r="O27" s="643"/>
      <c r="P27" s="2257" t="s">
        <v>3524</v>
      </c>
      <c r="Q27" s="2258"/>
      <c r="R27" s="2258"/>
      <c r="S27" s="2258"/>
      <c r="T27" s="643"/>
      <c r="U27" s="2269"/>
      <c r="V27" s="2269"/>
      <c r="W27" s="2269"/>
      <c r="X27" s="643"/>
      <c r="Y27" s="2270"/>
      <c r="Z27" s="2249"/>
      <c r="AA27" s="2250"/>
      <c r="AB27" s="596"/>
      <c r="AC27" s="641"/>
      <c r="AD27" s="2264" t="s">
        <v>3975</v>
      </c>
      <c r="AE27" s="2246"/>
      <c r="AF27" s="2246"/>
      <c r="AG27" s="2246"/>
      <c r="AH27" s="2246"/>
      <c r="AI27" s="2246"/>
      <c r="AJ27" s="2246"/>
      <c r="AK27" s="2246"/>
      <c r="AL27" s="2246"/>
      <c r="AM27" s="2246"/>
      <c r="AN27" s="2246"/>
      <c r="AO27" s="2246"/>
      <c r="AP27" s="2246"/>
      <c r="AQ27" s="2246"/>
      <c r="AR27" s="2247"/>
    </row>
    <row r="28" spans="1:44" ht="14.1" customHeight="1">
      <c r="A28" s="639"/>
      <c r="B28" s="2262" t="s">
        <v>3966</v>
      </c>
      <c r="C28" s="2154"/>
      <c r="D28" s="2154"/>
      <c r="E28" s="2154"/>
      <c r="F28" s="2154"/>
      <c r="G28" s="2154"/>
      <c r="H28" s="2154"/>
      <c r="I28" s="2154"/>
      <c r="J28" s="2154"/>
      <c r="K28" s="2154"/>
      <c r="L28" s="2154"/>
      <c r="M28" s="2154"/>
      <c r="N28" s="2154"/>
      <c r="O28" s="2154"/>
      <c r="P28" s="2154"/>
      <c r="Q28" s="2154"/>
      <c r="R28" s="2154"/>
      <c r="S28" s="2154"/>
      <c r="T28" s="2154"/>
      <c r="U28" s="2154"/>
      <c r="V28" s="2154"/>
      <c r="W28" s="2154"/>
      <c r="X28" s="2154"/>
      <c r="Y28" s="2154"/>
      <c r="Z28" s="2154"/>
      <c r="AA28" s="2263"/>
      <c r="AB28" s="2259"/>
      <c r="AC28" s="2260"/>
      <c r="AD28" s="2260"/>
      <c r="AE28" s="2260"/>
      <c r="AF28" s="2260"/>
      <c r="AG28" s="2260"/>
      <c r="AH28" s="2260"/>
      <c r="AI28" s="2260"/>
      <c r="AJ28" s="2260"/>
      <c r="AK28" s="2260"/>
      <c r="AL28" s="2260"/>
      <c r="AM28" s="2260"/>
      <c r="AN28" s="2260"/>
      <c r="AO28" s="2260"/>
      <c r="AP28" s="2260"/>
      <c r="AQ28" s="2260"/>
      <c r="AR28" s="2261"/>
    </row>
    <row r="29" spans="1:44" ht="14.1" customHeight="1">
      <c r="A29" s="637"/>
      <c r="B29" s="595">
        <v>1.0</v>
      </c>
      <c r="C29" s="595">
        <v>2.0</v>
      </c>
      <c r="D29" s="595">
        <v>3.0</v>
      </c>
      <c r="E29" s="595">
        <v>4.0</v>
      </c>
      <c r="F29" s="595">
        <v>5.0</v>
      </c>
      <c r="G29" s="595">
        <v>6.0</v>
      </c>
      <c r="H29" s="595">
        <v>7.0</v>
      </c>
      <c r="I29" s="595">
        <v>8.0</v>
      </c>
      <c r="J29" s="595">
        <v>9.0</v>
      </c>
      <c r="K29" s="595">
        <v>10.0</v>
      </c>
      <c r="L29" s="595">
        <v>11.0</v>
      </c>
      <c r="M29" s="595">
        <v>12.0</v>
      </c>
      <c r="N29" s="2227" t="s">
        <v>236</v>
      </c>
      <c r="O29" s="2228"/>
      <c r="P29" s="2265"/>
      <c r="Q29" s="2265"/>
      <c r="R29" s="2265"/>
      <c r="S29" s="2265"/>
      <c r="T29" s="599" t="s">
        <v>231</v>
      </c>
      <c r="U29" s="599" t="s">
        <v>232</v>
      </c>
      <c r="V29" s="599" t="s">
        <v>217</v>
      </c>
      <c r="W29" s="599" t="s">
        <v>218</v>
      </c>
      <c r="X29" s="599" t="s">
        <v>219</v>
      </c>
      <c r="Y29" s="599" t="s">
        <v>220</v>
      </c>
      <c r="Z29" s="636"/>
      <c r="AA29" s="644"/>
      <c r="AB29" s="635"/>
      <c r="AC29" s="641"/>
      <c r="AD29" s="2264" t="s">
        <v>3884</v>
      </c>
      <c r="AE29" s="2246"/>
      <c r="AF29" s="2246"/>
      <c r="AG29" s="2246"/>
      <c r="AH29" s="2246"/>
      <c r="AI29" s="2246"/>
      <c r="AJ29" s="2246"/>
      <c r="AK29" s="2246"/>
      <c r="AL29" s="2246"/>
      <c r="AM29" s="2246"/>
      <c r="AN29" s="2246"/>
      <c r="AO29" s="2246"/>
      <c r="AP29" s="2246"/>
      <c r="AQ29" s="2246"/>
      <c r="AR29" s="2247"/>
    </row>
    <row r="30" spans="1:64" ht="14.1" customHeight="1">
      <c r="A30" s="637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2"/>
      <c r="O30" s="643"/>
      <c r="P30" s="2257" t="s">
        <v>3524</v>
      </c>
      <c r="Q30" s="2258"/>
      <c r="R30" s="2258"/>
      <c r="S30" s="2258"/>
      <c r="T30" s="641"/>
      <c r="U30" s="641"/>
      <c r="V30" s="641"/>
      <c r="W30" s="641"/>
      <c r="X30" s="641"/>
      <c r="Y30" s="641"/>
      <c r="Z30" s="433"/>
      <c r="AA30" s="640"/>
      <c r="AB30" s="2259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  <c r="AR30" s="2210"/>
      <c r="AY30" s="21">
        <f>+IF(EXACT(O30,"X"),12,0)</f>
        <v>0.0</v>
      </c>
      <c r="AZ30" s="21">
        <f>+IF(EXACT(B30,"X"),1,0)</f>
        <v>0.0</v>
      </c>
      <c r="BA30" s="21">
        <f t="shared" si="0" ref="BA30:BK30">+IF(EXACT(C30,"X"),1,0)</f>
        <v>0.0</v>
      </c>
      <c r="BB30" s="21">
        <f t="shared" si="0"/>
        <v>0.0</v>
      </c>
      <c r="BC30" s="21">
        <f t="shared" si="0"/>
        <v>0.0</v>
      </c>
      <c r="BD30" s="21">
        <f t="shared" si="0"/>
        <v>0.0</v>
      </c>
      <c r="BE30" s="21">
        <f t="shared" si="0"/>
        <v>0.0</v>
      </c>
      <c r="BF30" s="21">
        <f t="shared" si="0"/>
        <v>0.0</v>
      </c>
      <c r="BG30" s="21">
        <f t="shared" si="0"/>
        <v>0.0</v>
      </c>
      <c r="BH30" s="21">
        <f t="shared" si="0"/>
        <v>0.0</v>
      </c>
      <c r="BI30" s="21">
        <f t="shared" si="0"/>
        <v>0.0</v>
      </c>
      <c r="BJ30" s="21">
        <f t="shared" si="0"/>
        <v>0.0</v>
      </c>
      <c r="BK30" s="21">
        <f t="shared" si="0"/>
        <v>0.0</v>
      </c>
      <c r="BL30" s="21">
        <f>+IF(AY30=12,12,+SUM(AZ30:BK30))</f>
        <v>0.0</v>
      </c>
    </row>
    <row r="31" spans="1:44" ht="14.1" customHeight="1">
      <c r="A31" s="645"/>
      <c r="B31" s="2274" t="s">
        <v>3792</v>
      </c>
      <c r="C31" s="2040"/>
      <c r="D31" s="2040"/>
      <c r="E31" s="2040"/>
      <c r="F31" s="2040"/>
      <c r="G31" s="2040"/>
      <c r="H31" s="633" t="s">
        <v>221</v>
      </c>
      <c r="I31" s="634"/>
      <c r="J31" s="634"/>
      <c r="K31" s="634"/>
      <c r="L31" s="634"/>
      <c r="M31" s="634"/>
      <c r="N31" s="634"/>
      <c r="O31" s="634"/>
      <c r="P31" s="634"/>
      <c r="Q31" s="634"/>
      <c r="R31" s="633" t="s">
        <v>3796</v>
      </c>
      <c r="S31" s="634"/>
      <c r="T31" s="634"/>
      <c r="U31" s="634"/>
      <c r="V31" s="634"/>
      <c r="W31" s="634"/>
      <c r="X31" s="634"/>
      <c r="Y31" s="634"/>
      <c r="Z31" s="634"/>
      <c r="AA31" s="634"/>
      <c r="AB31" s="1099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6"/>
      <c r="AR31" s="2210"/>
    </row>
    <row r="32" spans="1:44" ht="18" customHeight="1">
      <c r="A32" s="645"/>
      <c r="B32" s="2040"/>
      <c r="C32" s="2040"/>
      <c r="D32" s="2040"/>
      <c r="E32" s="2040"/>
      <c r="F32" s="2040"/>
      <c r="G32" s="2040"/>
      <c r="H32" s="2275"/>
      <c r="I32" s="2276"/>
      <c r="J32" s="2276"/>
      <c r="K32" s="2276"/>
      <c r="L32" s="2276"/>
      <c r="M32" s="2276"/>
      <c r="N32" s="2276"/>
      <c r="O32" s="2276"/>
      <c r="P32" s="2277"/>
      <c r="Q32" s="600"/>
      <c r="R32" s="2275"/>
      <c r="S32" s="2276"/>
      <c r="T32" s="2276"/>
      <c r="U32" s="2276"/>
      <c r="V32" s="2276"/>
      <c r="W32" s="2276"/>
      <c r="X32" s="2276"/>
      <c r="Y32" s="2276"/>
      <c r="Z32" s="2277"/>
      <c r="AA32" s="422"/>
      <c r="AB32" s="1099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676"/>
      <c r="AQ32" s="676"/>
      <c r="AR32" s="2210"/>
    </row>
    <row r="33" spans="1:44" ht="5.25" customHeight="1">
      <c r="A33" s="2273"/>
      <c r="B33" s="1344"/>
      <c r="C33" s="1344"/>
      <c r="D33" s="1344"/>
      <c r="E33" s="1344"/>
      <c r="F33" s="1344"/>
      <c r="G33" s="1344"/>
      <c r="H33" s="1344"/>
      <c r="I33" s="1344"/>
      <c r="J33" s="1344"/>
      <c r="K33" s="1344"/>
      <c r="L33" s="1344"/>
      <c r="M33" s="1344"/>
      <c r="N33" s="1344"/>
      <c r="O33" s="1344"/>
      <c r="P33" s="1344"/>
      <c r="Q33" s="1344"/>
      <c r="R33" s="1344"/>
      <c r="S33" s="1344"/>
      <c r="T33" s="1344"/>
      <c r="U33" s="1344"/>
      <c r="V33" s="1344"/>
      <c r="W33" s="1344"/>
      <c r="X33" s="1344"/>
      <c r="Y33" s="1344"/>
      <c r="Z33" s="1344"/>
      <c r="AA33" s="1344"/>
      <c r="AB33" s="2271"/>
      <c r="AC33" s="1344"/>
      <c r="AD33" s="1344"/>
      <c r="AE33" s="1344"/>
      <c r="AF33" s="1344"/>
      <c r="AG33" s="1344"/>
      <c r="AH33" s="1344"/>
      <c r="AI33" s="1344"/>
      <c r="AJ33" s="1344"/>
      <c r="AK33" s="1344"/>
      <c r="AL33" s="1344"/>
      <c r="AM33" s="1344"/>
      <c r="AN33" s="1344"/>
      <c r="AO33" s="1344"/>
      <c r="AP33" s="1344"/>
      <c r="AQ33" s="1344"/>
      <c r="AR33" s="2272"/>
    </row>
    <row r="34" spans="1:44" ht="18" customHeight="1">
      <c r="A34" s="2278" t="s">
        <v>341</v>
      </c>
      <c r="B34" s="2279"/>
      <c r="C34" s="2279"/>
      <c r="D34" s="2279"/>
      <c r="E34" s="2279"/>
      <c r="F34" s="2279"/>
      <c r="G34" s="2279"/>
      <c r="H34" s="2279"/>
      <c r="I34" s="2279"/>
      <c r="J34" s="2279"/>
      <c r="K34" s="2279"/>
      <c r="L34" s="2279"/>
      <c r="M34" s="2279"/>
      <c r="N34" s="2279"/>
      <c r="O34" s="2279"/>
      <c r="P34" s="2279"/>
      <c r="Q34" s="2279"/>
      <c r="R34" s="2279"/>
      <c r="S34" s="2279"/>
      <c r="T34" s="2279"/>
      <c r="U34" s="2279"/>
      <c r="V34" s="2279"/>
      <c r="W34" s="2280" t="s">
        <v>3525</v>
      </c>
      <c r="X34" s="2280"/>
      <c r="Y34" s="2280"/>
      <c r="Z34" s="2280"/>
      <c r="AA34" s="2280"/>
      <c r="AB34" s="2280"/>
      <c r="AC34" s="2280"/>
      <c r="AD34" s="2280"/>
      <c r="AE34" s="2280"/>
      <c r="AF34" s="2280"/>
      <c r="AG34" s="2280"/>
      <c r="AH34" s="2280"/>
      <c r="AI34" s="2280"/>
      <c r="AJ34" s="2280"/>
      <c r="AK34" s="2280"/>
      <c r="AL34" s="2280"/>
      <c r="AM34" s="2279"/>
      <c r="AN34" s="2279"/>
      <c r="AO34" s="2279"/>
      <c r="AP34" s="2279"/>
      <c r="AQ34" s="2279"/>
      <c r="AR34" s="2281"/>
    </row>
    <row r="35" spans="1:44" ht="18" customHeight="1">
      <c r="A35" s="598"/>
      <c r="B35" s="2285"/>
      <c r="C35" s="2285"/>
      <c r="D35" s="2285"/>
      <c r="E35" s="2285"/>
      <c r="F35" s="2285"/>
      <c r="G35" s="2285"/>
      <c r="H35" s="2285"/>
      <c r="I35" s="2286" t="s">
        <v>3886</v>
      </c>
      <c r="J35" s="2286"/>
      <c r="K35" s="2286"/>
      <c r="L35" s="2286"/>
      <c r="M35" s="2286"/>
      <c r="N35" s="2286"/>
      <c r="O35" s="2286"/>
      <c r="P35" s="2286"/>
      <c r="Q35" s="2286"/>
      <c r="R35" s="2286"/>
      <c r="S35" s="2286"/>
      <c r="T35" s="2265"/>
      <c r="U35" s="2267"/>
      <c r="V35" s="2267"/>
      <c r="W35" s="2282" t="s">
        <v>3977</v>
      </c>
      <c r="X35" s="2283"/>
      <c r="Y35" s="2283"/>
      <c r="Z35" s="2283"/>
      <c r="AA35" s="2283"/>
      <c r="AB35" s="2283"/>
      <c r="AC35" s="2283"/>
      <c r="AD35" s="2283"/>
      <c r="AE35" s="2283"/>
      <c r="AF35" s="2283"/>
      <c r="AG35" s="2283"/>
      <c r="AH35" s="2283"/>
      <c r="AI35" s="2283"/>
      <c r="AJ35" s="2283"/>
      <c r="AK35" s="2283"/>
      <c r="AL35" s="2283"/>
      <c r="AM35" s="2283"/>
      <c r="AN35" s="2283"/>
      <c r="AO35" s="2283"/>
      <c r="AP35" s="2283"/>
      <c r="AQ35" s="2283"/>
      <c r="AR35" s="2284"/>
    </row>
    <row r="36" spans="1:44" ht="18" customHeight="1">
      <c r="A36" s="601"/>
      <c r="B36" s="2149" t="s">
        <v>3885</v>
      </c>
      <c r="C36" s="2150"/>
      <c r="D36" s="2150"/>
      <c r="E36" s="2150"/>
      <c r="F36" s="2150"/>
      <c r="G36" s="2150"/>
      <c r="H36" s="2150"/>
      <c r="I36" s="2287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288"/>
      <c r="K36" s="2288"/>
      <c r="L36" s="2288"/>
      <c r="M36" s="2288"/>
      <c r="N36" s="2288"/>
      <c r="O36" s="2288"/>
      <c r="P36" s="2288"/>
      <c r="Q36" s="2288"/>
      <c r="R36" s="2288"/>
      <c r="S36" s="2289"/>
      <c r="T36" s="2143" t="s">
        <v>200</v>
      </c>
      <c r="U36" s="2154"/>
      <c r="V36" s="2154"/>
      <c r="W36" s="602"/>
      <c r="X36" s="2149" t="s">
        <v>347</v>
      </c>
      <c r="Y36" s="2154"/>
      <c r="Z36" s="2154"/>
      <c r="AA36" s="2154"/>
      <c r="AB36" s="2154"/>
      <c r="AC36" s="2154"/>
      <c r="AD36" s="2154"/>
      <c r="AE36" s="2290">
        <v>0.0</v>
      </c>
      <c r="AF36" s="2291"/>
      <c r="AG36" s="2291"/>
      <c r="AH36" s="2291"/>
      <c r="AI36" s="2291"/>
      <c r="AJ36" s="2291"/>
      <c r="AK36" s="2291"/>
      <c r="AL36" s="2291"/>
      <c r="AM36" s="2291"/>
      <c r="AN36" s="2292"/>
      <c r="AO36" s="2143" t="s">
        <v>200</v>
      </c>
      <c r="AP36" s="2154"/>
      <c r="AQ36" s="2154"/>
      <c r="AR36" s="2293"/>
    </row>
    <row r="37" spans="1:44" ht="18" customHeight="1">
      <c r="A37" s="601"/>
      <c r="B37" s="2294" t="s">
        <v>3968</v>
      </c>
      <c r="C37" s="2295"/>
      <c r="D37" s="2295"/>
      <c r="E37" s="2295"/>
      <c r="F37" s="2295"/>
      <c r="G37" s="2295"/>
      <c r="H37" s="2295"/>
      <c r="I37" s="2295"/>
      <c r="J37" s="2295"/>
      <c r="K37" s="2295"/>
      <c r="L37" s="2295"/>
      <c r="M37" s="2295"/>
      <c r="N37" s="2295"/>
      <c r="O37" s="2295"/>
      <c r="P37" s="2295"/>
      <c r="Q37" s="2295"/>
      <c r="R37" s="2295"/>
      <c r="S37" s="2295"/>
      <c r="T37" s="2295"/>
      <c r="U37" s="2295"/>
      <c r="V37" s="2295"/>
      <c r="W37" s="2296" t="s">
        <v>3891</v>
      </c>
      <c r="X37" s="2297"/>
      <c r="Y37" s="2297"/>
      <c r="Z37" s="2297"/>
      <c r="AA37" s="2297"/>
      <c r="AB37" s="2297"/>
      <c r="AC37" s="2297"/>
      <c r="AD37" s="2297"/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  <c r="AQ37" s="2297"/>
      <c r="AR37" s="2298"/>
    </row>
    <row r="38" spans="1:44" ht="18" customHeight="1">
      <c r="A38" s="601"/>
      <c r="B38" s="2149" t="s">
        <v>342</v>
      </c>
      <c r="C38" s="2150"/>
      <c r="D38" s="2150"/>
      <c r="E38" s="2150"/>
      <c r="F38" s="2150"/>
      <c r="G38" s="2150"/>
      <c r="H38" s="2150"/>
      <c r="I38" s="2150"/>
      <c r="J38" s="2150"/>
      <c r="K38" s="2150"/>
      <c r="L38" s="2150"/>
      <c r="M38" s="2150"/>
      <c r="N38" s="2303">
        <f>+'1Př2'!G3</f>
        <v>12.0</v>
      </c>
      <c r="O38" s="2304"/>
      <c r="P38" s="2305"/>
      <c r="Q38" s="1604"/>
      <c r="R38" s="1604"/>
      <c r="S38" s="1604"/>
      <c r="T38" s="1604"/>
      <c r="U38" s="1604"/>
      <c r="V38" s="1604"/>
      <c r="W38" s="602"/>
      <c r="X38" s="2149" t="s">
        <v>185</v>
      </c>
      <c r="Y38" s="2150"/>
      <c r="Z38" s="2150"/>
      <c r="AA38" s="2150"/>
      <c r="AB38" s="2150"/>
      <c r="AC38" s="2150"/>
      <c r="AD38" s="2150"/>
      <c r="AE38" s="2300">
        <f>+AE36-I49</f>
        <v>-31518.0</v>
      </c>
      <c r="AF38" s="2301"/>
      <c r="AG38" s="2301"/>
      <c r="AH38" s="2301"/>
      <c r="AI38" s="2301"/>
      <c r="AJ38" s="2301"/>
      <c r="AK38" s="2301"/>
      <c r="AL38" s="2301"/>
      <c r="AM38" s="2301"/>
      <c r="AN38" s="2302"/>
      <c r="AO38" s="2143" t="s">
        <v>200</v>
      </c>
      <c r="AP38" s="2154"/>
      <c r="AQ38" s="2154"/>
      <c r="AR38" s="2293"/>
    </row>
    <row r="39" spans="1:44" ht="18" customHeight="1">
      <c r="A39" s="601"/>
      <c r="B39" s="2294" t="s">
        <v>3919</v>
      </c>
      <c r="C39" s="2295"/>
      <c r="D39" s="2295"/>
      <c r="E39" s="2295"/>
      <c r="F39" s="2295"/>
      <c r="G39" s="2295"/>
      <c r="H39" s="2295"/>
      <c r="I39" s="2295"/>
      <c r="J39" s="2295"/>
      <c r="K39" s="2295"/>
      <c r="L39" s="2295"/>
      <c r="M39" s="2295"/>
      <c r="N39" s="2295"/>
      <c r="O39" s="2295"/>
      <c r="P39" s="2295"/>
      <c r="Q39" s="2295"/>
      <c r="R39" s="2295"/>
      <c r="S39" s="2295"/>
      <c r="T39" s="2295"/>
      <c r="U39" s="2295"/>
      <c r="V39" s="2295"/>
      <c r="W39" s="2299"/>
      <c r="X39" s="2154"/>
      <c r="Y39" s="2154"/>
      <c r="Z39" s="2154"/>
      <c r="AA39" s="2154"/>
      <c r="AB39" s="2154"/>
      <c r="AC39" s="2154"/>
      <c r="AD39" s="2154"/>
      <c r="AE39" s="2154"/>
      <c r="AF39" s="2154"/>
      <c r="AG39" s="2154"/>
      <c r="AH39" s="2154"/>
      <c r="AI39" s="2154"/>
      <c r="AJ39" s="2154"/>
      <c r="AK39" s="2154"/>
      <c r="AL39" s="2154"/>
      <c r="AM39" s="2154"/>
      <c r="AN39" s="2154"/>
      <c r="AO39" s="2154"/>
      <c r="AP39" s="2154"/>
      <c r="AQ39" s="2154"/>
      <c r="AR39" s="2293"/>
    </row>
    <row r="40" spans="1:44" ht="18" customHeight="1">
      <c r="A40" s="603" t="s">
        <v>3793</v>
      </c>
      <c r="B40" s="2149" t="s">
        <v>3887</v>
      </c>
      <c r="C40" s="2150"/>
      <c r="D40" s="2150"/>
      <c r="E40" s="2150"/>
      <c r="F40" s="2150"/>
      <c r="G40" s="2150"/>
      <c r="H40" s="2150"/>
      <c r="I40" s="2150"/>
      <c r="J40" s="2150"/>
      <c r="K40" s="2150"/>
      <c r="L40" s="2150"/>
      <c r="M40" s="2150"/>
      <c r="N40" s="2303">
        <f>+N38</f>
        <v>12.0</v>
      </c>
      <c r="O40" s="2304"/>
      <c r="P40" s="2305"/>
      <c r="Q40" s="1604"/>
      <c r="R40" s="1604"/>
      <c r="S40" s="1604"/>
      <c r="T40" s="1604"/>
      <c r="U40" s="1604"/>
      <c r="V40" s="1604"/>
      <c r="W40" s="602"/>
      <c r="X40" s="2143" t="s">
        <v>348</v>
      </c>
      <c r="Y40" s="2143"/>
      <c r="Z40" s="2143"/>
      <c r="AA40" s="2143"/>
      <c r="AB40" s="2143"/>
      <c r="AC40" s="2143"/>
      <c r="AD40" s="2143"/>
      <c r="AE40" s="2143"/>
      <c r="AF40" s="2143"/>
      <c r="AG40" s="2143"/>
      <c r="AH40" s="2143"/>
      <c r="AI40" s="2143"/>
      <c r="AJ40" s="2143"/>
      <c r="AK40" s="2143"/>
      <c r="AL40" s="2143"/>
      <c r="AM40" s="2143"/>
      <c r="AN40" s="2143"/>
      <c r="AO40" s="2143"/>
      <c r="AP40" s="2143"/>
      <c r="AQ40" s="2143"/>
      <c r="AR40" s="2306"/>
    </row>
    <row r="41" spans="1:55" ht="18" customHeight="1">
      <c r="A41" s="601"/>
      <c r="B41" s="2297" t="s">
        <v>343</v>
      </c>
      <c r="C41" s="2307"/>
      <c r="D41" s="2307"/>
      <c r="E41" s="2307"/>
      <c r="F41" s="2307"/>
      <c r="G41" s="2307"/>
      <c r="H41" s="2307"/>
      <c r="I41" s="2307"/>
      <c r="J41" s="2307"/>
      <c r="K41" s="2307"/>
      <c r="L41" s="2307"/>
      <c r="M41" s="2307"/>
      <c r="N41" s="2307"/>
      <c r="O41" s="2307"/>
      <c r="P41" s="2307"/>
      <c r="Q41" s="2307"/>
      <c r="R41" s="2307"/>
      <c r="S41" s="2307"/>
      <c r="T41" s="2307"/>
      <c r="U41" s="2307"/>
      <c r="V41" s="2307"/>
      <c r="W41" s="604"/>
      <c r="X41" s="597" t="str">
        <f>+IF(AE38&lt;0,"X"," ")</f>
        <v>X</v>
      </c>
      <c r="Y41" s="2155" t="s">
        <v>3894</v>
      </c>
      <c r="Z41" s="2155"/>
      <c r="AA41" s="2155"/>
      <c r="AB41" s="2155"/>
      <c r="AC41" s="2155"/>
      <c r="AD41" s="2155"/>
      <c r="AE41" s="2155"/>
      <c r="AF41" s="2155"/>
      <c r="AG41" s="2155"/>
      <c r="AH41" s="2155"/>
      <c r="AI41" s="2155"/>
      <c r="AJ41" s="2155"/>
      <c r="AK41" s="2155"/>
      <c r="AL41" s="2155"/>
      <c r="AM41" s="2155"/>
      <c r="AN41" s="2155"/>
      <c r="AO41" s="2155"/>
      <c r="AP41" s="2155"/>
      <c r="AQ41" s="2155"/>
      <c r="AR41" s="2308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601"/>
      <c r="B42" s="2149" t="s">
        <v>344</v>
      </c>
      <c r="C42" s="2150"/>
      <c r="D42" s="2150"/>
      <c r="E42" s="2150"/>
      <c r="F42" s="2150"/>
      <c r="G42" s="2150"/>
      <c r="H42" s="2150"/>
      <c r="I42" s="2150"/>
      <c r="J42" s="2150"/>
      <c r="K42" s="2150"/>
      <c r="L42" s="2150"/>
      <c r="M42" s="2150"/>
      <c r="N42" s="2309">
        <f>12-BL30</f>
        <v>12.0</v>
      </c>
      <c r="O42" s="2310"/>
      <c r="P42" s="2305"/>
      <c r="Q42" s="1604"/>
      <c r="R42" s="1604"/>
      <c r="S42" s="1604"/>
      <c r="T42" s="1604"/>
      <c r="U42" s="1604"/>
      <c r="V42" s="1604"/>
      <c r="W42" s="604"/>
      <c r="X42" s="597" t="str">
        <f>+IF(AE38&gt;0,"X"," ")</f>
        <v xml:space="preserve"> </v>
      </c>
      <c r="Y42" s="2155" t="s">
        <v>3620</v>
      </c>
      <c r="Z42" s="2154"/>
      <c r="AA42" s="2154"/>
      <c r="AB42" s="2154"/>
      <c r="AC42" s="2154"/>
      <c r="AD42" s="2154"/>
      <c r="AE42" s="2154"/>
      <c r="AF42" s="2154"/>
      <c r="AG42" s="2154"/>
      <c r="AH42" s="2290">
        <f>+MAX(0,AE38)</f>
        <v>0.0</v>
      </c>
      <c r="AI42" s="2311"/>
      <c r="AJ42" s="2311"/>
      <c r="AK42" s="2311"/>
      <c r="AL42" s="2311"/>
      <c r="AM42" s="2311"/>
      <c r="AN42" s="2311"/>
      <c r="AO42" s="2312"/>
      <c r="AP42" s="2143" t="s">
        <v>200</v>
      </c>
      <c r="AQ42" s="2154"/>
      <c r="AR42" s="2293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601"/>
      <c r="B43" s="2143"/>
      <c r="C43" s="2143"/>
      <c r="D43" s="2143"/>
      <c r="E43" s="2143"/>
      <c r="F43" s="2143"/>
      <c r="G43" s="2143"/>
      <c r="H43" s="2143"/>
      <c r="I43" s="2313" t="s">
        <v>3979</v>
      </c>
      <c r="J43" s="2313"/>
      <c r="K43" s="2313"/>
      <c r="L43" s="2313"/>
      <c r="M43" s="2313"/>
      <c r="N43" s="2313"/>
      <c r="O43" s="2313"/>
      <c r="P43" s="2313"/>
      <c r="Q43" s="2313"/>
      <c r="R43" s="2313"/>
      <c r="S43" s="2313"/>
      <c r="T43" s="2144"/>
      <c r="U43" s="2154"/>
      <c r="V43" s="2154"/>
      <c r="W43" s="2299"/>
      <c r="X43" s="2154"/>
      <c r="Y43" s="2317" t="s">
        <v>3888</v>
      </c>
      <c r="Z43" s="2154"/>
      <c r="AA43" s="2154"/>
      <c r="AB43" s="2154"/>
      <c r="AC43" s="2154"/>
      <c r="AD43" s="597" t="str">
        <f>+X42</f>
        <v xml:space="preserve"> </v>
      </c>
      <c r="AE43" s="2317" t="s">
        <v>3889</v>
      </c>
      <c r="AF43" s="2154"/>
      <c r="AG43" s="2154"/>
      <c r="AH43" s="2154"/>
      <c r="AI43" s="2154"/>
      <c r="AJ43" s="2154"/>
      <c r="AK43" s="2154"/>
      <c r="AL43" s="2154"/>
      <c r="AM43" s="2154"/>
      <c r="AN43" s="2154"/>
      <c r="AO43" s="2154"/>
      <c r="AP43" s="2154"/>
      <c r="AQ43" s="2154"/>
      <c r="AR43" s="2293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601"/>
      <c r="B44" s="2149" t="s">
        <v>345</v>
      </c>
      <c r="C44" s="2154"/>
      <c r="D44" s="2154"/>
      <c r="E44" s="2154"/>
      <c r="F44" s="2154"/>
      <c r="G44" s="2154"/>
      <c r="H44" s="2154"/>
      <c r="I44" s="2314">
        <f>+N42*19455.5</f>
        <v>233466.0</v>
      </c>
      <c r="J44" s="2315"/>
      <c r="K44" s="2315"/>
      <c r="L44" s="2315"/>
      <c r="M44" s="2315"/>
      <c r="N44" s="2315"/>
      <c r="O44" s="2315"/>
      <c r="P44" s="2315"/>
      <c r="Q44" s="2315"/>
      <c r="R44" s="2315"/>
      <c r="S44" s="2316"/>
      <c r="T44" s="2143" t="s">
        <v>200</v>
      </c>
      <c r="U44" s="2154"/>
      <c r="V44" s="2154"/>
      <c r="W44" s="2299"/>
      <c r="X44" s="2154"/>
      <c r="Y44" s="2154"/>
      <c r="Z44" s="2154"/>
      <c r="AA44" s="2154"/>
      <c r="AB44" s="2154"/>
      <c r="AC44" s="2154"/>
      <c r="AD44" s="597"/>
      <c r="AE44" s="2317" t="s">
        <v>3890</v>
      </c>
      <c r="AF44" s="2154"/>
      <c r="AG44" s="2154"/>
      <c r="AH44" s="2154"/>
      <c r="AI44" s="2154"/>
      <c r="AJ44" s="2154"/>
      <c r="AK44" s="2154"/>
      <c r="AL44" s="2154"/>
      <c r="AM44" s="2154"/>
      <c r="AN44" s="2154"/>
      <c r="AO44" s="2154"/>
      <c r="AP44" s="2154"/>
      <c r="AQ44" s="2154"/>
      <c r="AR44" s="2293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354" t="s">
        <v>3969</v>
      </c>
      <c r="B45" s="2154"/>
      <c r="C45" s="2154"/>
      <c r="D45" s="2154"/>
      <c r="E45" s="2154"/>
      <c r="F45" s="2154"/>
      <c r="G45" s="2154"/>
      <c r="H45" s="2154"/>
      <c r="I45" s="2154"/>
      <c r="J45" s="2154"/>
      <c r="K45" s="2154"/>
      <c r="L45" s="2154"/>
      <c r="M45" s="2154"/>
      <c r="N45" s="2154"/>
      <c r="O45" s="2154"/>
      <c r="P45" s="2154"/>
      <c r="Q45" s="2154"/>
      <c r="R45" s="2154"/>
      <c r="S45" s="2154"/>
      <c r="T45" s="2154"/>
      <c r="U45" s="2154"/>
      <c r="V45" s="2154"/>
      <c r="W45" s="2349" t="s">
        <v>3526</v>
      </c>
      <c r="X45" s="2350"/>
      <c r="Y45" s="2350"/>
      <c r="Z45" s="2350"/>
      <c r="AA45" s="2350"/>
      <c r="AB45" s="2350"/>
      <c r="AC45" s="2350"/>
      <c r="AD45" s="2351"/>
      <c r="AE45" s="2350"/>
      <c r="AF45" s="2350"/>
      <c r="AG45" s="2350"/>
      <c r="AH45" s="2350"/>
      <c r="AI45" s="2350"/>
      <c r="AJ45" s="2350"/>
      <c r="AK45" s="2350"/>
      <c r="AL45" s="2350"/>
      <c r="AM45" s="2352"/>
      <c r="AN45" s="2352"/>
      <c r="AO45" s="2352"/>
      <c r="AP45" s="2352"/>
      <c r="AQ45" s="2352"/>
      <c r="AR45" s="2353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601"/>
      <c r="B46" s="2149" t="s">
        <v>120</v>
      </c>
      <c r="C46" s="2150"/>
      <c r="D46" s="2150"/>
      <c r="E46" s="2150"/>
      <c r="F46" s="2150"/>
      <c r="G46" s="2150"/>
      <c r="H46" s="2150"/>
      <c r="I46" s="2151">
        <f>+MAX(I44,+I36*0.5)</f>
        <v>233466.0</v>
      </c>
      <c r="J46" s="2152"/>
      <c r="K46" s="2152"/>
      <c r="L46" s="2152"/>
      <c r="M46" s="2152"/>
      <c r="N46" s="2152"/>
      <c r="O46" s="2152"/>
      <c r="P46" s="2152"/>
      <c r="Q46" s="2152"/>
      <c r="R46" s="2152"/>
      <c r="S46" s="2153"/>
      <c r="T46" s="2143" t="s">
        <v>200</v>
      </c>
      <c r="U46" s="2154"/>
      <c r="V46" s="2154"/>
      <c r="W46" s="2355" t="s">
        <v>3893</v>
      </c>
      <c r="X46" s="2294"/>
      <c r="Y46" s="2294"/>
      <c r="Z46" s="2294"/>
      <c r="AA46" s="2294"/>
      <c r="AB46" s="2294"/>
      <c r="AC46" s="2294"/>
      <c r="AD46" s="2294"/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  <c r="AQ46" s="2294"/>
      <c r="AR46" s="2356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2357"/>
      <c r="B47" s="1604"/>
      <c r="C47" s="1604"/>
      <c r="D47" s="1604"/>
      <c r="E47" s="1604"/>
      <c r="F47" s="1604"/>
      <c r="G47" s="1604"/>
      <c r="H47" s="1604"/>
      <c r="I47" s="1604"/>
      <c r="J47" s="1604"/>
      <c r="K47" s="1604"/>
      <c r="L47" s="1604"/>
      <c r="M47" s="1604"/>
      <c r="N47" s="1604"/>
      <c r="O47" s="1604"/>
      <c r="P47" s="1604"/>
      <c r="Q47" s="1604"/>
      <c r="R47" s="1604"/>
      <c r="S47" s="1604"/>
      <c r="T47" s="1604"/>
      <c r="U47" s="1604"/>
      <c r="V47" s="1604"/>
      <c r="W47" s="602"/>
      <c r="X47" s="2149" t="s">
        <v>349</v>
      </c>
      <c r="Y47" s="2358"/>
      <c r="Z47" s="2358"/>
      <c r="AA47" s="2358"/>
      <c r="AB47" s="2358"/>
      <c r="AC47" s="2358"/>
      <c r="AD47" s="2359"/>
      <c r="AE47" s="2358"/>
      <c r="AF47" s="2358"/>
      <c r="AG47" s="2300">
        <f>+CEILING(0.135*0.5*MAX(0,I36)/N38,1)</f>
        <v>0.0</v>
      </c>
      <c r="AH47" s="2301"/>
      <c r="AI47" s="2301"/>
      <c r="AJ47" s="2301"/>
      <c r="AK47" s="2301"/>
      <c r="AL47" s="2301"/>
      <c r="AM47" s="2301"/>
      <c r="AN47" s="2302"/>
      <c r="AO47" s="2143" t="s">
        <v>200</v>
      </c>
      <c r="AP47" s="2144"/>
      <c r="AQ47" s="2144"/>
      <c r="AR47" s="2145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8" customHeight="1">
      <c r="A48" s="605"/>
      <c r="B48" s="2146" t="s">
        <v>3970</v>
      </c>
      <c r="C48" s="2147"/>
      <c r="D48" s="2147"/>
      <c r="E48" s="2147"/>
      <c r="F48" s="2147"/>
      <c r="G48" s="2147"/>
      <c r="H48" s="2147"/>
      <c r="I48" s="2147"/>
      <c r="J48" s="2147"/>
      <c r="K48" s="2147"/>
      <c r="L48" s="2147"/>
      <c r="M48" s="2147"/>
      <c r="N48" s="2147"/>
      <c r="O48" s="2147"/>
      <c r="P48" s="2147"/>
      <c r="Q48" s="2147"/>
      <c r="R48" s="2147"/>
      <c r="S48" s="2147"/>
      <c r="T48" s="2147"/>
      <c r="U48" s="2147"/>
      <c r="V48" s="2148"/>
      <c r="W48" s="606" t="s">
        <v>3797</v>
      </c>
      <c r="X48" s="607"/>
      <c r="Y48" s="607"/>
      <c r="Z48" s="607"/>
      <c r="AA48" s="607"/>
      <c r="AB48" s="607"/>
      <c r="AC48" s="607"/>
      <c r="AD48" s="607"/>
      <c r="AE48" s="607"/>
      <c r="AF48" s="607"/>
      <c r="AG48" s="607"/>
      <c r="AH48" s="607"/>
      <c r="AI48" s="607"/>
      <c r="AJ48" s="607"/>
      <c r="AK48" s="607"/>
      <c r="AL48" s="607"/>
      <c r="AM48" s="607"/>
      <c r="AN48" s="607"/>
      <c r="AO48" s="607"/>
      <c r="AP48" s="607"/>
      <c r="AQ48" s="607"/>
      <c r="AR48" s="608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94"/>
      <c r="B49" s="2149" t="s">
        <v>346</v>
      </c>
      <c r="C49" s="2150"/>
      <c r="D49" s="2150"/>
      <c r="E49" s="2150"/>
      <c r="F49" s="2150"/>
      <c r="G49" s="2150"/>
      <c r="H49" s="2150"/>
      <c r="I49" s="2151">
        <f>+CEILING(0.135*(I46*N40)/N38,1)</f>
        <v>31518.0</v>
      </c>
      <c r="J49" s="2152"/>
      <c r="K49" s="2152"/>
      <c r="L49" s="2152"/>
      <c r="M49" s="2152"/>
      <c r="N49" s="2152"/>
      <c r="O49" s="2152"/>
      <c r="P49" s="2152"/>
      <c r="Q49" s="2152"/>
      <c r="R49" s="2152"/>
      <c r="S49" s="2153"/>
      <c r="T49" s="2143" t="s">
        <v>200</v>
      </c>
      <c r="U49" s="2154"/>
      <c r="V49" s="2154"/>
      <c r="W49" s="604"/>
      <c r="X49" s="597" t="s">
        <v>255</v>
      </c>
      <c r="Y49" s="2155" t="s">
        <v>3976</v>
      </c>
      <c r="Z49" s="2144"/>
      <c r="AA49" s="2144"/>
      <c r="AB49" s="597"/>
      <c r="AC49" s="2155" t="s">
        <v>3527</v>
      </c>
      <c r="AD49" s="2144"/>
      <c r="AE49" s="2144"/>
      <c r="AF49" s="597"/>
      <c r="AG49" s="2155" t="s">
        <v>350</v>
      </c>
      <c r="AH49" s="2144"/>
      <c r="AI49" s="2144"/>
      <c r="AJ49" s="2156">
        <f>+IF(OR(EXACT(X49,"X"),EXACT(X49,"x")),MAX(AG47,2722),IF(OR(EXACT(AF49,"X"),EXACT(AF49,"x")),0,+AG47))</f>
        <v>2722.0</v>
      </c>
      <c r="AK49" s="2157"/>
      <c r="AL49" s="2157"/>
      <c r="AM49" s="2157"/>
      <c r="AN49" s="2158"/>
      <c r="AO49" s="2143" t="s">
        <v>200</v>
      </c>
      <c r="AP49" s="2144"/>
      <c r="AQ49" s="2144"/>
      <c r="AR49" s="2145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6" customHeight="1">
      <c r="A50" s="2318"/>
      <c r="B50" s="2267"/>
      <c r="C50" s="2267"/>
      <c r="D50" s="2267"/>
      <c r="E50" s="2267"/>
      <c r="F50" s="2267"/>
      <c r="G50" s="2267"/>
      <c r="H50" s="2267"/>
      <c r="I50" s="2267"/>
      <c r="J50" s="2267"/>
      <c r="K50" s="2267"/>
      <c r="L50" s="2267"/>
      <c r="M50" s="2267"/>
      <c r="N50" s="2267"/>
      <c r="O50" s="2267"/>
      <c r="P50" s="2267"/>
      <c r="Q50" s="2267"/>
      <c r="R50" s="2267"/>
      <c r="S50" s="2267"/>
      <c r="T50" s="2267"/>
      <c r="U50" s="2267"/>
      <c r="V50" s="2267"/>
      <c r="W50" s="2319"/>
      <c r="X50" s="2320"/>
      <c r="Y50" s="2320"/>
      <c r="Z50" s="2320"/>
      <c r="AA50" s="2320"/>
      <c r="AB50" s="2320"/>
      <c r="AC50" s="2320"/>
      <c r="AD50" s="2320"/>
      <c r="AE50" s="2320"/>
      <c r="AF50" s="2320"/>
      <c r="AG50" s="2320"/>
      <c r="AH50" s="2320"/>
      <c r="AI50" s="2320"/>
      <c r="AJ50" s="2320"/>
      <c r="AK50" s="2320"/>
      <c r="AL50" s="2320"/>
      <c r="AM50" s="2320"/>
      <c r="AN50" s="2320"/>
      <c r="AO50" s="2320"/>
      <c r="AP50" s="2320"/>
      <c r="AQ50" s="2320"/>
      <c r="AR50" s="2321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44" ht="18" customHeight="1">
      <c r="A51" s="2160" t="s">
        <v>3528</v>
      </c>
      <c r="B51" s="2334"/>
      <c r="C51" s="2334"/>
      <c r="D51" s="2334"/>
      <c r="E51" s="2334"/>
      <c r="F51" s="2334"/>
      <c r="G51" s="2334"/>
      <c r="H51" s="2334"/>
      <c r="I51" s="2334"/>
      <c r="J51" s="2334"/>
      <c r="K51" s="2334"/>
      <c r="L51" s="2334"/>
      <c r="M51" s="2334"/>
      <c r="N51" s="2334"/>
      <c r="O51" s="2334"/>
      <c r="P51" s="2334"/>
      <c r="Q51" s="2334"/>
      <c r="R51" s="2334"/>
      <c r="S51" s="2334"/>
      <c r="T51" s="2334"/>
      <c r="U51" s="2334"/>
      <c r="V51" s="2334"/>
      <c r="W51" s="2334"/>
      <c r="X51" s="2334"/>
      <c r="Y51" s="2334"/>
      <c r="Z51" s="2334"/>
      <c r="AA51" s="2334"/>
      <c r="AB51" s="2334"/>
      <c r="AC51" s="2334"/>
      <c r="AD51" s="2334"/>
      <c r="AE51" s="2334"/>
      <c r="AF51" s="2334"/>
      <c r="AG51" s="2334"/>
      <c r="AH51" s="2334"/>
      <c r="AI51" s="2334"/>
      <c r="AJ51" s="2334"/>
      <c r="AK51" s="2334"/>
      <c r="AL51" s="2334"/>
      <c r="AM51" s="2334"/>
      <c r="AN51" s="2334"/>
      <c r="AO51" s="2334"/>
      <c r="AP51" s="2334"/>
      <c r="AQ51" s="2334"/>
      <c r="AR51" s="2335"/>
    </row>
    <row r="52" spans="1:44" ht="18" customHeight="1">
      <c r="A52" s="2336" t="s">
        <v>3795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520"/>
    </row>
    <row r="53" spans="1:44" ht="18" customHeight="1">
      <c r="A53" s="2337"/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  <c r="Z53" s="676"/>
      <c r="AA53" s="75"/>
      <c r="AB53" s="2338" t="s">
        <v>351</v>
      </c>
      <c r="AC53" s="2339"/>
      <c r="AD53" s="2339"/>
      <c r="AE53" s="2339"/>
      <c r="AF53" s="2339"/>
      <c r="AG53" s="2339"/>
      <c r="AH53" s="2339"/>
      <c r="AI53" s="2339"/>
      <c r="AJ53" s="2339"/>
      <c r="AK53" s="2339"/>
      <c r="AL53" s="2339"/>
      <c r="AM53" s="2339"/>
      <c r="AN53" s="2340"/>
      <c r="AO53" s="2328"/>
      <c r="AP53" s="1047"/>
      <c r="AQ53" s="1047"/>
      <c r="AR53" s="2329"/>
    </row>
    <row r="54" spans="1:44" ht="18" customHeight="1">
      <c r="A54" s="2337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75"/>
      <c r="AB54" s="2341"/>
      <c r="AC54" s="2342"/>
      <c r="AD54" s="2342"/>
      <c r="AE54" s="2342"/>
      <c r="AF54" s="2342"/>
      <c r="AG54" s="2342"/>
      <c r="AH54" s="2342"/>
      <c r="AI54" s="2342"/>
      <c r="AJ54" s="2342"/>
      <c r="AK54" s="2342"/>
      <c r="AL54" s="2342"/>
      <c r="AM54" s="2342"/>
      <c r="AN54" s="2343"/>
      <c r="AO54" s="2328"/>
      <c r="AP54" s="1047"/>
      <c r="AQ54" s="1047"/>
      <c r="AR54" s="2329"/>
    </row>
    <row r="55" spans="1:44" ht="6" customHeight="1">
      <c r="A55" s="2337"/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/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/>
      <c r="AA55" s="75"/>
      <c r="AB55" s="2341"/>
      <c r="AC55" s="2342"/>
      <c r="AD55" s="2342"/>
      <c r="AE55" s="2342"/>
      <c r="AF55" s="2342"/>
      <c r="AG55" s="2342"/>
      <c r="AH55" s="2342"/>
      <c r="AI55" s="2342"/>
      <c r="AJ55" s="2342"/>
      <c r="AK55" s="2342"/>
      <c r="AL55" s="2342"/>
      <c r="AM55" s="2342"/>
      <c r="AN55" s="2343"/>
      <c r="AO55" s="2328"/>
      <c r="AP55" s="1047"/>
      <c r="AQ55" s="1047"/>
      <c r="AR55" s="2329"/>
    </row>
    <row r="56" spans="1:44" ht="12.75">
      <c r="A56" s="260"/>
      <c r="B56" s="2347" t="s">
        <v>3978</v>
      </c>
      <c r="C56" s="2348"/>
      <c r="D56" s="2348"/>
      <c r="E56" s="2348"/>
      <c r="F56" s="2348"/>
      <c r="G56" s="2348"/>
      <c r="H56" s="2348"/>
      <c r="I56" s="2348"/>
      <c r="J56" s="2348"/>
      <c r="K56" s="2348"/>
      <c r="L56" s="2348"/>
      <c r="M56" s="2348"/>
      <c r="N56" s="2348"/>
      <c r="O56" s="2348"/>
      <c r="P56" s="2348"/>
      <c r="Q56" s="278" t="s">
        <v>352</v>
      </c>
      <c r="R56" s="278"/>
      <c r="S56" s="278"/>
      <c r="T56" s="278"/>
      <c r="U56" s="278"/>
      <c r="V56" s="278"/>
      <c r="W56" s="278"/>
      <c r="X56" s="278"/>
      <c r="Y56" s="278"/>
      <c r="Z56" s="278"/>
      <c r="AA56" s="279"/>
      <c r="AB56" s="2341"/>
      <c r="AC56" s="2342"/>
      <c r="AD56" s="2342"/>
      <c r="AE56" s="2342"/>
      <c r="AF56" s="2342"/>
      <c r="AG56" s="2342"/>
      <c r="AH56" s="2342"/>
      <c r="AI56" s="2342"/>
      <c r="AJ56" s="2342"/>
      <c r="AK56" s="2342"/>
      <c r="AL56" s="2342"/>
      <c r="AM56" s="2342"/>
      <c r="AN56" s="2343"/>
      <c r="AO56" s="2328"/>
      <c r="AP56" s="1047"/>
      <c r="AQ56" s="1047"/>
      <c r="AR56" s="2329"/>
    </row>
    <row r="57" spans="1:44" ht="15" customHeight="1">
      <c r="A57" s="260"/>
      <c r="B57" s="261"/>
      <c r="C57" s="1047"/>
      <c r="D57" s="1047"/>
      <c r="E57" s="1047"/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2322">
        <f ca="1">+TODAY()</f>
        <v>44994.0</v>
      </c>
      <c r="R57" s="2323"/>
      <c r="S57" s="2323"/>
      <c r="T57" s="2323"/>
      <c r="U57" s="2323"/>
      <c r="V57" s="2323"/>
      <c r="W57" s="2323"/>
      <c r="X57" s="2323"/>
      <c r="Y57" s="2324"/>
      <c r="Z57" s="75"/>
      <c r="AA57" s="75"/>
      <c r="AB57" s="2341"/>
      <c r="AC57" s="2342"/>
      <c r="AD57" s="2342"/>
      <c r="AE57" s="2342"/>
      <c r="AF57" s="2342"/>
      <c r="AG57" s="2342"/>
      <c r="AH57" s="2342"/>
      <c r="AI57" s="2342"/>
      <c r="AJ57" s="2342"/>
      <c r="AK57" s="2342"/>
      <c r="AL57" s="2342"/>
      <c r="AM57" s="2342"/>
      <c r="AN57" s="2343"/>
      <c r="AO57" s="2328"/>
      <c r="AP57" s="1047"/>
      <c r="AQ57" s="261"/>
      <c r="AR57" s="2329"/>
    </row>
    <row r="58" spans="1:44" ht="12.75">
      <c r="A58" s="283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2325"/>
      <c r="R58" s="2326"/>
      <c r="S58" s="2326"/>
      <c r="T58" s="2326"/>
      <c r="U58" s="2326"/>
      <c r="V58" s="2326"/>
      <c r="W58" s="2326"/>
      <c r="X58" s="2326"/>
      <c r="Y58" s="2327"/>
      <c r="Z58" s="75"/>
      <c r="AA58" s="75"/>
      <c r="AB58" s="2344"/>
      <c r="AC58" s="2345"/>
      <c r="AD58" s="2345"/>
      <c r="AE58" s="2345"/>
      <c r="AF58" s="2345"/>
      <c r="AG58" s="2345"/>
      <c r="AH58" s="2345"/>
      <c r="AI58" s="2345"/>
      <c r="AJ58" s="2345"/>
      <c r="AK58" s="2345"/>
      <c r="AL58" s="2345"/>
      <c r="AM58" s="2345"/>
      <c r="AN58" s="2346"/>
      <c r="AO58" s="2328"/>
      <c r="AP58" s="1047"/>
      <c r="AQ58" s="75"/>
      <c r="AR58" s="2329"/>
    </row>
    <row r="59" spans="1:44" ht="8.1" customHeight="1">
      <c r="A59" s="2330"/>
      <c r="B59" s="2326"/>
      <c r="C59" s="2326"/>
      <c r="D59" s="2326"/>
      <c r="E59" s="2326"/>
      <c r="F59" s="2326"/>
      <c r="G59" s="2326"/>
      <c r="H59" s="2326"/>
      <c r="I59" s="2326"/>
      <c r="J59" s="2326"/>
      <c r="K59" s="2326"/>
      <c r="L59" s="2326"/>
      <c r="M59" s="2326"/>
      <c r="N59" s="2326"/>
      <c r="O59" s="2326"/>
      <c r="P59" s="2326"/>
      <c r="Q59" s="2326"/>
      <c r="R59" s="2326"/>
      <c r="S59" s="2326"/>
      <c r="T59" s="2326"/>
      <c r="U59" s="2326"/>
      <c r="V59" s="2326"/>
      <c r="W59" s="2326"/>
      <c r="X59" s="2326"/>
      <c r="Y59" s="2326"/>
      <c r="Z59" s="2326"/>
      <c r="AA59" s="2326"/>
      <c r="AB59" s="2326"/>
      <c r="AC59" s="2326"/>
      <c r="AD59" s="2326"/>
      <c r="AE59" s="2326"/>
      <c r="AF59" s="2326"/>
      <c r="AG59" s="2326"/>
      <c r="AH59" s="2326"/>
      <c r="AI59" s="2326"/>
      <c r="AJ59" s="2326"/>
      <c r="AK59" s="2326"/>
      <c r="AL59" s="2326"/>
      <c r="AM59" s="2326"/>
      <c r="AN59" s="2326"/>
      <c r="AO59" s="2326"/>
      <c r="AP59" s="2326"/>
      <c r="AQ59" s="2326"/>
      <c r="AR59" s="2327"/>
    </row>
    <row r="60" spans="1:44" ht="12.75">
      <c r="A60" s="2331" t="str">
        <f>+'SP1'!A69</f>
        <v>Formulář zpracovala ASPEKT HM, daňová, účetní a auditorská kancelář, www.danovapriznani.cz, business.center.cz</v>
      </c>
      <c r="B60" s="2332"/>
      <c r="C60" s="2332"/>
      <c r="D60" s="2332"/>
      <c r="E60" s="2332"/>
      <c r="F60" s="2332"/>
      <c r="G60" s="2332"/>
      <c r="H60" s="2332"/>
      <c r="I60" s="2332"/>
      <c r="J60" s="2332"/>
      <c r="K60" s="2332"/>
      <c r="L60" s="2332"/>
      <c r="M60" s="2332"/>
      <c r="N60" s="2332"/>
      <c r="O60" s="2332"/>
      <c r="P60" s="2332"/>
      <c r="Q60" s="2332"/>
      <c r="R60" s="2332"/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  <c r="AG60" s="2332"/>
      <c r="AH60" s="2332"/>
      <c r="AI60" s="2332"/>
      <c r="AJ60" s="2332"/>
      <c r="AK60" s="2332"/>
      <c r="AL60" s="2332"/>
      <c r="AM60" s="2332"/>
      <c r="AN60" s="2332"/>
      <c r="AO60" s="2332"/>
      <c r="AP60" s="2332"/>
      <c r="AQ60" s="2332"/>
      <c r="AR60" s="2332"/>
    </row>
    <row r="61" spans="1:44" ht="12.75">
      <c r="A61" s="2333">
        <f>+ZAKL_DATA!A46</f>
        <v>0.0</v>
      </c>
      <c r="B61" s="676"/>
      <c r="C61" s="676"/>
      <c r="D61" s="676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6"/>
      <c r="P61" s="676"/>
      <c r="Q61" s="676"/>
      <c r="R61" s="676"/>
      <c r="S61" s="676"/>
      <c r="T61" s="676"/>
      <c r="U61" s="676"/>
      <c r="V61" s="676"/>
      <c r="W61" s="676"/>
      <c r="X61" s="676"/>
      <c r="Y61" s="676"/>
      <c r="Z61" s="676"/>
      <c r="AA61" s="676"/>
      <c r="AB61" s="676"/>
      <c r="AC61" s="676"/>
      <c r="AD61" s="676"/>
      <c r="AE61" s="676"/>
      <c r="AF61" s="676"/>
      <c r="AG61" s="676"/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</row>
    <row r="62" spans="1:44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44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1:44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1:44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1:44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1:44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1:44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pans="1:44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</row>
    <row r="98" spans="1:44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spans="1:44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1:44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1:44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2:44" ht="12.7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2:44" ht="12.7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</sheetData>
  <sheetProtection algorithmName="SHA-512" hashValue="6D6i66/amJUU7AYzbSo5lcPygv6t4x/UoM8ZzIfVQ0otuSiz1lt0wBpoCS+CLJCCDfrk99nBer8AVRlWIJPfIg==" saltValue="fZbbCvo09M6BpYqCr/i5Ew==" spinCount="100000" sheet="1" objects="1" scenarios="1"/>
  <mergeCells count="148">
    <mergeCell ref="A50:V50"/>
    <mergeCell ref="W50:AR50"/>
    <mergeCell ref="AT1:AV1"/>
    <mergeCell ref="Q57:Y58"/>
    <mergeCell ref="AO57:AP58"/>
    <mergeCell ref="AR57:AR58"/>
    <mergeCell ref="A59:AR59"/>
    <mergeCell ref="A60:AR60"/>
    <mergeCell ref="A61:AR61"/>
    <mergeCell ref="A51:AR51"/>
    <mergeCell ref="A52:Z55"/>
    <mergeCell ref="AB53:AN58"/>
    <mergeCell ref="AO53:AR56"/>
    <mergeCell ref="B56:P56"/>
    <mergeCell ref="C57:P57"/>
    <mergeCell ref="W45:AR45"/>
    <mergeCell ref="A45:V45"/>
    <mergeCell ref="B46:H46"/>
    <mergeCell ref="I46:S46"/>
    <mergeCell ref="T46:V46"/>
    <mergeCell ref="W46:AR46"/>
    <mergeCell ref="A47:V47"/>
    <mergeCell ref="X47:AF47"/>
    <mergeCell ref="AG47:AN47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B37:V37"/>
    <mergeCell ref="W37:AR37"/>
    <mergeCell ref="W39:AR39"/>
    <mergeCell ref="X38:AD38"/>
    <mergeCell ref="AE38:AN38"/>
    <mergeCell ref="AO38:AR38"/>
    <mergeCell ref="B38:M38"/>
    <mergeCell ref="N38:O38"/>
    <mergeCell ref="P38:V38"/>
    <mergeCell ref="B39:V39"/>
    <mergeCell ref="A34:V34"/>
    <mergeCell ref="W34:AR34"/>
    <mergeCell ref="W35:AR35"/>
    <mergeCell ref="B35:H35"/>
    <mergeCell ref="I35:S35"/>
    <mergeCell ref="T35:V35"/>
    <mergeCell ref="B36:H36"/>
    <mergeCell ref="I36:S36"/>
    <mergeCell ref="T36:V36"/>
    <mergeCell ref="X36:AD36"/>
    <mergeCell ref="AE36:AN36"/>
    <mergeCell ref="AO36:AR36"/>
    <mergeCell ref="N29:O29"/>
    <mergeCell ref="P30:S30"/>
    <mergeCell ref="AB24:AR24"/>
    <mergeCell ref="B25:AA25"/>
    <mergeCell ref="AD25:AR25"/>
    <mergeCell ref="N26:O26"/>
    <mergeCell ref="P26:S26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B30:AR33"/>
    <mergeCell ref="A33:AA33"/>
    <mergeCell ref="B31:G32"/>
    <mergeCell ref="H32:P32"/>
    <mergeCell ref="R32:Z32"/>
    <mergeCell ref="H14:AI14"/>
    <mergeCell ref="AK14:AR14"/>
    <mergeCell ref="A15:F15"/>
    <mergeCell ref="H15:AI15"/>
    <mergeCell ref="AK15:AR15"/>
    <mergeCell ref="A16:AE16"/>
    <mergeCell ref="A17:AE17"/>
    <mergeCell ref="N23:O23"/>
    <mergeCell ref="A18:AR18"/>
    <mergeCell ref="A19:AR19"/>
    <mergeCell ref="A20:AR20"/>
    <mergeCell ref="A21:AR21"/>
    <mergeCell ref="B22:AA22"/>
    <mergeCell ref="AB22:AR22"/>
    <mergeCell ref="AD23:AR23"/>
    <mergeCell ref="P23:AA24"/>
    <mergeCell ref="AG16:AR16"/>
    <mergeCell ref="AG17:AR17"/>
    <mergeCell ref="A14:F14"/>
    <mergeCell ref="T1:AA1"/>
    <mergeCell ref="AF1:AR7"/>
    <mergeCell ref="T2:AA2"/>
    <mergeCell ref="T3:AA3"/>
    <mergeCell ref="T4:AA4"/>
    <mergeCell ref="A5:R6"/>
    <mergeCell ref="T5:AA5"/>
    <mergeCell ref="A1:P4"/>
    <mergeCell ref="Q3:S4"/>
    <mergeCell ref="U6:Z6"/>
    <mergeCell ref="A7:S7"/>
    <mergeCell ref="T7:V7"/>
    <mergeCell ref="X7:Y7"/>
    <mergeCell ref="A8:AR8"/>
    <mergeCell ref="A9:AR9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AO47:AR47"/>
    <mergeCell ref="B48:V48"/>
    <mergeCell ref="B49:H49"/>
    <mergeCell ref="I49:S49"/>
    <mergeCell ref="T49:V49"/>
    <mergeCell ref="Y49:AA49"/>
    <mergeCell ref="AC49:AE49"/>
    <mergeCell ref="AG49:AI49"/>
    <mergeCell ref="AJ49:AN49"/>
    <mergeCell ref="AO49:AR49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pageSetUpPr fitToPage="1"/>
  </sheetPr>
  <dimension ref="A1:H122"/>
  <sheetViews>
    <sheetView workbookViewId="0" topLeftCell="A1">
      <pane xSplit="1" ySplit="8" topLeftCell="B9" activePane="bottomRight" state="frozen"/>
      <selection pane="topLeft" activeCell="A1" sqref="A1"/>
      <selection pane="bottomLeft" activeCell="A9" sqref="A9"/>
      <selection pane="topRight" activeCell="B1" sqref="B1"/>
      <selection pane="bottomRight" activeCell="D13" sqref="D13"/>
    </sheetView>
  </sheetViews>
  <sheetFormatPr defaultColWidth="9.144285714285713" defaultRowHeight="12.75"/>
  <cols>
    <col min="1" max="1" width="24" style="2" customWidth="1"/>
    <col min="2" max="5" width="18.714285714285715" style="2" customWidth="1"/>
    <col min="6" max="6" width="11.428571428571429" style="20" bestFit="1" customWidth="1"/>
    <col min="7" max="28" width="9.142857142857142" style="20"/>
    <col min="29" max="16384" width="9.142857142857142" style="2"/>
  </cols>
  <sheetData>
    <row r="1" spans="1:7" ht="18" customHeight="1">
      <c r="A1" s="2369" t="s">
        <v>3941</v>
      </c>
      <c r="B1" s="2370"/>
      <c r="C1" s="2370"/>
      <c r="D1" s="2370"/>
      <c r="E1" s="2370"/>
      <c r="F1" s="22"/>
      <c r="G1" s="22"/>
    </row>
    <row r="2" spans="1:7" ht="8.1" customHeight="1" thickBot="1">
      <c r="A2" s="2369"/>
      <c r="B2" s="2370"/>
      <c r="C2" s="2370"/>
      <c r="D2" s="2370"/>
      <c r="E2" s="2370"/>
      <c r="F2" s="22"/>
      <c r="G2" s="22"/>
    </row>
    <row r="3" spans="1:8" ht="18" customHeight="1">
      <c r="A3" s="2374" t="s">
        <v>3846</v>
      </c>
      <c r="B3" s="2375"/>
      <c r="C3" s="2379" t="str">
        <f>+CONCATENATE(ZAKL_DATA!B5," ",ZAKL_DATA!B4," ",ZAKL_DATA!B7)</f>
        <v xml:space="preserve">  </v>
      </c>
      <c r="D3" s="2380"/>
      <c r="E3" s="2381"/>
      <c r="F3" s="22"/>
      <c r="H3" s="22"/>
    </row>
    <row r="4" spans="1:8" ht="18" customHeight="1">
      <c r="A4" s="2376" t="s">
        <v>3529</v>
      </c>
      <c r="B4" s="2372"/>
      <c r="C4" s="2382">
        <f>+'DAP3'!D30</f>
        <v>0.0</v>
      </c>
      <c r="D4" s="2372"/>
      <c r="E4" s="2373"/>
      <c r="F4" s="22"/>
      <c r="H4" s="22"/>
    </row>
    <row r="5" spans="1:8" ht="18" customHeight="1">
      <c r="A5" s="2376" t="s">
        <v>3847</v>
      </c>
      <c r="B5" s="2372"/>
      <c r="C5" s="2371">
        <f>+C4</f>
        <v>0.0</v>
      </c>
      <c r="D5" s="2372"/>
      <c r="E5" s="2373"/>
      <c r="F5" s="22"/>
      <c r="G5" s="22"/>
      <c r="H5" s="22"/>
    </row>
    <row r="6" spans="1:8" ht="18" customHeight="1" thickBot="1">
      <c r="A6" s="2377" t="s">
        <v>3854</v>
      </c>
      <c r="B6" s="2378"/>
      <c r="C6" s="2383">
        <f>IF(OR(EXACT((LEFT(+'DAP1'!J17,1)),A60),EXACT((LEFT(+'DAP1'!J19,1)),A60)),+DATE(+'DAP1'!F24+1,6,30),DATE('DAP1'!F24+1,3,31))+1</f>
        <v>45017.0</v>
      </c>
      <c r="D6" s="2384"/>
      <c r="E6" s="2385"/>
      <c r="F6" s="22"/>
      <c r="G6" s="2360" t="s">
        <v>3860</v>
      </c>
      <c r="H6" s="22"/>
    </row>
    <row r="7" spans="1:7" ht="8.1" customHeight="1" thickBot="1">
      <c r="A7" s="2369"/>
      <c r="B7" s="2370"/>
      <c r="C7" s="2370"/>
      <c r="D7" s="2370"/>
      <c r="E7" s="2370"/>
      <c r="F7" s="22"/>
      <c r="G7" s="2361"/>
    </row>
    <row r="8" spans="1:7" ht="27" customHeight="1">
      <c r="A8" s="560" t="s">
        <v>3852</v>
      </c>
      <c r="B8" s="561" t="s">
        <v>3848</v>
      </c>
      <c r="C8" s="561" t="s">
        <v>3849</v>
      </c>
      <c r="D8" s="562" t="s">
        <v>3850</v>
      </c>
      <c r="E8" s="563" t="s">
        <v>3851</v>
      </c>
      <c r="F8" s="23"/>
      <c r="G8" s="569" t="s">
        <v>3859</v>
      </c>
    </row>
    <row r="9" spans="1:7" ht="15.95" customHeight="1">
      <c r="A9" s="557">
        <f>+C6</f>
        <v>45017.0</v>
      </c>
      <c r="B9" s="564">
        <f>+'DAP3'!D48</f>
        <v>0.0</v>
      </c>
      <c r="C9" s="564">
        <v>0.0</v>
      </c>
      <c r="D9" s="565">
        <v>0.0</v>
      </c>
      <c r="E9" s="265">
        <v>0.0</v>
      </c>
      <c r="G9" s="570" t="str">
        <f t="shared" si="0" ref="G9:G43">+IF(+ABS(B9)+ABS(C9)+ABS(D9)+ABS(E9)=0,"NE","ANO")</f>
        <v>NE</v>
      </c>
    </row>
    <row r="10" spans="1:7" ht="27.95" customHeight="1">
      <c r="A10" s="558" t="s">
        <v>3853</v>
      </c>
      <c r="B10" s="564">
        <v>0.0</v>
      </c>
      <c r="C10" s="564">
        <f>+'SP1'!H64</f>
        <v>34087.0</v>
      </c>
      <c r="D10" s="564">
        <v>0.0</v>
      </c>
      <c r="E10" s="265">
        <f>IF(OR(EXACT(+VZP!AV3,"X"),EXACT(VZP!AV3,"x"),EXACT('Ostatní ZP'!AV3,"X"),EXACT('Ostatní ZP'!AV3,"x")),-'Ostatní ZP'!AE38,-VZP!AE38)</f>
        <v>31518.0</v>
      </c>
      <c r="G10" s="570" t="str">
        <f t="shared" si="0"/>
        <v>ANO</v>
      </c>
    </row>
    <row r="11" spans="1:7" ht="15.95" customHeight="1">
      <c r="A11" s="557">
        <f>CONCATENATE("7.",IF(MONTH(A9)&lt;12,MONTH(A9)+1,MONTH(A9)-11),".",IF(MONTH(A9)&gt;11,YEAR(A9)+1,YEAR(A9)))+1</f>
        <v>45054.0</v>
      </c>
      <c r="B11" s="564">
        <v>0.0</v>
      </c>
      <c r="C11" s="564">
        <v>0.0</v>
      </c>
      <c r="D11" s="565">
        <v>0.0</v>
      </c>
      <c r="E11" s="265">
        <f>IF(OR(EXACT(+VZP!AV3,"X"),EXACT(VZP!AV3,"x"),EXACT('Ostatní ZP'!AV3,"X"),EXACT('Ostatní ZP'!AV3,"x")),'Ostatní ZP'!AJ49,VZP!AJ49)</f>
        <v>2722.0</v>
      </c>
      <c r="G11" s="570" t="str">
        <f t="shared" si="0"/>
        <v>ANO</v>
      </c>
    </row>
    <row r="12" spans="1:7" ht="15.95" customHeight="1">
      <c r="A12" s="557">
        <f>CONCATENATE("1.",IF(MONTH(A11)&lt;12,MONTH(A11)+1,MONTH(A11)-11),".",IF(MONTH(A11)&gt;11,YEAR(A11)+1,YEAR(A11)))-1</f>
        <v>45077.0</v>
      </c>
      <c r="B12" s="564">
        <v>0.0</v>
      </c>
      <c r="C12" s="564">
        <f>+'SP2'!S9</f>
        <v>2944.0</v>
      </c>
      <c r="D12" s="565">
        <f>+'SP2'!AH9</f>
        <v>205.0</v>
      </c>
      <c r="E12" s="265">
        <v>0.0</v>
      </c>
      <c r="G12" s="570" t="str">
        <f t="shared" si="0"/>
        <v>ANO</v>
      </c>
    </row>
    <row r="13" spans="1:7" ht="15.95" customHeight="1">
      <c r="A13" s="557">
        <f>CONCATENATE("7.",IF(MONTH(A11)&lt;12,MONTH(A11)+1,MONTH(A11)-11),".",IF(MONTH(A11)&gt;11,YEAR(A11)+1,YEAR(A11)))+1</f>
        <v>45085.0</v>
      </c>
      <c r="B13" s="564">
        <v>0.0</v>
      </c>
      <c r="C13" s="564">
        <v>0.0</v>
      </c>
      <c r="D13" s="564">
        <v>0.0</v>
      </c>
      <c r="E13" s="265">
        <f>E11</f>
        <v>2722.0</v>
      </c>
      <c r="G13" s="570" t="str">
        <f t="shared" si="0"/>
        <v>ANO</v>
      </c>
    </row>
    <row r="14" spans="1:7" ht="15.95" customHeight="1">
      <c r="A14" s="557">
        <f>CONCATENATE("14.",IF(OR(MONTH(A9)=4,MONTH(A9)=7),MONTH(A9)+2,MONTH(A9)+1),".",IF(MONTH(A9)&gt;9,YEAR(A9)+1,YEAR(A9)))+1</f>
        <v>45092.0</v>
      </c>
      <c r="B14" s="609">
        <f>CEILING(IF(OR(MONTH($C$6)=5,MONTH($C$6)=4),+IF($C$5&gt;150000,INT($C$5/4/100+0.99)*100,0)+IF($C$5&gt;30000,INT($C$5*0.4/100+0.99)*100,0)*IF($C$5&gt;150000,0,1),+IF($C$5&gt;150000,INT($C$5/4/100+0.99)*100,0))*A100,100)</f>
        <v>0.0</v>
      </c>
      <c r="C14" s="564">
        <v>0.0</v>
      </c>
      <c r="D14" s="564">
        <v>0.0</v>
      </c>
      <c r="E14" s="265">
        <v>0.0</v>
      </c>
      <c r="G14" s="570" t="str">
        <f t="shared" si="0"/>
        <v>NE</v>
      </c>
    </row>
    <row r="15" spans="1:7" ht="15.95" customHeight="1">
      <c r="A15" s="557">
        <f>CONCATENATE("1.",IF(MONTH(A14)&lt;12,MONTH(A14)+1,MONTH(A14)-11),".",IF(MONTH(A14)&gt;11,YEAR(A14)+1,YEAR(A14)))-1</f>
        <v>45107.0</v>
      </c>
      <c r="B15" s="564">
        <v>0.0</v>
      </c>
      <c r="C15" s="564">
        <f>+C12</f>
        <v>2944.0</v>
      </c>
      <c r="D15" s="564">
        <f>+D12</f>
        <v>205.0</v>
      </c>
      <c r="E15" s="265">
        <v>0.0</v>
      </c>
      <c r="G15" s="570" t="str">
        <f t="shared" si="0"/>
        <v>ANO</v>
      </c>
    </row>
    <row r="16" spans="1:7" ht="15.95" customHeight="1">
      <c r="A16" s="557">
        <f>CONCATENATE("7.",IF(MONTH(A14)&lt;12,MONTH(A14)+1,MONTH(A14)-11),".",IF(MONTH(A14)&gt;11,YEAR(A14)+1,YEAR(A14)))+1</f>
        <v>45115.0</v>
      </c>
      <c r="B16" s="564">
        <v>0.0</v>
      </c>
      <c r="C16" s="564">
        <v>0.0</v>
      </c>
      <c r="D16" s="564">
        <v>0.0</v>
      </c>
      <c r="E16" s="265">
        <f>+E13</f>
        <v>2722.0</v>
      </c>
      <c r="G16" s="570" t="str">
        <f t="shared" si="0"/>
        <v>ANO</v>
      </c>
    </row>
    <row r="17" spans="1:7" ht="15.95" customHeight="1">
      <c r="A17" s="557">
        <f>CONCATENATE("1.",IF(MONTH(A16)&lt;12,MONTH(A16)+1,MONTH(A16)-11),".",IF(MONTH(A16)&gt;11,YEAR(A16)+1,YEAR(A16)))-1</f>
        <v>45138.0</v>
      </c>
      <c r="B17" s="564">
        <v>0.0</v>
      </c>
      <c r="C17" s="564">
        <f>+C15</f>
        <v>2944.0</v>
      </c>
      <c r="D17" s="564">
        <f>+D15</f>
        <v>205.0</v>
      </c>
      <c r="E17" s="265">
        <v>0.0</v>
      </c>
      <c r="G17" s="570" t="str">
        <f t="shared" si="0"/>
        <v>ANO</v>
      </c>
    </row>
    <row r="18" spans="1:7" ht="15.95" customHeight="1">
      <c r="A18" s="557">
        <f>CONCATENATE("7.",IF(MONTH(A16)&lt;12,MONTH(A16)+1,MONTH(A16)-11),".",IF(MONTH(A16)&gt;11,YEAR(A16)+1,YEAR(A16)))+1</f>
        <v>45146.0</v>
      </c>
      <c r="B18" s="564">
        <v>0.0</v>
      </c>
      <c r="C18" s="564">
        <v>0.0</v>
      </c>
      <c r="D18" s="564">
        <v>0.0</v>
      </c>
      <c r="E18" s="265">
        <f>E16</f>
        <v>2722.0</v>
      </c>
      <c r="G18" s="570" t="str">
        <f t="shared" si="0"/>
        <v>ANO</v>
      </c>
    </row>
    <row r="19" spans="1:7" ht="15.95" customHeight="1">
      <c r="A19" s="557">
        <f>CONCATENATE("1.",IF(MONTH(A18)&lt;12,MONTH(A18)+1,MONTH(A18)-11),".",IF(MONTH(A18)&gt;11,YEAR(A18)+1,YEAR(A18)))-1</f>
        <v>45169.0</v>
      </c>
      <c r="B19" s="564">
        <v>0.0</v>
      </c>
      <c r="C19" s="564">
        <f>+C17</f>
        <v>2944.0</v>
      </c>
      <c r="D19" s="564">
        <f>+D17</f>
        <v>205.0</v>
      </c>
      <c r="E19" s="265">
        <v>0.0</v>
      </c>
      <c r="G19" s="570" t="str">
        <f t="shared" si="0"/>
        <v>ANO</v>
      </c>
    </row>
    <row r="20" spans="1:7" ht="15.95" customHeight="1">
      <c r="A20" s="557">
        <f>CONCATENATE("7.",IF(MONTH(A18)&lt;12,MONTH(A18)+1,MONTH(A18)-11),".",IF(MONTH(A18)&gt;11,YEAR(A18)+1,YEAR(A18)))+1</f>
        <v>45177.0</v>
      </c>
      <c r="B20" s="564">
        <v>0.0</v>
      </c>
      <c r="C20" s="564">
        <v>0.0</v>
      </c>
      <c r="D20" s="564">
        <v>0.0</v>
      </c>
      <c r="E20" s="265">
        <f>+E18</f>
        <v>2722.0</v>
      </c>
      <c r="G20" s="570" t="str">
        <f t="shared" si="0"/>
        <v>ANO</v>
      </c>
    </row>
    <row r="21" spans="1:7" ht="15.95" customHeight="1">
      <c r="A21" s="559">
        <f>CONCATENATE("14.",IF(MONTH(A14)&gt;9,MONTH(A14)-9,MONTH(A14)+3),".",IF(MONTH(A14)&gt;9,YEAR(A14)+1,YEAR(A14)))+1</f>
        <v>45184.0</v>
      </c>
      <c r="B21" s="609">
        <f>CEILING(IF(OR(MONTH($C$6)=7),+IF($C$5&gt;150000,INT($C$5/4/100+0.99)*100,0)+IF($C$5&gt;30000,INT($C$5*0.4/100+0.99)*100,0)*IF($C$5&gt;150000,0,1),+IF($C$5&gt;150000,INT($C$5/4/100+0.99)*100,0))*A100,100)</f>
        <v>0.0</v>
      </c>
      <c r="C21" s="564">
        <v>0.0</v>
      </c>
      <c r="D21" s="564">
        <v>0.0</v>
      </c>
      <c r="E21" s="265">
        <v>0.0</v>
      </c>
      <c r="G21" s="570" t="str">
        <f t="shared" si="0"/>
        <v>NE</v>
      </c>
    </row>
    <row r="22" spans="1:7" ht="15.95" customHeight="1">
      <c r="A22" s="557">
        <f>CONCATENATE("1.",IF(MONTH(A21)&lt;12,MONTH(A21)+1,MONTH(A21)-11),".",IF(MONTH(A21)&gt;11,YEAR(A21)+1,YEAR(A21)))-1</f>
        <v>45199.0</v>
      </c>
      <c r="B22" s="564">
        <v>0.0</v>
      </c>
      <c r="C22" s="564">
        <f>+C19</f>
        <v>2944.0</v>
      </c>
      <c r="D22" s="564">
        <f>+D19</f>
        <v>205.0</v>
      </c>
      <c r="E22" s="265">
        <v>0.0</v>
      </c>
      <c r="G22" s="570" t="str">
        <f t="shared" si="0"/>
        <v>ANO</v>
      </c>
    </row>
    <row r="23" spans="1:7" ht="15.95" customHeight="1">
      <c r="A23" s="557">
        <f>CONCATENATE("7.",IF(MONTH(A21)&lt;12,MONTH(A21)+1,MONTH(A21)-11),".",IF(MONTH(A21)&gt;11,YEAR(A21)+1,YEAR(A21)))+1</f>
        <v>45207.0</v>
      </c>
      <c r="B23" s="564">
        <v>0.0</v>
      </c>
      <c r="C23" s="564">
        <v>0.0</v>
      </c>
      <c r="D23" s="564">
        <v>0.0</v>
      </c>
      <c r="E23" s="265">
        <f>E20</f>
        <v>2722.0</v>
      </c>
      <c r="G23" s="570" t="str">
        <f t="shared" si="0"/>
        <v>ANO</v>
      </c>
    </row>
    <row r="24" spans="1:7" ht="15.95" customHeight="1">
      <c r="A24" s="557">
        <f>CONCATENATE("1.",IF(MONTH(A23)&lt;12,MONTH(A23)+1,MONTH(A23)-11),".",IF(MONTH(A23)&gt;11,YEAR(A23)+1,YEAR(A23)))-1</f>
        <v>45230.0</v>
      </c>
      <c r="B24" s="564">
        <v>0.0</v>
      </c>
      <c r="C24" s="564">
        <f>+C22</f>
        <v>2944.0</v>
      </c>
      <c r="D24" s="564">
        <f>+D22</f>
        <v>205.0</v>
      </c>
      <c r="E24" s="265">
        <v>0.0</v>
      </c>
      <c r="G24" s="570" t="str">
        <f t="shared" si="0"/>
        <v>ANO</v>
      </c>
    </row>
    <row r="25" spans="1:7" ht="15.95" customHeight="1">
      <c r="A25" s="557">
        <f>CONCATENATE("7.",IF(MONTH(A23)&lt;12,MONTH(A23)+1,MONTH(A23)-11),".",IF(MONTH(A23)&gt;11,YEAR(A23)+1,YEAR(A23)))+1</f>
        <v>45238.0</v>
      </c>
      <c r="B25" s="564">
        <v>0.0</v>
      </c>
      <c r="C25" s="564">
        <v>0.0</v>
      </c>
      <c r="D25" s="564">
        <v>0.0</v>
      </c>
      <c r="E25" s="265">
        <f>E23</f>
        <v>2722.0</v>
      </c>
      <c r="G25" s="570" t="str">
        <f t="shared" si="0"/>
        <v>ANO</v>
      </c>
    </row>
    <row r="26" spans="1:7" ht="15.95" customHeight="1">
      <c r="A26" s="557">
        <f>CONCATENATE("1.",IF(MONTH(A25)&lt;12,MONTH(A25)+1,MONTH(A25)-11),".",IF(MONTH(A25)&gt;11,YEAR(A25)+1,YEAR(A25)))-1</f>
        <v>45260.0</v>
      </c>
      <c r="B26" s="564">
        <v>0.0</v>
      </c>
      <c r="C26" s="564">
        <f>+C24</f>
        <v>2944.0</v>
      </c>
      <c r="D26" s="564">
        <f>+D24</f>
        <v>205.0</v>
      </c>
      <c r="E26" s="265">
        <v>0.0</v>
      </c>
      <c r="G26" s="570" t="str">
        <f t="shared" si="0"/>
        <v>ANO</v>
      </c>
    </row>
    <row r="27" spans="1:7" ht="15.95" customHeight="1">
      <c r="A27" s="557">
        <f>CONCATENATE("7.",IF(MONTH(A25)&lt;12,MONTH(A25)+1,MONTH(A25)-11),".",IF(MONTH(A25)&gt;11,YEAR(A25)+1,YEAR(A25)))+1</f>
        <v>45268.0</v>
      </c>
      <c r="B27" s="564">
        <v>0.0</v>
      </c>
      <c r="C27" s="564">
        <v>0.0</v>
      </c>
      <c r="D27" s="564">
        <v>0.0</v>
      </c>
      <c r="E27" s="265">
        <f>E25</f>
        <v>2722.0</v>
      </c>
      <c r="G27" s="570" t="str">
        <f t="shared" si="0"/>
        <v>ANO</v>
      </c>
    </row>
    <row r="28" spans="1:7" ht="15.95" customHeight="1">
      <c r="A28" s="559">
        <f>CONCATENATE("14.",IF(MONTH(A21)&gt;9,MONTH(A21)-9,MONTH(A21)+3),".",IF(MONTH(A21)&gt;9,YEAR(A21)+1,YEAR(A21)))+1</f>
        <v>45275.0</v>
      </c>
      <c r="B28" s="564">
        <f>+B14</f>
        <v>0.0</v>
      </c>
      <c r="C28" s="564">
        <v>0.0</v>
      </c>
      <c r="D28" s="564">
        <v>0.0</v>
      </c>
      <c r="E28" s="265">
        <v>0.0</v>
      </c>
      <c r="G28" s="570" t="str">
        <f t="shared" si="0"/>
        <v>NE</v>
      </c>
    </row>
    <row r="29" spans="1:7" ht="15.95" customHeight="1">
      <c r="A29" s="557">
        <f>CONCATENATE("1.",IF(MONTH(A28)&lt;12,MONTH(A28)+1,MONTH(A28)-11),".",IF(MONTH(A28)&gt;11,YEAR(A28)+1,YEAR(A28)))-1</f>
        <v>45291.0</v>
      </c>
      <c r="B29" s="564">
        <v>0.0</v>
      </c>
      <c r="C29" s="564">
        <f>+C26</f>
        <v>2944.0</v>
      </c>
      <c r="D29" s="564">
        <f>+D26</f>
        <v>205.0</v>
      </c>
      <c r="E29" s="265">
        <v>0.0</v>
      </c>
      <c r="G29" s="570" t="str">
        <f t="shared" si="0"/>
        <v>ANO</v>
      </c>
    </row>
    <row r="30" spans="1:7" ht="15.95" customHeight="1">
      <c r="A30" s="557">
        <f>CONCATENATE("7.",IF(MONTH(A28)&lt;12,MONTH(A28)+1,MONTH(A28)-11),".",IF(MONTH(A28)&gt;11,YEAR(A28)+1,YEAR(A28)))+1</f>
        <v>45299.0</v>
      </c>
      <c r="B30" s="566">
        <v>0.0</v>
      </c>
      <c r="C30" s="564">
        <v>0.0</v>
      </c>
      <c r="D30" s="564">
        <v>0.0</v>
      </c>
      <c r="E30" s="265">
        <f>E27</f>
        <v>2722.0</v>
      </c>
      <c r="G30" s="570" t="str">
        <f t="shared" si="0"/>
        <v>ANO</v>
      </c>
    </row>
    <row r="31" spans="1:7" ht="15.95" customHeight="1">
      <c r="A31" s="557">
        <f>CONCATENATE("1.",IF(MONTH(A30)&lt;12,MONTH(A30)+1,MONTH(A30)-11),".",IF(MONTH(A30)&gt;11,YEAR(A30)+1,YEAR(A30)))-1</f>
        <v>45322.0</v>
      </c>
      <c r="B31" s="566">
        <v>0.0</v>
      </c>
      <c r="C31" s="564">
        <f>+C29</f>
        <v>2944.0</v>
      </c>
      <c r="D31" s="564">
        <f>+D29</f>
        <v>205.0</v>
      </c>
      <c r="E31" s="265">
        <v>0.0</v>
      </c>
      <c r="G31" s="570" t="str">
        <f t="shared" si="0"/>
        <v>ANO</v>
      </c>
    </row>
    <row r="32" spans="1:7" ht="15.95" customHeight="1">
      <c r="A32" s="557">
        <f>CONCATENATE("7.",IF(MONTH(A30)&lt;12,MONTH(A30)+1,MONTH(A30)-11),".",IF(MONTH(A30)&gt;11,YEAR(A30)+1,YEAR(A30)))+1</f>
        <v>45330.0</v>
      </c>
      <c r="B32" s="566">
        <v>0.0</v>
      </c>
      <c r="C32" s="564">
        <v>0.0</v>
      </c>
      <c r="D32" s="564">
        <v>0.0</v>
      </c>
      <c r="E32" s="265">
        <f>E30</f>
        <v>2722.0</v>
      </c>
      <c r="G32" s="570" t="str">
        <f t="shared" si="0"/>
        <v>ANO</v>
      </c>
    </row>
    <row r="33" spans="1:7" ht="15.95" customHeight="1">
      <c r="A33" s="557">
        <f>CONCATENATE("1.",IF(MONTH(A32)&lt;12,MONTH(A32)+1,MONTH(A32)-11),".",IF(MONTH(A32)&gt;11,YEAR(A32)+1,YEAR(A32)))-1</f>
        <v>45351.0</v>
      </c>
      <c r="B33" s="566">
        <v>0.0</v>
      </c>
      <c r="C33" s="564">
        <f>+C31</f>
        <v>2944.0</v>
      </c>
      <c r="D33" s="564">
        <f>+D31</f>
        <v>205.0</v>
      </c>
      <c r="E33" s="265">
        <v>0.0</v>
      </c>
      <c r="G33" s="570" t="str">
        <f t="shared" si="0"/>
        <v>ANO</v>
      </c>
    </row>
    <row r="34" spans="1:7" ht="15.95" customHeight="1">
      <c r="A34" s="557">
        <f>CONCATENATE("7.",IF(MONTH(A32)&lt;12,MONTH(A32)+1,MONTH(A32)-11),".",IF(MONTH(A32)&gt;11,YEAR(A32)+1,YEAR(A32)))+1</f>
        <v>45359.0</v>
      </c>
      <c r="B34" s="566">
        <v>0.0</v>
      </c>
      <c r="C34" s="564">
        <v>0.0</v>
      </c>
      <c r="D34" s="564">
        <v>0.0</v>
      </c>
      <c r="E34" s="265">
        <f>E32</f>
        <v>2722.0</v>
      </c>
      <c r="G34" s="570" t="str">
        <f t="shared" si="0"/>
        <v>ANO</v>
      </c>
    </row>
    <row r="35" spans="1:7" ht="15.95" customHeight="1">
      <c r="A35" s="559">
        <f>CONCATENATE("14.",IF(MONTH(A28)&gt;9,MONTH(A28)-9,MONTH(A28)+3),".",IF(MONTH(A28)&gt;9,YEAR(A28)+1,YEAR(A28)))+1</f>
        <v>45366.0</v>
      </c>
      <c r="B35" s="564">
        <f>+B21</f>
        <v>0.0</v>
      </c>
      <c r="C35" s="564">
        <v>0.0</v>
      </c>
      <c r="D35" s="564">
        <v>0.0</v>
      </c>
      <c r="E35" s="265">
        <v>0.0</v>
      </c>
      <c r="G35" s="570" t="str">
        <f t="shared" si="0"/>
        <v>NE</v>
      </c>
    </row>
    <row r="36" spans="1:7" ht="15.95" customHeight="1">
      <c r="A36" s="557">
        <f>CONCATENATE("1.",IF(MONTH(A35)&lt;12,MONTH(A35)+1,MONTH(A35)-11),".",IF(MONTH(A35)&gt;11,YEAR(A35)+1,YEAR(A35)))-1</f>
        <v>45382.0</v>
      </c>
      <c r="B36" s="564">
        <v>0.0</v>
      </c>
      <c r="C36" s="564">
        <f>+C33</f>
        <v>2944.0</v>
      </c>
      <c r="D36" s="564">
        <f>+D33</f>
        <v>205.0</v>
      </c>
      <c r="E36" s="265">
        <v>0.0</v>
      </c>
      <c r="G36" s="570" t="str">
        <f t="shared" si="0"/>
        <v>ANO</v>
      </c>
    </row>
    <row r="37" spans="1:7" ht="15.95" customHeight="1">
      <c r="A37" s="557">
        <f>CONCATENATE("7.",IF(MONTH(A35)&lt;12,MONTH(A35)+1,MONTH(A35)-11),".",IF(MONTH(A35)&gt;11,YEAR(A35)+1,YEAR(A35)))+1</f>
        <v>45390.0</v>
      </c>
      <c r="B37" s="566">
        <v>0.0</v>
      </c>
      <c r="C37" s="564">
        <v>0.0</v>
      </c>
      <c r="D37" s="564">
        <v>0.0</v>
      </c>
      <c r="E37" s="265">
        <f>E34</f>
        <v>2722.0</v>
      </c>
      <c r="G37" s="570" t="str">
        <f t="shared" si="0"/>
        <v>ANO</v>
      </c>
    </row>
    <row r="38" spans="1:7" ht="15.95" customHeight="1">
      <c r="A38" s="557">
        <f>CONCATENATE("1.",IF(MONTH(A37)&lt;12,MONTH(A37)+1,MONTH(A37)-11),".",IF(MONTH(A37)&gt;11,YEAR(A37)+1,YEAR(A37)))-1</f>
        <v>45412.0</v>
      </c>
      <c r="B38" s="566">
        <v>0.0</v>
      </c>
      <c r="C38" s="564">
        <f>+C36</f>
        <v>2944.0</v>
      </c>
      <c r="D38" s="564">
        <f>+D36</f>
        <v>205.0</v>
      </c>
      <c r="E38" s="265">
        <v>0.0</v>
      </c>
      <c r="G38" s="570" t="str">
        <f t="shared" si="0"/>
        <v>ANO</v>
      </c>
    </row>
    <row r="39" spans="1:7" ht="15.95" customHeight="1">
      <c r="A39" s="557">
        <f>CONCATENATE("7.",IF(MONTH(A37)&lt;12,MONTH(A37)+1,MONTH(A37)-11),".",IF(MONTH(A37)&gt;11,YEAR(A37)+1,YEAR(A37)))+1</f>
        <v>45420.0</v>
      </c>
      <c r="B39" s="566">
        <v>0.0</v>
      </c>
      <c r="C39" s="564">
        <v>0.0</v>
      </c>
      <c r="D39" s="564">
        <v>0.0</v>
      </c>
      <c r="E39" s="265">
        <f>E37</f>
        <v>2722.0</v>
      </c>
      <c r="G39" s="570" t="str">
        <f t="shared" si="0"/>
        <v>ANO</v>
      </c>
    </row>
    <row r="40" spans="1:7" ht="15.95" customHeight="1">
      <c r="A40" s="557">
        <f>CONCATENATE("1.",IF(MONTH(A39)&lt;12,MONTH(A39)+1,MONTH(A39)-11),".",IF(MONTH(A39)&gt;11,YEAR(A39)+1,YEAR(A39)))-1</f>
        <v>45443.0</v>
      </c>
      <c r="B40" s="566">
        <v>0.0</v>
      </c>
      <c r="C40" s="564">
        <f>+C38</f>
        <v>2944.0</v>
      </c>
      <c r="D40" s="564">
        <f>+D38</f>
        <v>205.0</v>
      </c>
      <c r="E40" s="265">
        <v>0.0</v>
      </c>
      <c r="G40" s="570" t="str">
        <f t="shared" si="0"/>
        <v>ANO</v>
      </c>
    </row>
    <row r="41" spans="1:7" ht="15.95" customHeight="1">
      <c r="A41" s="557">
        <f>CONCATENATE("7.",IF(MONTH(A39)&lt;12,MONTH(A39)+1,MONTH(A39)-11),".",IF(MONTH(A39)&gt;11,YEAR(A39)+1,YEAR(A39)))+1</f>
        <v>45451.0</v>
      </c>
      <c r="B41" s="566">
        <v>0.0</v>
      </c>
      <c r="C41" s="564">
        <v>0.0</v>
      </c>
      <c r="D41" s="564">
        <v>0.0</v>
      </c>
      <c r="E41" s="265">
        <f>E39</f>
        <v>2722.0</v>
      </c>
      <c r="G41" s="570" t="str">
        <f t="shared" si="0"/>
        <v>ANO</v>
      </c>
    </row>
    <row r="42" spans="1:7" ht="15.95" customHeight="1">
      <c r="A42" s="559">
        <f>CONCATENATE("14.",IF(MONTH(A35)&gt;9,MONTH(A35)-9,MONTH(A35)+3),".",IF(MONTH(A35)&gt;9,YEAR(A35)+1,YEAR(A35)))+1</f>
        <v>45458.0</v>
      </c>
      <c r="B42" s="564">
        <f>+B28</f>
        <v>0.0</v>
      </c>
      <c r="C42" s="564">
        <v>0.0</v>
      </c>
      <c r="D42" s="564">
        <v>0.0</v>
      </c>
      <c r="E42" s="265">
        <v>0.0</v>
      </c>
      <c r="G42" s="570" t="str">
        <f t="shared" si="0"/>
        <v>NE</v>
      </c>
    </row>
    <row r="43" spans="1:7" ht="15.95" customHeight="1" thickBot="1">
      <c r="A43" s="567">
        <f>CONCATENATE("1.",IF(MONTH(A42)&lt;12,MONTH(A42)+1,MONTH(A42)-11),".",IF(MONTH(A42)&gt;11,YEAR(A42)+1,YEAR(A42)))-1</f>
        <v>45473.0</v>
      </c>
      <c r="B43" s="568">
        <v>0.0</v>
      </c>
      <c r="C43" s="218">
        <f>+C40</f>
        <v>2944.0</v>
      </c>
      <c r="D43" s="218">
        <f>+D40</f>
        <v>205.0</v>
      </c>
      <c r="E43" s="219">
        <v>0.0</v>
      </c>
      <c r="G43" s="570" t="str">
        <f t="shared" si="0"/>
        <v>ANO</v>
      </c>
    </row>
    <row r="44" spans="1:7" ht="21.95" customHeight="1">
      <c r="A44" s="2364" t="s">
        <v>3855</v>
      </c>
      <c r="B44" s="2364"/>
      <c r="C44" s="1193"/>
      <c r="D44" s="1193"/>
      <c r="E44" s="1193"/>
      <c r="G44" s="570" t="s">
        <v>3861</v>
      </c>
    </row>
    <row r="45" spans="1:7" ht="33" customHeight="1">
      <c r="A45" s="2364" t="s">
        <v>3856</v>
      </c>
      <c r="B45" s="2364"/>
      <c r="C45" s="1193"/>
      <c r="D45" s="1193"/>
      <c r="E45" s="1193"/>
      <c r="G45" s="570" t="s">
        <v>3861</v>
      </c>
    </row>
    <row r="46" spans="1:7" ht="21.95" customHeight="1">
      <c r="A46" s="2364" t="s">
        <v>3857</v>
      </c>
      <c r="B46" s="2364"/>
      <c r="C46" s="1193"/>
      <c r="D46" s="1193"/>
      <c r="E46" s="1193"/>
      <c r="G46" s="570" t="s">
        <v>3861</v>
      </c>
    </row>
    <row r="47" spans="1:7" ht="21.95" customHeight="1">
      <c r="A47" s="2364" t="s">
        <v>3863</v>
      </c>
      <c r="B47" s="2364"/>
      <c r="C47" s="1193"/>
      <c r="D47" s="1193"/>
      <c r="E47" s="1193"/>
      <c r="G47" s="570" t="s">
        <v>3861</v>
      </c>
    </row>
    <row r="48" spans="1:7" ht="21.95" customHeight="1">
      <c r="A48" s="2364" t="s">
        <v>3864</v>
      </c>
      <c r="B48" s="2364"/>
      <c r="C48" s="1193"/>
      <c r="D48" s="1193"/>
      <c r="E48" s="1193"/>
      <c r="G48" s="570" t="s">
        <v>3861</v>
      </c>
    </row>
    <row r="49" spans="1:7" ht="33" customHeight="1">
      <c r="A49" s="2362" t="s">
        <v>3862</v>
      </c>
      <c r="B49" s="2363"/>
      <c r="C49" s="2363"/>
      <c r="D49" s="2363"/>
      <c r="E49" s="2363"/>
      <c r="G49" s="570"/>
    </row>
    <row r="50" spans="1:7" ht="15.95" customHeight="1">
      <c r="A50" s="2365" t="s">
        <v>3858</v>
      </c>
      <c r="B50" s="2365"/>
      <c r="C50" s="2366"/>
      <c r="D50" s="2366"/>
      <c r="E50" s="2366"/>
      <c r="G50" s="570" t="s">
        <v>3861</v>
      </c>
    </row>
    <row r="51" spans="1:7" ht="15.95" customHeight="1">
      <c r="A51" s="2367" t="str">
        <f>+'DAP1'!A46</f>
        <v>Formulář zpracovala ASPEKT HM, daňová, účetní a auditorská kancelář, www.danovapriznani.cz, business.center.cz</v>
      </c>
      <c r="B51" s="2368"/>
      <c r="C51" s="2368"/>
      <c r="D51" s="2368"/>
      <c r="E51" s="2368"/>
      <c r="G51" s="570" t="s">
        <v>3861</v>
      </c>
    </row>
    <row r="52" spans="1:5" ht="12.75">
      <c r="A52" s="24"/>
      <c r="B52" s="20"/>
      <c r="C52" s="20"/>
      <c r="D52" s="20"/>
      <c r="E52" s="20"/>
    </row>
    <row r="53" spans="1:5" ht="12.75">
      <c r="A53" s="24"/>
      <c r="B53" s="20"/>
      <c r="C53" s="20"/>
      <c r="D53" s="20"/>
      <c r="E53" s="20"/>
    </row>
    <row r="54" spans="1:5" ht="12.75">
      <c r="A54" s="24"/>
      <c r="B54" s="20"/>
      <c r="C54" s="20"/>
      <c r="D54" s="20"/>
      <c r="E54" s="20"/>
    </row>
    <row r="55" spans="1:5" ht="12.75">
      <c r="A55" s="20"/>
      <c r="B55" s="20"/>
      <c r="C55" s="20"/>
      <c r="D55" s="20"/>
      <c r="E55" s="20"/>
    </row>
    <row r="56" spans="1:5" ht="12.75">
      <c r="A56" s="20"/>
      <c r="B56" s="20"/>
      <c r="C56" s="20"/>
      <c r="D56" s="20"/>
      <c r="E56" s="20"/>
    </row>
    <row r="57" spans="1:5" ht="12.75">
      <c r="A57" s="20"/>
      <c r="B57" s="20"/>
      <c r="C57" s="20"/>
      <c r="D57" s="20"/>
      <c r="E57" s="20"/>
    </row>
    <row r="58" spans="1:5" ht="12.75">
      <c r="A58" s="20"/>
      <c r="B58" s="20"/>
      <c r="C58" s="20"/>
      <c r="D58" s="20"/>
      <c r="E58" s="20"/>
    </row>
    <row r="59" spans="1:5" ht="12.75">
      <c r="A59" s="20"/>
      <c r="B59" s="20"/>
      <c r="C59" s="20"/>
      <c r="D59" s="20"/>
      <c r="E59" s="20"/>
    </row>
    <row r="60" spans="1:5" ht="12.75" hidden="1">
      <c r="A60" s="556" t="s">
        <v>255</v>
      </c>
      <c r="B60" s="20"/>
      <c r="C60" s="20"/>
      <c r="D60" s="20"/>
      <c r="E60" s="20"/>
    </row>
    <row r="61" spans="1:5" ht="12.75">
      <c r="A61" s="20"/>
      <c r="B61" s="20"/>
      <c r="C61" s="20"/>
      <c r="D61" s="20"/>
      <c r="E61" s="20"/>
    </row>
    <row r="62" spans="1:5" ht="12.75">
      <c r="A62" s="20"/>
      <c r="B62" s="20"/>
      <c r="C62" s="20"/>
      <c r="D62" s="20"/>
      <c r="E62" s="20"/>
    </row>
    <row r="63" spans="1:5" ht="12.75">
      <c r="A63" s="20"/>
      <c r="B63" s="20"/>
      <c r="C63" s="20"/>
      <c r="D63" s="20"/>
      <c r="E63" s="20"/>
    </row>
    <row r="64" spans="1:5" ht="12.75">
      <c r="A64" s="20"/>
      <c r="B64" s="20"/>
      <c r="C64" s="20"/>
      <c r="D64" s="20"/>
      <c r="E64" s="20"/>
    </row>
    <row r="65" spans="1:5" ht="12.75">
      <c r="A65" s="20"/>
      <c r="B65" s="20"/>
      <c r="C65" s="20"/>
      <c r="D65" s="20"/>
      <c r="E65" s="20"/>
    </row>
    <row r="66" spans="1:5" ht="12.75">
      <c r="A66" s="20"/>
      <c r="B66" s="20"/>
      <c r="C66" s="20"/>
      <c r="D66" s="20"/>
      <c r="E66" s="20"/>
    </row>
    <row r="67" spans="1:5" ht="12.75">
      <c r="A67" s="20"/>
      <c r="B67" s="20"/>
      <c r="C67" s="20"/>
      <c r="D67" s="20"/>
      <c r="E67" s="20"/>
    </row>
    <row r="68" spans="1:5" ht="12.75">
      <c r="A68" s="20"/>
      <c r="B68" s="20"/>
      <c r="C68" s="20"/>
      <c r="D68" s="20"/>
      <c r="E68" s="20"/>
    </row>
    <row r="69" spans="1:5" ht="12.75">
      <c r="A69" s="20"/>
      <c r="B69" s="20"/>
      <c r="C69" s="20"/>
      <c r="D69" s="20"/>
      <c r="E69" s="20"/>
    </row>
    <row r="70" spans="1:5" ht="12.75">
      <c r="A70" s="20"/>
      <c r="B70" s="20"/>
      <c r="C70" s="20"/>
      <c r="D70" s="20"/>
      <c r="E70" s="20"/>
    </row>
    <row r="71" spans="1:5" ht="12.75">
      <c r="A71" s="20"/>
      <c r="B71" s="20"/>
      <c r="C71" s="20"/>
      <c r="D71" s="20"/>
      <c r="E71" s="20"/>
    </row>
    <row r="72" spans="1:5" ht="12.75">
      <c r="A72" s="20"/>
      <c r="B72" s="20"/>
      <c r="C72" s="20"/>
      <c r="D72" s="20"/>
      <c r="E72" s="20"/>
    </row>
    <row r="73" spans="1:5" ht="12.75">
      <c r="A73" s="20"/>
      <c r="B73" s="20"/>
      <c r="C73" s="20"/>
      <c r="D73" s="20"/>
      <c r="E73" s="20"/>
    </row>
    <row r="74" spans="1:5" ht="12.75">
      <c r="A74" s="20"/>
      <c r="B74" s="20"/>
      <c r="C74" s="20"/>
      <c r="D74" s="20"/>
      <c r="E74" s="20"/>
    </row>
    <row r="75" spans="1:5" ht="12.75">
      <c r="A75" s="20"/>
      <c r="B75" s="20"/>
      <c r="C75" s="20"/>
      <c r="D75" s="20"/>
      <c r="E75" s="20"/>
    </row>
    <row r="76" spans="1:5" ht="12.75">
      <c r="A76" s="20"/>
      <c r="B76" s="20"/>
      <c r="C76" s="20"/>
      <c r="D76" s="20"/>
      <c r="E76" s="20"/>
    </row>
    <row r="77" spans="1:5" ht="12.75">
      <c r="A77" s="20"/>
      <c r="B77" s="20"/>
      <c r="C77" s="20"/>
      <c r="D77" s="20"/>
      <c r="E77" s="20"/>
    </row>
    <row r="78" spans="1:5" ht="12.75">
      <c r="A78" s="20"/>
      <c r="B78" s="20"/>
      <c r="C78" s="20"/>
      <c r="D78" s="20"/>
      <c r="E78" s="20"/>
    </row>
    <row r="79" spans="1:5" ht="12.75">
      <c r="A79" s="20"/>
      <c r="B79" s="20"/>
      <c r="C79" s="20"/>
      <c r="D79" s="20"/>
      <c r="E79" s="20"/>
    </row>
    <row r="80" spans="1:5" ht="12.75">
      <c r="A80" s="20"/>
      <c r="B80" s="20"/>
      <c r="C80" s="20"/>
      <c r="D80" s="20"/>
      <c r="E80" s="20"/>
    </row>
    <row r="81" spans="1:5" ht="12.75">
      <c r="A81" s="20"/>
      <c r="B81" s="20"/>
      <c r="C81" s="20"/>
      <c r="D81" s="20"/>
      <c r="E81" s="20"/>
    </row>
    <row r="82" spans="1:5" ht="12.75">
      <c r="A82" s="20"/>
      <c r="B82" s="20"/>
      <c r="C82" s="20"/>
      <c r="D82" s="20"/>
      <c r="E82" s="20"/>
    </row>
    <row r="83" spans="1:5" ht="12.75">
      <c r="A83" s="20"/>
      <c r="B83" s="20"/>
      <c r="C83" s="20"/>
      <c r="D83" s="20"/>
      <c r="E83" s="20"/>
    </row>
    <row r="84" spans="1:5" ht="12.75">
      <c r="A84" s="20"/>
      <c r="B84" s="20"/>
      <c r="C84" s="20"/>
      <c r="D84" s="20"/>
      <c r="E84" s="20"/>
    </row>
    <row r="85" spans="1:5" ht="12.75">
      <c r="A85" s="20"/>
      <c r="B85" s="20"/>
      <c r="C85" s="20"/>
      <c r="D85" s="20"/>
      <c r="E85" s="20"/>
    </row>
    <row r="86" spans="1:5" ht="12.75">
      <c r="A86" s="20"/>
      <c r="B86" s="20"/>
      <c r="C86" s="20"/>
      <c r="D86" s="20"/>
      <c r="E86" s="20"/>
    </row>
    <row r="87" spans="1:5" ht="12.75">
      <c r="A87" s="20"/>
      <c r="B87" s="20"/>
      <c r="C87" s="20"/>
      <c r="D87" s="20"/>
      <c r="E87" s="20"/>
    </row>
    <row r="88" spans="1:5" ht="12.75">
      <c r="A88" s="20"/>
      <c r="B88" s="20"/>
      <c r="C88" s="20"/>
      <c r="D88" s="20"/>
      <c r="E88" s="20"/>
    </row>
    <row r="89" spans="1:5" ht="12.75">
      <c r="A89" s="20"/>
      <c r="B89" s="20"/>
      <c r="C89" s="20"/>
      <c r="D89" s="20"/>
      <c r="E89" s="20"/>
    </row>
    <row r="90" spans="1:5" ht="12.75">
      <c r="A90" s="20"/>
      <c r="B90" s="20"/>
      <c r="C90" s="20"/>
      <c r="D90" s="20"/>
      <c r="E90" s="20"/>
    </row>
    <row r="91" spans="1:5" ht="12.75">
      <c r="A91" s="20"/>
      <c r="B91" s="20"/>
      <c r="C91" s="20"/>
      <c r="D91" s="20"/>
      <c r="E91" s="20"/>
    </row>
    <row r="92" spans="1:5" ht="12.75">
      <c r="A92" s="20"/>
      <c r="B92" s="20"/>
      <c r="C92" s="20"/>
      <c r="D92" s="20"/>
      <c r="E92" s="20"/>
    </row>
    <row r="93" spans="1:5" ht="12.75">
      <c r="A93" s="20"/>
      <c r="B93" s="20"/>
      <c r="C93" s="20"/>
      <c r="D93" s="20"/>
      <c r="E93" s="20"/>
    </row>
    <row r="94" spans="1:5" ht="12.75">
      <c r="A94" s="20"/>
      <c r="B94" s="20"/>
      <c r="C94" s="20"/>
      <c r="D94" s="20"/>
      <c r="E94" s="20"/>
    </row>
    <row r="95" spans="1:5" ht="12.75">
      <c r="A95" s="20"/>
      <c r="B95" s="20"/>
      <c r="C95" s="20"/>
      <c r="D95" s="20"/>
      <c r="E95" s="20"/>
    </row>
    <row r="96" spans="1:5" ht="12.75">
      <c r="A96" s="20"/>
      <c r="B96" s="20"/>
      <c r="C96" s="20"/>
      <c r="D96" s="20"/>
      <c r="E96" s="20"/>
    </row>
    <row r="97" spans="1:5" ht="12.75">
      <c r="A97" s="20"/>
      <c r="B97" s="20"/>
      <c r="C97" s="20"/>
      <c r="D97" s="20"/>
      <c r="E97" s="20"/>
    </row>
    <row r="98" spans="1:5" ht="12.75">
      <c r="A98" s="20"/>
      <c r="B98" s="20"/>
      <c r="C98" s="20"/>
      <c r="D98" s="20"/>
      <c r="E98" s="20"/>
    </row>
    <row r="99" spans="1:5" ht="12.75">
      <c r="A99" s="20"/>
      <c r="B99" s="20"/>
      <c r="C99" s="20"/>
      <c r="D99" s="20"/>
      <c r="E99" s="20"/>
    </row>
    <row r="100" spans="1:5" ht="12.75" hidden="1">
      <c r="A100" s="20">
        <f>+IF('DAP2'!E10&lt;0.5*'DAP2'!E16,+IF('DAP2'!E10/'DAP2'!E16&gt;0.15,0.5,1),0)</f>
        <v>0.0</v>
      </c>
      <c r="B100" s="20"/>
      <c r="C100" s="20"/>
      <c r="D100" s="20"/>
      <c r="E100" s="20"/>
    </row>
    <row r="101" spans="1:5" ht="12.75">
      <c r="A101" s="20"/>
      <c r="B101" s="20"/>
      <c r="C101" s="20"/>
      <c r="D101" s="20"/>
      <c r="E101" s="20"/>
    </row>
    <row r="102" spans="1:5" ht="12.75">
      <c r="A102" s="20"/>
      <c r="B102" s="20"/>
      <c r="C102" s="20"/>
      <c r="D102" s="20"/>
      <c r="E102" s="20"/>
    </row>
    <row r="103" spans="1:5" ht="12.75">
      <c r="A103" s="20"/>
      <c r="B103" s="20"/>
      <c r="C103" s="20"/>
      <c r="D103" s="20"/>
      <c r="E103" s="20"/>
    </row>
    <row r="104" spans="1:5" ht="12.75">
      <c r="A104" s="20"/>
      <c r="B104" s="20"/>
      <c r="C104" s="20"/>
      <c r="D104" s="20"/>
      <c r="E104" s="20"/>
    </row>
    <row r="105" spans="1:5" ht="12.75">
      <c r="A105" s="20"/>
      <c r="B105" s="20"/>
      <c r="C105" s="20"/>
      <c r="D105" s="20"/>
      <c r="E105" s="20"/>
    </row>
    <row r="106" spans="1:5" ht="12.75">
      <c r="A106" s="20"/>
      <c r="B106" s="20"/>
      <c r="C106" s="20"/>
      <c r="D106" s="20"/>
      <c r="E106" s="20"/>
    </row>
    <row r="107" spans="1:5" ht="12.75">
      <c r="A107" s="20"/>
      <c r="B107" s="20"/>
      <c r="C107" s="20"/>
      <c r="D107" s="20"/>
      <c r="E107" s="20"/>
    </row>
    <row r="108" spans="1:5" ht="12.75">
      <c r="A108" s="20"/>
      <c r="B108" s="20"/>
      <c r="C108" s="20"/>
      <c r="D108" s="20"/>
      <c r="E108" s="20"/>
    </row>
    <row r="109" spans="1:5" ht="12.75">
      <c r="A109" s="20"/>
      <c r="B109" s="20"/>
      <c r="C109" s="20"/>
      <c r="D109" s="20"/>
      <c r="E109" s="20"/>
    </row>
    <row r="110" spans="1:5" ht="12.75">
      <c r="A110" s="20"/>
      <c r="B110" s="20"/>
      <c r="C110" s="20"/>
      <c r="D110" s="20"/>
      <c r="E110" s="20"/>
    </row>
    <row r="111" spans="1:5" ht="12.75">
      <c r="A111" s="20"/>
      <c r="B111" s="20"/>
      <c r="C111" s="20"/>
      <c r="D111" s="20"/>
      <c r="E111" s="20"/>
    </row>
    <row r="112" spans="1:5" ht="12.75">
      <c r="A112" s="20"/>
      <c r="B112" s="20"/>
      <c r="C112" s="20"/>
      <c r="D112" s="20"/>
      <c r="E112" s="20"/>
    </row>
    <row r="113" spans="1:5" ht="12.75">
      <c r="A113" s="20"/>
      <c r="B113" s="20"/>
      <c r="C113" s="20"/>
      <c r="D113" s="20"/>
      <c r="E113" s="20"/>
    </row>
    <row r="114" spans="1:5" ht="12.75">
      <c r="A114" s="20"/>
      <c r="B114" s="20"/>
      <c r="C114" s="20"/>
      <c r="D114" s="20"/>
      <c r="E114" s="20"/>
    </row>
    <row r="115" spans="1:5" ht="12.75">
      <c r="A115" s="20"/>
      <c r="B115" s="20"/>
      <c r="C115" s="20"/>
      <c r="D115" s="20"/>
      <c r="E115" s="20"/>
    </row>
    <row r="116" spans="1:5" ht="12.75">
      <c r="A116" s="20"/>
      <c r="B116" s="20"/>
      <c r="C116" s="20"/>
      <c r="D116" s="20"/>
      <c r="E116" s="20"/>
    </row>
    <row r="117" spans="1:5" ht="12.75">
      <c r="A117" s="20"/>
      <c r="B117" s="20"/>
      <c r="C117" s="20"/>
      <c r="D117" s="20"/>
      <c r="E117" s="20"/>
    </row>
    <row r="118" spans="1:5" ht="12.75">
      <c r="A118" s="20"/>
      <c r="B118" s="20"/>
      <c r="C118" s="20"/>
      <c r="D118" s="20"/>
      <c r="E118" s="20"/>
    </row>
    <row r="119" spans="1:5" ht="12.75">
      <c r="A119" s="20"/>
      <c r="B119" s="20"/>
      <c r="C119" s="20"/>
      <c r="D119" s="20"/>
      <c r="E119" s="20"/>
    </row>
    <row r="120" spans="1:5" ht="12.75">
      <c r="A120" s="20"/>
      <c r="B120" s="20"/>
      <c r="C120" s="20"/>
      <c r="D120" s="20"/>
      <c r="E120" s="20"/>
    </row>
    <row r="121" spans="1:5" ht="12.75">
      <c r="A121" s="20"/>
      <c r="B121" s="20"/>
      <c r="C121" s="20"/>
      <c r="D121" s="20"/>
      <c r="E121" s="20"/>
    </row>
    <row r="122" spans="1:5" ht="12.75">
      <c r="A122" s="20"/>
      <c r="B122" s="20"/>
      <c r="C122" s="20"/>
      <c r="D122" s="20"/>
      <c r="E122" s="20"/>
    </row>
    <row r="123" s="20" customFormat="1" ht="12.75"/>
    <row r="124" s="20" customFormat="1" ht="12.75"/>
    <row r="125" s="20" customFormat="1" ht="12.75"/>
    <row r="126" s="20" customFormat="1" ht="12.75"/>
    <row r="127" s="20" customFormat="1" ht="12.75"/>
    <row r="128" s="20" customFormat="1" ht="12.75"/>
    <row r="129" s="20" customFormat="1" ht="12.75"/>
    <row r="130" s="20" customFormat="1" ht="12.75"/>
    <row r="131" s="20" customFormat="1" ht="12.75"/>
    <row r="132" s="20" customFormat="1" ht="12.75"/>
    <row r="133" s="20" customFormat="1" ht="12.75"/>
    <row r="134" s="20" customFormat="1" ht="12.75"/>
    <row r="135" s="20" customFormat="1" ht="12.75"/>
    <row r="136" s="20" customFormat="1" ht="12.75"/>
    <row r="137" s="20" customFormat="1" ht="12.75"/>
    <row r="138" s="20" customFormat="1" ht="12.75"/>
    <row r="139" s="20" customFormat="1" ht="12.75"/>
    <row r="140" s="20" customFormat="1" ht="12.75"/>
    <row r="141" s="20" customFormat="1" ht="12.75"/>
    <row r="142" s="20" customFormat="1" ht="12.75"/>
    <row r="143" s="20" customFormat="1" ht="12.75"/>
    <row r="144" s="20" customFormat="1" ht="12.75"/>
    <row r="145" s="20" customFormat="1" ht="12.75"/>
    <row r="146" s="20" customFormat="1" ht="12.75"/>
    <row r="147" s="20" customFormat="1" ht="12.75"/>
    <row r="148" s="20" customFormat="1" ht="12.75"/>
    <row r="149" s="20" customFormat="1" ht="12.75"/>
    <row r="150" s="20" customFormat="1" ht="12.75"/>
    <row r="151" s="20" customFormat="1" ht="12.75"/>
    <row r="152" s="20" customFormat="1" ht="12.75"/>
    <row r="153" s="20" customFormat="1" ht="12.75"/>
    <row r="154" s="20" customFormat="1" ht="12.75"/>
    <row r="155" s="20" customFormat="1" ht="12.75"/>
    <row r="156" s="20" customFormat="1" ht="12.75"/>
    <row r="157" s="20" customFormat="1" ht="12.75"/>
    <row r="158" s="20" customFormat="1" ht="12.75"/>
    <row r="159" s="20" customFormat="1" ht="12.75"/>
    <row r="160" s="20" customFormat="1" ht="12.75"/>
    <row r="161" s="20" customFormat="1" ht="12.75"/>
    <row r="162" s="20" customFormat="1" ht="12.75"/>
    <row r="163" s="20" customFormat="1" ht="12.75"/>
    <row r="164" s="20" customFormat="1" ht="12.75"/>
    <row r="165" s="20" customFormat="1" ht="12.75"/>
    <row r="166" s="20" customFormat="1" ht="12.75"/>
    <row r="167" s="20" customFormat="1" ht="12.75"/>
    <row r="168" s="20" customFormat="1" ht="12.75"/>
    <row r="169" s="20" customFormat="1" ht="12.75"/>
    <row r="170" s="20" customFormat="1" ht="12.75"/>
    <row r="171" s="20" customFormat="1" ht="12.75"/>
    <row r="172" s="20" customFormat="1" ht="12.75"/>
    <row r="173" s="20" customFormat="1" ht="12.75"/>
    <row r="174" s="20" customFormat="1" ht="12.75"/>
    <row r="175" s="20" customFormat="1" ht="12.75"/>
    <row r="176" s="20" customFormat="1" ht="12.75"/>
    <row r="177" s="20" customFormat="1" ht="12.75"/>
    <row r="178" s="20" customFormat="1" ht="12.75"/>
    <row r="179" s="20" customFormat="1" ht="12.75"/>
    <row r="180" s="20" customFormat="1" ht="12.75"/>
    <row r="181" s="20" customFormat="1" ht="12.75"/>
    <row r="182" s="20" customFormat="1" ht="12.75"/>
    <row r="183" s="20" customFormat="1" ht="12.75"/>
    <row r="184" s="20" customFormat="1" ht="12.75"/>
  </sheetData>
  <sheetProtection algorithmName="SHA-512" hashValue="Kz+NCKZUKJynsyemrXPspWmHL35T5PUJsNLCok443PqPHyyXApJTSosQISOG82nF4IeAXBn3VsYtZetgr8YyaQ==" saltValue="y0PGSRlkDpfISdZ6az1H+Q==" spinCount="100000" sheet="1" objects="1" scenarios="1" autoFilter="0"/>
  <autoFilter ref="G8:G51"/>
  <mergeCells count="20">
    <mergeCell ref="A50:E50"/>
    <mergeCell ref="A51:E51"/>
    <mergeCell ref="A1:E1"/>
    <mergeCell ref="A2:E2"/>
    <mergeCell ref="C5:E5"/>
    <mergeCell ref="A3:B3"/>
    <mergeCell ref="A4:B4"/>
    <mergeCell ref="A5:B5"/>
    <mergeCell ref="A6:B6"/>
    <mergeCell ref="C3:E3"/>
    <mergeCell ref="C4:E4"/>
    <mergeCell ref="C6:E6"/>
    <mergeCell ref="A7:E7"/>
    <mergeCell ref="A48:E48"/>
    <mergeCell ref="G6:G7"/>
    <mergeCell ref="A49:E49"/>
    <mergeCell ref="A44:E44"/>
    <mergeCell ref="A45:E45"/>
    <mergeCell ref="A46:E46"/>
    <mergeCell ref="A47:E47"/>
  </mergeCells>
  <printOptions horizontalCentered="1"/>
  <pageMargins left="0.3937007874015748" right="0.3937007874015748" top="0.3937007874015748" bottom="0.3937007874015748" header="0.5118110236220472" footer="0.5118110236220472"/>
  <pageSetup orientation="portrait" paperSize="9" scale="91" r:id="rId3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2023-03-09T13:14:56Z</dcterms:modified>
  <cp:category/>
</cp:coreProperties>
</file>