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emf" ContentType="image/x-emf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Default Extension="vml" ContentType="application/vnd.openxmlformats-officedocument.vmlDrawing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comments10.xml" ContentType="application/vnd.openxmlformats-officedocument.spreadsheetml.comment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comments14.xml" ContentType="application/vnd.openxmlformats-officedocument.spreadsheetml.comment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comments20.xml" ContentType="application/vnd.openxmlformats-officedocument.spreadsheetml.comments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omments23.xml" ContentType="application/vnd.openxmlformats-officedocument.spreadsheetml.comments+xml"/>
  <Override PartName="/xl/drawings/drawing2.xml" ContentType="application/vnd.openxmlformats-officedocument.drawing+xml"/>
  <Override PartName="/xl/worksheets/sheet23.xml" ContentType="application/vnd.openxmlformats-officedocument.spreadsheetml.worksheet+xml"/>
  <Override PartName="/xl/comments24.xml" ContentType="application/vnd.openxmlformats-officedocument.spreadsheetml.comments+xml"/>
  <Override PartName="/xl/drawings/drawing3.xml" ContentType="application/vnd.openxmlformats-officedocument.drawing+xml"/>
  <Override PartName="/xl/worksheets/sheet24.xml" ContentType="application/vnd.openxmlformats-officedocument.spreadsheetml.worksheet+xml"/>
  <Override PartName="/xl/drawings/drawing4.xml" ContentType="application/vnd.openxmlformats-officedocument.drawing+xml"/>
  <Override PartName="/xl/worksheets/sheet25.xml" ContentType="application/vnd.openxmlformats-officedocument.spreadsheetml.worksheet+xml"/>
  <Override PartName="/xl/drawings/drawing5.xml" ContentType="application/vnd.openxmlformats-officedocument.drawing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omments28.xml" ContentType="application/vnd.openxmlformats-officedocument.spreadsheetml.comments+xml"/>
  <Override PartName="/xl/drawings/drawing6.xml" ContentType="application/vnd.openxmlformats-officedocument.drawing+xml"/>
  <Override PartName="/xl/worksheets/sheet28.xml" ContentType="application/vnd.openxmlformats-officedocument.spreadsheetml.worksheet+xml"/>
  <Override PartName="/xl/comments29.xml" ContentType="application/vnd.openxmlformats-officedocument.spreadsheetml.comments+xml"/>
  <Override PartName="/xl/drawings/drawing7.xml" ContentType="application/vnd.openxmlformats-officedocument.drawing+xml"/>
  <Override PartName="/xl/worksheets/sheet29.xml" ContentType="application/vnd.openxmlformats-officedocument.spreadsheetml.worksheet+xml"/>
  <Override PartName="/xl/comments30.xml" ContentType="application/vnd.openxmlformats-officedocument.spreadsheetml.comments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-120" yWindow="-120" windowWidth="29040" windowHeight="15840" tabRatio="889" firstSheet="2" activeTab="2"/>
  </bookViews>
  <sheets>
    <sheet name="FU" sheetId="61" state="hidden" r:id="rId3"/>
    <sheet name="XML export" sheetId="62" state="hidden" r:id="rId4"/>
    <sheet name="UVOD" sheetId="82" r:id="rId5"/>
    <sheet name="XML_export" sheetId="83" r:id="rId6"/>
    <sheet name="Moje daně" sheetId="85" r:id="rId7"/>
    <sheet name="ZAKL_DATA" sheetId="57" r:id="rId8"/>
    <sheet name="DAP1" sheetId="1" r:id="rId9"/>
    <sheet name="DAP2" sheetId="30" r:id="rId10"/>
    <sheet name="DAP3" sheetId="31" r:id="rId11"/>
    <sheet name="DAP4" sheetId="32" r:id="rId12"/>
    <sheet name="ZAV" sheetId="27" r:id="rId13"/>
    <sheet name="1Př1" sheetId="33" r:id="rId14"/>
    <sheet name="1Př2" sheetId="34" r:id="rId15"/>
    <sheet name="2Př" sheetId="35" r:id="rId16"/>
    <sheet name="3Př" sheetId="38" r:id="rId17"/>
    <sheet name="4Př" sheetId="77" r:id="rId18"/>
    <sheet name="3Př_a" sheetId="54" r:id="rId19"/>
    <sheet name="6Př" sheetId="53" r:id="rId20"/>
    <sheet name="Př_b" sheetId="55" r:id="rId21"/>
    <sheet name="Příl_děti" sheetId="79" r:id="rId22"/>
    <sheet name="Potvr_ZAM" sheetId="66" r:id="rId23"/>
    <sheet name="Prohl_manž" sheetId="67" r:id="rId24"/>
    <sheet name="SP1" sheetId="73" r:id="rId25"/>
    <sheet name="SP2" sheetId="74" r:id="rId26"/>
    <sheet name="SP_zam" sheetId="68" r:id="rId27"/>
    <sheet name="SP_stud" sheetId="69" r:id="rId28"/>
    <sheet name="SP_prijem" sheetId="70" r:id="rId29"/>
    <sheet name="VZP" sheetId="75" r:id="rId30"/>
    <sheet name="Ostatní ZP" sheetId="76" r:id="rId31"/>
    <sheet name="Zálohy" sheetId="78" r:id="rId32"/>
    <sheet name="Účetní_závěrka" sheetId="64" r:id="rId33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xlnm._FilterDatabase" localSheetId="29" hidden="1">Zálohy!$G$8:$G$51</definedName>
    <definedName name="fin_ur" localSheetId="15">[1]FU!$B$3:$B$17</definedName>
    <definedName name="fin_ur" localSheetId="4">[2]FU!$B$3:$B$17</definedName>
    <definedName name="fin_ur" localSheetId="20">[3]FU!$B$3:$B$17</definedName>
    <definedName name="fin_ur" localSheetId="21">[3]FU!$B$3:$B$17</definedName>
    <definedName name="fin_ur" localSheetId="19">[4]FU!$B$3:$B$17</definedName>
    <definedName name="fin_ur" localSheetId="26">[5]FU!$B$3:$B$17</definedName>
    <definedName name="fin_ur" localSheetId="30">[6]FU!$B$3:$B$17</definedName>
    <definedName name="fin_ur" localSheetId="3">[2]FU!$B$3:$B$17</definedName>
    <definedName name="fin_ur" localSheetId="29">[1]FU!$B$3:$B$17</definedName>
    <definedName name="fin_ur">FU!$B$3:$B$17</definedName>
    <definedName name="_xlnm.Print_Area" localSheetId="11">'1Př1'!$A$1:$K$38</definedName>
    <definedName name="_xlnm.Print_Area" localSheetId="12">'1Př2'!$A$1:$G$50</definedName>
    <definedName name="_xlnm.Print_Area" localSheetId="13">'2Př'!$A$1:$J$40</definedName>
    <definedName name="_xlnm.Print_Area" localSheetId="14">'3Př'!$A$1:$G$34</definedName>
    <definedName name="_xlnm.Print_Area" localSheetId="16">'3Př_a'!$A$1:$G$23</definedName>
    <definedName name="_xlnm.Print_Area" localSheetId="15">'4Př'!$A$1:$G$24</definedName>
    <definedName name="_xlnm.Print_Area" localSheetId="17">'6Př'!$A$1:$F$36</definedName>
    <definedName name="_xlnm.Print_Area" localSheetId="6">'DAP1'!$A$1:$L$48</definedName>
    <definedName name="_xlnm.Print_Area" localSheetId="7">'DAP2'!$A$1:$J$46</definedName>
    <definedName name="_xlnm.Print_Area" localSheetId="8">'DAP3'!$A$1:$K$49</definedName>
    <definedName name="_xlnm.Print_Area" localSheetId="9">'DAP4'!$A$1:$K$62</definedName>
    <definedName name="_xlnm.Print_Area" localSheetId="4">'Moje daně'!$A$1:$B$28</definedName>
    <definedName name="_xlnm.Print_Area" localSheetId="28">'Ostatní ZP'!$A$1:$AR$61</definedName>
    <definedName name="_xlnm.Print_Area" localSheetId="20">Potvr_ZAM!$A$1:$G$54</definedName>
    <definedName name="_xlnm.Print_Area" localSheetId="21">Prohl_manž!$A$1:$E$24</definedName>
    <definedName name="_xlnm.Print_Area" localSheetId="18">Př_b!$A$1:$F$36</definedName>
    <definedName name="_xlnm.Print_Area" localSheetId="19">Příl_děti!$A$1:$K$15</definedName>
    <definedName name="_xlnm.Print_Area" localSheetId="26">SP_prijem!$A$1:$I$53</definedName>
    <definedName name="_xlnm.Print_Area" localSheetId="25">SP_stud!$A$1:$AE$29</definedName>
    <definedName name="_xlnm.Print_Area" localSheetId="24">SP_zam!$A$1:$AE$30</definedName>
    <definedName name="_xlnm.Print_Area" localSheetId="22">'SP1'!$A$1:$AF$69</definedName>
    <definedName name="_xlnm.Print_Area" localSheetId="23">'SP2'!$A$1:$AO$61</definedName>
    <definedName name="_xlnm.Print_Area" localSheetId="30">Účetní_závěrka!$B$1:$L$148</definedName>
    <definedName name="_xlnm.Print_Area" localSheetId="2">UVOD!$A$1:$J$26</definedName>
    <definedName name="_xlnm.Print_Area" localSheetId="27">VZP!$A$1:$AR$61</definedName>
    <definedName name="_xlnm.Print_Area" localSheetId="3">XML_export!$A$1:$B$25</definedName>
    <definedName name="_xlnm.Print_Area" localSheetId="5">ZAKL_DATA!$A$1:$E$42</definedName>
    <definedName name="_xlnm.Print_Area" localSheetId="29">Zálohy!$A$1:$E$51</definedName>
    <definedName name="_xlnm.Print_Area" localSheetId="10">ZAV!$A$2:$C$49</definedName>
    <definedName name="staty" localSheetId="15">[1]FU!$J$3:$J$253</definedName>
    <definedName name="staty" localSheetId="4">[2]FU!$J$3:$J$253</definedName>
    <definedName name="staty" localSheetId="20">[3]FU!$J$3:$J$253</definedName>
    <definedName name="staty" localSheetId="21">[3]FU!$J$3:$J$253</definedName>
    <definedName name="staty" localSheetId="19">[4]FU!$J$3:$J$253</definedName>
    <definedName name="staty" localSheetId="26">[5]FU!$J$3:$J$253</definedName>
    <definedName name="staty" localSheetId="30">[6]FU!$J$3:$J$253</definedName>
    <definedName name="staty" localSheetId="3">[2]FU!$J$3:$J$253</definedName>
    <definedName name="staty" localSheetId="29">[1]FU!$J$3:$J$253</definedName>
    <definedName name="staty">FU!$J$3:$J$253</definedName>
    <definedName name="validation_list">OFFSET('[7]Obory činnosti'!$E$2,,,COUNTIF('[7]Obory činnosti'!$E$2:$E$1750,"?*"))</definedName>
    <definedName name="validation_list2" localSheetId="15">OFFSET([1]FU!$H$3,,,COUNTIF([1]FU!$H$3:$H$204,"?*"))</definedName>
    <definedName name="validation_list2" localSheetId="4">OFFSET('[8]Finanční úřady'!$H$3,,,COUNTIF('[8]Finanční úřady'!$H$3:$H$204,"?*"))</definedName>
    <definedName name="validation_list2" localSheetId="20">OFFSET([3]FU!$H$3,,,COUNTIF([3]FU!$H$3:$H$204,"?*"))</definedName>
    <definedName name="validation_list2" localSheetId="21">OFFSET([3]FU!$H$3,,,COUNTIF([3]FU!$H$3:$H$204,"?*"))</definedName>
    <definedName name="validation_list2" localSheetId="19">OFFSET([4]FU!$H$3,,,COUNTIF([4]FU!$H$3:$H$204,"?*"))</definedName>
    <definedName name="validation_list2" localSheetId="26">OFFSET([5]FU!$H$3,,,COUNTIF([5]FU!$H$3:$H$204,"?*"))</definedName>
    <definedName name="validation_list2" localSheetId="30">OFFSET([6]FU!$H$3,,,COUNTIF([6]FU!$H$3:$H$204,"?*"))</definedName>
    <definedName name="validation_list2" localSheetId="3">OFFSET('[8]Finanční úřady'!$H$3,,,COUNTIF('[8]Finanční úřady'!$H$3:$H$204,"?*"))</definedName>
    <definedName name="validation_list2" localSheetId="29">OFFSET([1]FU!$H$3,,,COUNTIF([1]FU!$H$3:$H$204,"?*"))</definedName>
    <definedName name="validation_list2">OFFSET(FU!$H$3,,,COUNTIF(FU!$H$3:$H$204,"?*"))</definedName>
    <definedName name="vl_cinnosti" localSheetId="15">OFFSET([1]FU!$Q$3,,,COUNTIF([1]FU!$Q$3:$Q$1699,"?*"))</definedName>
    <definedName name="vl_cinnosti" localSheetId="4">OFFSET([2]FU!$Q$3,,,COUNTIF([2]FU!$Q$3:$Q$1699,"?*"))</definedName>
    <definedName name="vl_cinnosti" localSheetId="20">OFFSET([3]FU!$Q$3,,,COUNTIF([3]FU!$Q$3:$Q$1699,"?*"))</definedName>
    <definedName name="vl_cinnosti" localSheetId="21">OFFSET([3]FU!$Q$3,,,COUNTIF([3]FU!$Q$3:$Q$1699,"?*"))</definedName>
    <definedName name="vl_cinnosti" localSheetId="19">OFFSET([4]FU!$Q$3,,,COUNTIF([4]FU!$Q$3:$Q$1699,"?*"))</definedName>
    <definedName name="vl_cinnosti" localSheetId="26">OFFSET([5]FU!$Q$3,,,COUNTIF([5]FU!$Q$3:$Q$1699,"?*"))</definedName>
    <definedName name="vl_cinnosti" localSheetId="30">OFFSET([6]FU!$Q$3,,,COUNTIF([6]FU!$Q$3:$Q$1699,"?*"))</definedName>
    <definedName name="vl_cinnosti" localSheetId="3">OFFSET([2]FU!$Q$3,,,COUNTIF([2]FU!$Q$3:$Q$1699,"?*"))</definedName>
    <definedName name="vl_cinnosti" localSheetId="29">OFFSET([1]FU!$Q$3,,,COUNTIF([1]FU!$Q$3:$Q$1699,"?*"))</definedName>
    <definedName name="vl_cinnosti">OFFSET(FU!$Q$3,,,COUNTIF(FU!$Q$3:$Q$1699,"?*"))</definedName>
    <definedName name="vl_cinnosti2" localSheetId="15">OFFSET([1]FU!$Q$3,,,COUNTIF([1]FU!$T$3:$T$992,"?*"))</definedName>
    <definedName name="vl_cinnosti2" localSheetId="4">OFFSET([9]FU!$Q$3,,,COUNTIF([9]FU!$T$3:$T$992,"?*"))</definedName>
    <definedName name="vl_cinnosti2" localSheetId="20">OFFSET([3]FU!$Q$3,,,COUNTIF([3]FU!$T$3:$T$992,"?*"))</definedName>
    <definedName name="vl_cinnosti2" localSheetId="21">OFFSET([3]FU!$Q$3,,,COUNTIF([3]FU!$T$3:$T$992,"?*"))</definedName>
    <definedName name="vl_cinnosti2" localSheetId="19">OFFSET([4]FU!$Q$3,,,COUNTIF([4]FU!$T$3:$T$992,"?*"))</definedName>
    <definedName name="vl_cinnosti2" localSheetId="26">OFFSET([5]FU!$Q$3,,,COUNTIF([5]FU!$T$3:$T$992,"?*"))</definedName>
    <definedName name="vl_cinnosti2" localSheetId="3">OFFSET([9]FU!$Q$3,,,COUNTIF([9]FU!$T$3:$T$992,"?*"))</definedName>
    <definedName name="vl_cinnosti2" localSheetId="29">OFFSET([1]FU!$Q$3,,,COUNTIF([1]FU!$T$3:$T$992,"?*"))</definedName>
    <definedName name="vl_cinnosti2">OFFSET(FU!$Q$3,,,COUNTIF(FU!$T$3:$T$992,"?*"))</definedName>
    <definedName name="vl_cinnosti3" localSheetId="15">OFFSET([1]FU!$Q$3,,,COUNTIF([1]FU!$W$3:$W$992,"?*"))</definedName>
    <definedName name="vl_cinnosti3" localSheetId="4">OFFSET([9]FU!$Q$3,,,COUNTIF([9]FU!$W$3:$W$992,"?*"))</definedName>
    <definedName name="vl_cinnosti3" localSheetId="20">OFFSET([3]FU!$Q$3,,,COUNTIF([3]FU!$W$3:$W$992,"?*"))</definedName>
    <definedName name="vl_cinnosti3" localSheetId="21">OFFSET([3]FU!$Q$3,,,COUNTIF([3]FU!$W$3:$W$992,"?*"))</definedName>
    <definedName name="vl_cinnosti3" localSheetId="19">OFFSET([4]FU!$Q$3,,,COUNTIF([4]FU!$W$3:$W$992,"?*"))</definedName>
    <definedName name="vl_cinnosti3" localSheetId="26">OFFSET([5]FU!$Q$3,,,COUNTIF([5]FU!$W$3:$W$992,"?*"))</definedName>
    <definedName name="vl_cinnosti3" localSheetId="3">OFFSET([9]FU!$Q$3,,,COUNTIF([9]FU!$W$3:$W$992,"?*"))</definedName>
    <definedName name="vl_cinnosti3" localSheetId="29">OFFSET([1]FU!$Q$3,,,COUNTIF([1]FU!$W$3:$W$992,"?*"))</definedName>
    <definedName name="vl_cinnosti3">OFFSET(FU!$Q$3,,,COUNTIF(FU!$W$3:$W$992,"?*"))</definedName>
    <definedName name="vl_cinnosti4" localSheetId="15">OFFSET([1]FU!$Q$3,,,COUNTIF([1]FU!$Z$3:$Z$992,"?*"))</definedName>
    <definedName name="vl_cinnosti4" localSheetId="4">OFFSET([9]FU!$Q$3,,,COUNTIF([9]FU!$Z$3:$Z$992,"?*"))</definedName>
    <definedName name="vl_cinnosti4" localSheetId="20">OFFSET([3]FU!$Q$3,,,COUNTIF([3]FU!$Z$3:$Z$992,"?*"))</definedName>
    <definedName name="vl_cinnosti4" localSheetId="21">OFFSET([3]FU!$Q$3,,,COUNTIF([3]FU!$Z$3:$Z$992,"?*"))</definedName>
    <definedName name="vl_cinnosti4" localSheetId="19">OFFSET([4]FU!$Q$3,,,COUNTIF([4]FU!$Z$3:$Z$992,"?*"))</definedName>
    <definedName name="vl_cinnosti4" localSheetId="26">OFFSET([5]FU!$Q$3,,,COUNTIF([5]FU!$Z$3:$Z$992,"?*"))</definedName>
    <definedName name="vl_cinnosti4" localSheetId="3">OFFSET([9]FU!$Q$3,,,COUNTIF([9]FU!$Z$3:$Z$992,"?*"))</definedName>
    <definedName name="vl_cinnosti4" localSheetId="29">OFFSET([1]FU!$Q$3,,,COUNTIF([1]FU!$Z$3:$Z$992,"?*"))</definedName>
    <definedName name="vl_cinnosti4">OFFSET(FU!$Q$3,,,COUNTIF(FU!$Z$3:$Z$992,"?*"))</definedName>
    <definedName name="VL_Obec">OFFSET([10]FU!$T$3,,,COUNTIF([10]FU!$T$3:$T$6255,"?*"))</definedName>
  </definedNames>
  <calcPr calcId="181029"/>
</workbook>
</file>

<file path=xl/calcChain.xml><?xml version="1.0" encoding="utf-8"?>
<calcChain xmlns="http://schemas.openxmlformats.org/spreadsheetml/2006/main">
  <c r="G2" i="61" l="1"/>
</calcChain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30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402879BC-A506-40D1-B671-2C98E217D906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účetnictví, řádky 101 a 102 nevyplňujte a začněte řádkem 104, kam vepište hospodářský výsledek před zdaněním zjištěný z účetnictví.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Tuto položku vyplní pouze poplatníci účtující v soustavě podvojného účetnictví.</t>
        </r>
        <r>
          <rPr>
            <b/>
            <sz val="8"/>
            <rFont val="Tahoma"/>
            <family val="2"/>
            <charset val="-18"/>
          </rPr>
          <t xml:space="preserve">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 xml:space="preserve">Mgr. Martin Štěpán: </t>
        </r>
        <r>
          <rPr>
            <sz val="9"/>
            <rFont val="Tahoma"/>
            <family val="2"/>
            <charset val="-18"/>
          </rPr>
          <t xml:space="preserve">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12465CE8-3171-4CEB-8BDA-B643EA45438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A18" authorId="0" shapeId="0" xr:uid="{BF495C5F-B1AB-4305-B47B-3A96A2DA2442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G28" authorId="0" shapeId="0" xr:uid="{D0ADBD8D-5A52-4332-8472-9B18E58AADC5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P46" authorId="0" shapeId="0" xr:uid="{BEE55A93-C08E-4996-8264-26E881C3EC47}">
      <text>
        <r>
          <rPr>
            <b/>
            <sz val="8"/>
            <rFont val="Tahoma"/>
            <family val="2"/>
            <charset val="-18"/>
          </rPr>
          <t>Mgr. Martin Štěpán:</t>
        </r>
        <r>
          <rPr>
            <sz val="8"/>
            <rFont val="Tahoma"/>
            <family val="2"/>
            <charset val="-18"/>
          </rPr>
          <t xml:space="preserve">
Pokud jste vykonávali činnost OSVČ v některých měsících jako vedlejší a Váš daňový základ (ř. 20) nedosáhl rozhodné částky (pro rok 2022 = 93.387,-),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H50" authorId="0" shapeId="0" xr:uid="{F2FAA479-FB9E-4027-8144-895D137522B8}">
      <text>
        <r>
          <rPr>
            <b/>
            <sz val="8"/>
            <rFont val="Tahoma"/>
            <family val="2"/>
            <charset val="-18"/>
          </rPr>
          <t xml:space="preserve">Mgr. Martin Štěpán:
</t>
        </r>
        <r>
          <rPr>
            <sz val="8"/>
            <rFont val="Tahoma"/>
            <family val="2"/>
            <charset val="-18"/>
          </rPr>
          <t>Pokud jste vykonávali činnost OSVČ v některých měsících jako vedlejší a Váš daňový základ (ř. 20) nedosáhl rozhodné částky (pro rok 2022 = 93.387,-), nemusíte být v těchto měsících sociálně pojištěni. 
Pokud NECHCETE být v těchto měsících sociálně pojištěni, uveďte do této buňky 0.
Pokud CHCETE být v těchto měsících sociálně pojištěni, ponechte v této buňce stávající vzorec a zaškrtněte položku ANO v oddílu F. na další straně nahoře.</t>
        </r>
      </text>
    </comment>
    <comment ref="AK67" authorId="0" shapeId="0" xr:uid="{E0E025E9-3F4F-46BC-897D-40E9D27EF95A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9" authorId="0" shapeId="0" xr:uid="{5EEDC883-ECA3-4F13-AC18-6244DDC95878}">
      <text>
        <r>
          <rPr>
            <b/>
            <sz val="9"/>
            <rFont val="Tahoma"/>
            <family val="2"/>
            <charset val="-18"/>
          </rPr>
          <t xml:space="preserve">Mgr. Martin Štěpán:
</t>
        </r>
        <r>
          <rPr>
            <sz val="9"/>
            <rFont val="Tahoma"/>
            <family val="2"/>
            <charset val="-18"/>
          </rPr>
          <t xml:space="preserve">Pokud vykonáváte činnost OSVČ jako vedlejší a Váš příjem nedosáhl rozhodné částky ( pro rok 2022 = 93.387,- Kč ), nemusíte být sociálně pojištěni. Pokud nechcete být sociálně pojištěni, uveďte do tohoto řádku 0.
</t>
        </r>
      </text>
    </comment>
    <comment ref="AH9" authorId="0" shapeId="0" xr:uid="{5A74EA1D-67C3-4458-9CBA-2B288D4D660E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Nechcete-li si platit v roce 2023 nemocenské pojištění OSVČ, vepište částku 0,- Kč.</t>
        </r>
      </text>
    </comment>
    <comment ref="AN13" authorId="0" shapeId="0" xr:uid="{CFDC405C-0B1E-4DE7-858C-17F02A0D48E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K28" authorId="0" shapeId="0" xr:uid="{983106BD-3352-45C0-8C82-414F8737E79C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8C4A3B3F-FFA7-4BC0-8006-308EDD97BE98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C14E8976-8133-4C32-9DBC-FA36D78E7FD5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FE9F09A9-4E42-44AE-96B5-DAD80D26A3BF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366ED0DC-F34F-4EE8-9824-02A106C8E87D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5" authorId="0" shapeId="0" xr:uid="{C48D94A8-748C-4F33-9075-825B374C0EB4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A28" authorId="0" shapeId="0" xr:uid="{9AE02906-DEA5-4336-B0E5-0293E4BE5D4D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>Do "zaškrtávacích" buněk vpisujte velké písmeno X.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G8" authorId="0" shapeId="0" xr:uid="{013E6163-14FB-4881-94A8-CEDE1A198D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Vyfiltrováním řádků s textem "ANO" dojde k vytištění pouze řádků s nenulovými hodnotami a řádků označných pouze velkým písmenem.
Vyfiltrování se provede tak, že kliknete na šipku/trychtýř v této buňce a následně vyberete pouze položku "ANO"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511D82E3-04F2-481D-94EA-A17C293D9FAB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2AB1121D-EF59-4C00-9092-D79D2633E15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5" authorId="1" shapeId="0" xr:uid="{99BAC3DC-33B3-4ACD-B791-A50259F3C266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59A56090-758D-47CF-B84C-CCE8D93723DB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2022 lze uplatnit max. 16.200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47E495CA-5B59-4B3B-961C-3050371DBFA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2022 v hodnotě 16.200,- Kč.</t>
        </r>
      </text>
    </comment>
  </commentList>
</comments>
</file>

<file path=xl/sharedStrings.xml><?xml version="1.0" encoding="utf-8"?>
<sst xmlns="http://schemas.openxmlformats.org/spreadsheetml/2006/main" count="7865" uniqueCount="4015">
  <si>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</si>
  <si>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</si>
  <si>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</si>
  <si>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</si>
  <si>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</si>
  <si>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</si>
  <si>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</si>
  <si>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</si>
  <si>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</si>
  <si>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</si>
  <si>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</si>
  <si>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</si>
  <si>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</si>
  <si>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</si>
  <si>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</si>
  <si>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</si>
  <si>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</si>
  <si>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</si>
  <si>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</si>
  <si>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</si>
  <si>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</si>
  <si>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</si>
  <si>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</si>
  <si>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</si>
  <si>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</si>
  <si>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</si>
  <si>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</si>
  <si>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</si>
  <si>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</si>
  <si>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</si>
  <si>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</si>
  <si>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Telefon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</si>
  <si>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</si>
  <si>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</si>
  <si>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</si>
  <si>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</si>
  <si>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</si>
  <si>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</si>
  <si>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</si>
  <si>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</si>
  <si>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</si>
  <si>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</si>
  <si>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Číslo domu</t>
  </si>
  <si>
    <t>PSČ</t>
  </si>
  <si>
    <t>Datum vyplnění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</si>
  <si>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</si>
  <si>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</si>
  <si>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</si>
  <si>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</si>
  <si>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</si>
  <si>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</si>
  <si>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</si>
  <si>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příjmů, příjmy ze závislé činosti uveďte v souladu s § 6 odst. 14 zákona</t>
    </r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</si>
  <si>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</si>
  <si>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</si>
  <si>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</si>
  <si>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</si>
  <si>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</si>
  <si>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</si>
  <si>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</si>
  <si>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</si>
  <si>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</si>
  <si>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</si>
  <si>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</si>
  <si>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Typ přehledu</t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</si>
  <si>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</si>
  <si>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</si>
  <si>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</si>
  <si>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</si>
  <si>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</si>
  <si>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</si>
  <si>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</si>
  <si>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</si>
  <si>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</si>
  <si>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</si>
  <si>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</si>
  <si>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</si>
  <si>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</si>
  <si>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</si>
  <si>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</si>
  <si>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</si>
  <si>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</si>
  <si>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</si>
  <si>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</si>
  <si>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</si>
  <si>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</si>
  <si>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</si>
  <si>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</si>
  <si>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</si>
  <si>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r>
      <t>05 DAP zpracoval a předkládá daňový poradce na základě plné moci k zastupování, která byla uplatněna u správce daně před uplynutím neprodloužené lhůty</t>
    </r>
    <r>
      <rPr>
        <vertAlign val="superscript"/>
        <sz val="8"/>
        <rFont val="Arial CE"/>
        <family val="2"/>
        <charset val="-18"/>
      </rPr>
      <t>1)</t>
    </r>
  </si>
  <si>
    <t>Zaplacená daňová povinnost (záloha) podle § 38gb odst. 2 zákona</t>
  </si>
  <si>
    <t>Formulář bude zpracován elektronicky. Vyplňujte jej, prosím, předepsaným typem písma Courier New Bold 11. Zaškrtávací pole označte křížkem.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</si>
  <si>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</si>
  <si>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</si>
  <si>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</si>
  <si>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</si>
  <si>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</si>
  <si>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</si>
  <si>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</si>
  <si>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</si>
  <si>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</si>
  <si>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</si>
  <si>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</si>
  <si>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</si>
  <si>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</si>
  <si>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</si>
  <si>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</si>
  <si>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</si>
  <si>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</si>
  <si>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</si>
  <si>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</si>
  <si>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</si>
  <si>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</si>
  <si>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</si>
  <si>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</si>
  <si>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</si>
  <si>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Titul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</si>
  <si>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</si>
  <si>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</si>
  <si>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</si>
  <si>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</si>
  <si>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1. Identifikace pojištěnce</t>
  </si>
  <si>
    <t>Řádek 14</t>
  </si>
  <si>
    <t>Hlavní SVČ jsem vykonával/a v měsících</t>
  </si>
  <si>
    <t>Vedlejší SVČ jsem vykonával/a v měsících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</si>
  <si>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</si>
  <si>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</si>
  <si>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</si>
  <si>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</si>
  <si>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</si>
  <si>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</si>
  <si>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</si>
  <si>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</si>
  <si>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</si>
  <si>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</si>
  <si>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</si>
  <si>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</si>
  <si>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</si>
  <si>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</si>
  <si>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</si>
  <si>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</si>
  <si>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</si>
  <si>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</si>
  <si>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</si>
  <si>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</si>
  <si>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</si>
  <si>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</si>
  <si>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</si>
  <si>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</si>
  <si>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</si>
  <si>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</si>
  <si>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</si>
  <si>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</si>
  <si>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</si>
  <si>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</si>
  <si>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</si>
  <si>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</si>
  <si>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</si>
  <si>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Rodné číslo OSVČ</t>
  </si>
  <si>
    <t>Finančnímu úřadu pro / Specializovanému finančnímu úřadu</t>
  </si>
  <si>
    <t>Územnímu pracovišti v, ve, pro,</t>
  </si>
  <si>
    <t>1. Příjmení</t>
  </si>
  <si>
    <t>2. Jméno</t>
  </si>
  <si>
    <t>3. Titul</t>
  </si>
  <si>
    <t>jen hlavní</t>
  </si>
  <si>
    <t>jen vedlejší</t>
  </si>
  <si>
    <t>hlavní i vedlejší</t>
  </si>
  <si>
    <t>-</t>
  </si>
  <si>
    <t>hlavní</t>
  </si>
  <si>
    <t>vedlejší</t>
  </si>
  <si>
    <t>strana 1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</si>
  <si>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</si>
  <si>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</si>
  <si>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</si>
  <si>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</si>
  <si>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</si>
  <si>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</si>
  <si>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</si>
  <si>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</si>
  <si>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</si>
  <si>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</si>
  <si>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</si>
  <si>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</si>
  <si>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</si>
  <si>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</si>
  <si>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</si>
  <si>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</si>
  <si>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Řádek 43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</si>
  <si>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</si>
  <si>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</si>
  <si>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</si>
  <si>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</si>
  <si>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</si>
  <si>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</si>
  <si>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</si>
  <si>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</si>
  <si>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</si>
  <si>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</si>
  <si>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</si>
  <si>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</si>
  <si>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</si>
  <si>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</si>
  <si>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</si>
  <si>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</si>
  <si>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</si>
  <si>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</si>
  <si>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</si>
  <si>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</si>
  <si>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</si>
  <si>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</si>
  <si>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</si>
  <si>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</si>
  <si>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</si>
  <si>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</si>
  <si>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t xml:space="preserve">PSČ </t>
  </si>
  <si>
    <t>E-mail</t>
  </si>
  <si>
    <t>2. Prohlášení pojištěnce</t>
  </si>
  <si>
    <t>a) zaměstnání</t>
  </si>
  <si>
    <t>b) nemoc OSVČ</t>
  </si>
  <si>
    <t>c)</t>
  </si>
  <si>
    <t>d)</t>
  </si>
  <si>
    <t>e)</t>
  </si>
  <si>
    <t>f)</t>
  </si>
  <si>
    <t>Rodné číslo 1. dítěte</t>
  </si>
  <si>
    <t>Rodné číslo 2. dítěte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</si>
  <si>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</si>
  <si>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</si>
  <si>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</si>
  <si>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</si>
  <si>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</si>
  <si>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Kód banky</t>
  </si>
  <si>
    <t>specifický symbol</t>
  </si>
  <si>
    <t>Počet měsíců</t>
  </si>
  <si>
    <t>Dílčí základ daně z kapitálového majetku podle § 8 zákona</t>
  </si>
  <si>
    <t>a)</t>
  </si>
  <si>
    <t>b)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</si>
  <si>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</si>
  <si>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</si>
  <si>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</si>
  <si>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t>1-12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</si>
  <si>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</si>
  <si>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</si>
  <si>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</si>
  <si>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</si>
  <si>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podle § 15 zákona č. 589/1992 Sb., ve znění pozdějších předpisů</t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</si>
  <si>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</si>
  <si>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</si>
  <si>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</si>
  <si>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</si>
  <si>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Datum zjištění nové výše vyměřovacího základu ze SVČ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</si>
  <si>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</si>
  <si>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</si>
  <si>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</si>
  <si>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</si>
  <si>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</si>
  <si>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</si>
  <si>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</si>
  <si>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</si>
  <si>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</si>
  <si>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</si>
  <si>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</si>
  <si>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</si>
  <si>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</si>
  <si>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</si>
  <si>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</si>
  <si>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</si>
  <si>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</si>
  <si>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Předčíslí účtu</t>
  </si>
  <si>
    <t>Číslo účtu</t>
  </si>
  <si>
    <t>/</t>
  </si>
  <si>
    <t>Specifický symbol</t>
  </si>
  <si>
    <t>Ulice</t>
  </si>
  <si>
    <t>Obec</t>
  </si>
  <si>
    <t>Stát</t>
  </si>
  <si>
    <t>Odst. 3 a 4 zákona (odečet úroků)</t>
  </si>
  <si>
    <t>Datum narození</t>
  </si>
  <si>
    <t>Počet příloh</t>
  </si>
  <si>
    <t>Podpis (a razítko) OSVČ</t>
  </si>
  <si>
    <t>Podpis a razítko OSSZ</t>
  </si>
  <si>
    <t>strana 2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</si>
  <si>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</si>
  <si>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</si>
  <si>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</si>
  <si>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</si>
  <si>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</si>
  <si>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</si>
  <si>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</si>
  <si>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</si>
  <si>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</si>
  <si>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</si>
  <si>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</si>
  <si>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</si>
  <si>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</si>
  <si>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</si>
  <si>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</si>
  <si>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</si>
  <si>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</si>
  <si>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</si>
  <si>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</si>
  <si>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</si>
  <si>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</si>
  <si>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</si>
  <si>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</si>
  <si>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t>Variabilní symbol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</si>
  <si>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</si>
  <si>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</si>
  <si>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</si>
  <si>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</si>
  <si>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</si>
  <si>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A. Základní identifikace</t>
  </si>
  <si>
    <t>Datum přijetí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</si>
  <si>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</si>
  <si>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</si>
  <si>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</si>
  <si>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</si>
  <si>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</si>
  <si>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</si>
  <si>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</si>
  <si>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</si>
  <si>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</si>
  <si>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</si>
  <si>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</si>
  <si>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</si>
  <si>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</si>
  <si>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</si>
  <si>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</si>
  <si>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</si>
  <si>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 xml:space="preserve">Přeplatek (část přeplatku) ve výši </t>
  </si>
  <si>
    <t>Důvod předložení opravného přehledu</t>
  </si>
  <si>
    <t>řádný</t>
  </si>
  <si>
    <t>opravný</t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</si>
  <si>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</si>
  <si>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</si>
  <si>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</si>
  <si>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</si>
  <si>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</si>
  <si>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</si>
  <si>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</si>
  <si>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</si>
  <si>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</si>
  <si>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</si>
  <si>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</si>
  <si>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</si>
  <si>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</si>
  <si>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4. Pojistné OSVČ</t>
  </si>
  <si>
    <t>Řádek 4</t>
  </si>
  <si>
    <t>Počet měsíců, ve kterých pro OSVČ platil minimální vyměřovací základ</t>
  </si>
  <si>
    <t>Řádek 6</t>
  </si>
  <si>
    <t>Řádek 9</t>
  </si>
  <si>
    <t>Řádek 16</t>
  </si>
  <si>
    <t>Řádek 41</t>
  </si>
  <si>
    <t xml:space="preserve">Přeplatek </t>
  </si>
  <si>
    <t>Řádek 51</t>
  </si>
  <si>
    <t>c) 0 Kč</t>
  </si>
  <si>
    <t>Podpis pojištěnce</t>
  </si>
  <si>
    <t>Vyplněno dne</t>
  </si>
  <si>
    <t>VZP - kód 111</t>
  </si>
  <si>
    <t>Přehled</t>
  </si>
  <si>
    <t>OSVČ</t>
  </si>
  <si>
    <t xml:space="preserve">za rok </t>
  </si>
  <si>
    <t>Datum</t>
  </si>
  <si>
    <t>Podpis a razítko zaměstnavatele</t>
  </si>
  <si>
    <t>Podpis a razítko školy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</si>
  <si>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</si>
  <si>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</si>
  <si>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</si>
  <si>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</si>
  <si>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</si>
  <si>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</si>
  <si>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</si>
  <si>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</si>
  <si>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</si>
  <si>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</si>
  <si>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</si>
  <si>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</si>
  <si>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</si>
  <si>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</si>
  <si>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</si>
  <si>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</si>
  <si>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</si>
  <si>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</si>
  <si>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</si>
  <si>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</si>
  <si>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</si>
  <si>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</si>
  <si>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</si>
  <si>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</si>
  <si>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</si>
  <si>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</si>
  <si>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</si>
  <si>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</si>
  <si>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</si>
  <si>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</si>
  <si>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</si>
  <si>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</si>
  <si>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</si>
  <si>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</si>
  <si>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</si>
  <si>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</si>
  <si>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</si>
  <si>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</si>
  <si>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</si>
  <si>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</si>
  <si>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</si>
  <si>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</si>
  <si>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</si>
  <si>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</si>
  <si>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</si>
  <si>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</si>
  <si>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</si>
  <si>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</si>
  <si>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</si>
  <si>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</si>
  <si>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</si>
  <si>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</si>
  <si>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</si>
  <si>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</si>
  <si>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</si>
  <si>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</si>
  <si>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</si>
  <si>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</si>
  <si>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</si>
  <si>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</si>
  <si>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</si>
  <si>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</si>
  <si>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</si>
  <si>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</si>
  <si>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</si>
  <si>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</si>
  <si>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</si>
  <si>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</si>
  <si>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</si>
  <si>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</si>
  <si>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</si>
  <si>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</si>
  <si>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</si>
  <si>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</si>
  <si>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</si>
  <si>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</si>
  <si>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</si>
  <si>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</si>
  <si>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</si>
  <si>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</si>
  <si>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</si>
  <si>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</si>
  <si>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</si>
  <si>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</si>
  <si>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</si>
  <si>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</si>
  <si>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</si>
  <si>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</si>
  <si>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</si>
  <si>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</si>
  <si>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</si>
  <si>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</si>
  <si>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</si>
  <si>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</si>
  <si>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</si>
  <si>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</si>
  <si>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</si>
  <si>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</si>
  <si>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</si>
  <si>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</si>
  <si>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</si>
  <si>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</si>
  <si>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</si>
  <si>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</si>
  <si>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</si>
  <si>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</si>
  <si>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</si>
  <si>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</si>
  <si>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</si>
  <si>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</si>
  <si>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</si>
  <si>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</si>
  <si>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</si>
  <si>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</si>
  <si>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</si>
  <si>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</si>
  <si>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</si>
  <si>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</si>
  <si>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</si>
  <si>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</si>
  <si>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</si>
  <si>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</si>
  <si>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</si>
  <si>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</si>
  <si>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</si>
  <si>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</si>
  <si>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</si>
  <si>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</si>
  <si>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</si>
  <si>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</si>
  <si>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</si>
  <si>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</si>
  <si>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</si>
  <si>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</si>
  <si>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</si>
  <si>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</si>
  <si>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</si>
  <si>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</si>
  <si>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</si>
  <si>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</si>
  <si>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</si>
  <si>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</si>
  <si>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</si>
  <si>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</si>
  <si>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</si>
  <si>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</si>
  <si>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</si>
  <si>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</si>
  <si>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</si>
  <si>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</si>
  <si>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</si>
  <si>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</si>
  <si>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</si>
  <si>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</si>
  <si>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</si>
  <si>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</si>
  <si>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</si>
  <si>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</si>
  <si>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</si>
  <si>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</si>
  <si>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</si>
  <si>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</si>
  <si>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</si>
  <si>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</si>
  <si>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</si>
  <si>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</si>
  <si>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</si>
  <si>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</si>
  <si>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</si>
  <si>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</si>
  <si>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</si>
  <si>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</si>
  <si>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</si>
  <si>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</si>
  <si>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</si>
  <si>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</si>
  <si>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</si>
  <si>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</si>
  <si>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</si>
  <si>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</si>
  <si>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</si>
  <si>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</si>
  <si>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</si>
  <si>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</si>
  <si>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</si>
  <si>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</si>
  <si>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</si>
  <si>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</si>
  <si>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</si>
  <si>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</si>
  <si>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</si>
  <si>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</si>
  <si>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</si>
  <si>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</si>
  <si>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</si>
  <si>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</si>
  <si>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</si>
  <si>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</si>
  <si>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</si>
  <si>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</si>
  <si>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</si>
  <si>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</si>
  <si>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</si>
  <si>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</si>
  <si>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</si>
  <si>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</si>
  <si>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</si>
  <si>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</si>
  <si>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</si>
  <si>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</si>
  <si>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</si>
  <si>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</si>
  <si>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</si>
  <si>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</si>
  <si>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</si>
  <si>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</si>
  <si>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</si>
  <si>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</si>
  <si>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</si>
  <si>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</si>
  <si>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</si>
  <si>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</si>
  <si>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</si>
  <si>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</si>
  <si>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</si>
  <si>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</si>
  <si>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</si>
  <si>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</si>
  <si>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</si>
  <si>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</si>
  <si>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</si>
  <si>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</si>
  <si>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</si>
  <si>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</si>
  <si>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</si>
  <si>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</si>
  <si>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</si>
  <si>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</si>
  <si>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</si>
  <si>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</si>
  <si>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</si>
  <si>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</si>
  <si>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</si>
  <si>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</si>
  <si>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</si>
  <si>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</si>
  <si>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</si>
  <si>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</si>
  <si>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</si>
  <si>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</si>
  <si>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</si>
  <si>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</si>
  <si>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</si>
  <si>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</si>
  <si>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</si>
  <si>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</si>
  <si>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</si>
  <si>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</si>
  <si>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</si>
  <si>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</si>
  <si>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</si>
  <si>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</si>
  <si>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</si>
  <si>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</si>
  <si>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</si>
  <si>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</si>
  <si>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</si>
  <si>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</si>
  <si>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</si>
  <si>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</si>
  <si>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</si>
  <si>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</si>
  <si>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</si>
  <si>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</si>
  <si>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</si>
  <si>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</si>
  <si>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</si>
  <si>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</si>
  <si>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</si>
  <si>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</si>
  <si>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</si>
  <si>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</si>
  <si>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</si>
  <si>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</si>
  <si>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</si>
  <si>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</si>
  <si>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</si>
  <si>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</si>
  <si>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</si>
  <si>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</si>
  <si>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</si>
  <si>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</si>
  <si>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</si>
  <si>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</si>
  <si>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</si>
  <si>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</si>
  <si>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</si>
  <si>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</si>
  <si>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</si>
  <si>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</si>
  <si>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</si>
  <si>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</si>
  <si>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</si>
  <si>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</si>
  <si>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</si>
  <si>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</si>
  <si>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</si>
  <si>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</si>
  <si>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</si>
  <si>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</si>
  <si>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</si>
  <si>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</si>
  <si>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</si>
  <si>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</si>
  <si>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</si>
  <si>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</si>
  <si>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</si>
  <si>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</si>
  <si>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</si>
  <si>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</si>
  <si>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</si>
  <si>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</si>
  <si>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</si>
  <si>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</si>
  <si>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</si>
  <si>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</si>
  <si>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</si>
  <si>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</si>
  <si>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</si>
  <si>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</si>
  <si>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</si>
  <si>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</si>
  <si>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</si>
  <si>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</si>
  <si>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</si>
  <si>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</si>
  <si>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</si>
  <si>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</si>
  <si>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</si>
  <si>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</si>
  <si>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</si>
  <si>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</si>
  <si>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</si>
  <si>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</si>
  <si>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</si>
  <si>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</si>
  <si>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</si>
  <si>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</si>
  <si>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</si>
  <si>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</si>
  <si>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</si>
  <si>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</si>
  <si>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</si>
  <si>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</si>
  <si>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</si>
  <si>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</si>
  <si>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</si>
  <si>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</si>
  <si>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</si>
  <si>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</si>
  <si>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</si>
  <si>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</si>
  <si>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</si>
  <si>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</si>
  <si>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</si>
  <si>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</si>
  <si>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</si>
  <si>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</si>
  <si>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</si>
  <si>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</si>
  <si>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</si>
  <si>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</si>
  <si>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</si>
  <si>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</si>
  <si>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</si>
  <si>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</si>
  <si>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</si>
  <si>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</si>
  <si>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</si>
  <si>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</si>
  <si>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</si>
  <si>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</si>
  <si>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</si>
  <si>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</si>
  <si>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</si>
  <si>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</si>
  <si>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</si>
  <si>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</si>
  <si>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</si>
  <si>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</si>
  <si>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</si>
  <si>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</si>
  <si>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</si>
  <si>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</si>
  <si>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</si>
  <si>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</si>
  <si>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</si>
  <si>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</si>
  <si>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</si>
  <si>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</si>
  <si>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</si>
  <si>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</si>
  <si>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</si>
  <si>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</si>
  <si>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</si>
  <si>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</si>
  <si>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</si>
  <si>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</si>
  <si>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</si>
  <si>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</si>
  <si>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</si>
  <si>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</si>
  <si>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</si>
  <si>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</si>
  <si>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</si>
  <si>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</si>
  <si>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</si>
  <si>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</si>
  <si>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</si>
  <si>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</si>
  <si>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</si>
  <si>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</si>
  <si>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</si>
  <si>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</si>
  <si>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</si>
  <si>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</si>
  <si>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</si>
  <si>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</si>
  <si>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</si>
  <si>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</si>
  <si>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</si>
  <si>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</si>
  <si>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</si>
  <si>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</si>
  <si>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</si>
  <si>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</si>
  <si>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</si>
  <si>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</si>
  <si>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</si>
  <si>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</si>
  <si>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</si>
  <si>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</si>
  <si>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</si>
  <si>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</si>
  <si>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</si>
  <si>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</si>
  <si>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</si>
  <si>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</si>
  <si>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</si>
  <si>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</si>
  <si>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</si>
  <si>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</si>
  <si>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</si>
  <si>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</si>
  <si>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</si>
  <si>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</si>
  <si>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</si>
  <si>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</si>
  <si>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</si>
  <si>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</si>
  <si>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</si>
  <si>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</si>
  <si>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</si>
  <si>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</si>
  <si>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</si>
  <si>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</si>
  <si>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</si>
  <si>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</si>
  <si>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</si>
  <si>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</si>
  <si>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</si>
  <si>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</si>
  <si>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</si>
  <si>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</si>
  <si>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</si>
  <si>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</si>
  <si>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</si>
  <si>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</si>
  <si>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</si>
  <si>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</si>
  <si>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</si>
  <si>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</si>
  <si>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</si>
  <si>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</si>
  <si>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</si>
  <si>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</si>
  <si>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</si>
  <si>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</si>
  <si>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</si>
  <si>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</si>
  <si>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</si>
  <si>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</si>
  <si>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</si>
  <si>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</si>
  <si>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</si>
  <si>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</si>
  <si>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</si>
  <si>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</si>
  <si>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</si>
  <si>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</si>
  <si>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</si>
  <si>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</si>
  <si>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</si>
  <si>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</si>
  <si>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</si>
  <si>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</si>
  <si>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</si>
  <si>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</si>
  <si>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</si>
  <si>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</si>
  <si>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</si>
  <si>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</si>
  <si>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</si>
  <si>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</si>
  <si>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</si>
  <si>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</si>
  <si>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</si>
  <si>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</si>
  <si>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</si>
  <si>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</si>
  <si>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</si>
  <si>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</si>
  <si>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</si>
  <si>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</si>
  <si>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</si>
  <si>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</si>
  <si>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</si>
  <si>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</si>
  <si>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</si>
  <si>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</si>
  <si>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</si>
  <si>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</si>
  <si>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</si>
  <si>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</si>
  <si>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</si>
  <si>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</si>
  <si>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</si>
  <si>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</si>
  <si>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</si>
  <si>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</si>
  <si>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</si>
  <si>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</si>
  <si>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</si>
  <si>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</si>
  <si>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</si>
  <si>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</si>
  <si>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</si>
  <si>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</si>
  <si>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</si>
  <si>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</si>
  <si>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</si>
  <si>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</si>
  <si>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</si>
  <si>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</si>
  <si>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</si>
  <si>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</si>
  <si>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</si>
  <si>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</si>
  <si>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</si>
  <si>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</si>
  <si>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</si>
  <si>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</si>
  <si>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</si>
  <si>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</si>
  <si>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</si>
  <si>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</si>
  <si>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</si>
  <si>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</si>
  <si>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</si>
  <si>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</si>
  <si>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</si>
  <si>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</si>
  <si>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</si>
  <si>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</si>
  <si>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</si>
  <si>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</si>
  <si>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</si>
  <si>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</si>
  <si>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</si>
  <si>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</si>
  <si>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</si>
  <si>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</si>
  <si>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</si>
  <si>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</si>
  <si>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</si>
  <si>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</si>
  <si>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</si>
  <si>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</si>
  <si>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</si>
  <si>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</si>
  <si>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</si>
  <si>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</si>
  <si>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</si>
  <si>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</si>
  <si>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</si>
  <si>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</si>
  <si>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</si>
  <si>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</si>
  <si>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</si>
  <si>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</si>
  <si>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</si>
  <si>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</si>
  <si>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</si>
  <si>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</si>
  <si>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</si>
  <si>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</si>
  <si>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</si>
  <si>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</si>
  <si>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</si>
  <si>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</si>
  <si>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</si>
  <si>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</si>
  <si>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</si>
  <si>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</si>
  <si>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</si>
  <si>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</si>
  <si>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</si>
  <si>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</si>
  <si>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</si>
  <si>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</si>
  <si>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</si>
  <si>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</si>
  <si>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</si>
  <si>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</si>
  <si>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</si>
  <si>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</si>
  <si>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</si>
  <si>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</si>
  <si>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</si>
  <si>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</si>
  <si>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</si>
  <si>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</si>
  <si>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</si>
  <si>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</si>
  <si>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</si>
  <si>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</si>
  <si>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</si>
  <si>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</si>
  <si>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</si>
  <si>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</si>
  <si>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</si>
  <si>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</si>
  <si>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</si>
  <si>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</si>
  <si>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</si>
  <si>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</si>
  <si>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</si>
  <si>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</si>
  <si>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</si>
  <si>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</si>
  <si>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</si>
  <si>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</si>
  <si>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</si>
  <si>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</si>
  <si>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</si>
  <si>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</si>
  <si>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</si>
  <si>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</si>
  <si>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</si>
  <si>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</si>
  <si>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</si>
  <si>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</si>
  <si>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</si>
  <si>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</si>
  <si>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</si>
  <si>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</si>
  <si>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</si>
  <si>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</si>
  <si>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</si>
  <si>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</si>
  <si>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</si>
  <si>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</si>
  <si>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</si>
  <si>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</si>
  <si>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</si>
  <si>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</si>
  <si>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</si>
  <si>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</si>
  <si>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</si>
  <si>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</si>
  <si>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</si>
  <si>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</si>
  <si>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</si>
  <si>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</si>
  <si>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</si>
  <si>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</si>
  <si>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</si>
  <si>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</si>
  <si>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</si>
  <si>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</si>
  <si>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</si>
  <si>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</si>
  <si>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</si>
  <si>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</si>
  <si>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</si>
  <si>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</si>
  <si>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</si>
  <si>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</si>
  <si>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</si>
  <si>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</si>
  <si>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</si>
  <si>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</si>
  <si>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</si>
  <si>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</si>
  <si>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</si>
  <si>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</si>
  <si>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</si>
  <si>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</si>
  <si>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</si>
  <si>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</si>
  <si>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</si>
  <si>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</si>
  <si>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</si>
  <si>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</si>
  <si>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</si>
  <si>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</si>
  <si>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</si>
  <si>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</si>
  <si>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</si>
  <si>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</si>
  <si>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</si>
  <si>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</si>
  <si>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</si>
  <si>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</si>
  <si>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</si>
  <si>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</si>
  <si>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</si>
  <si>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</si>
  <si>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</si>
  <si>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</si>
  <si>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</si>
  <si>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</si>
  <si>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</si>
  <si>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</si>
  <si>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</si>
  <si>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</si>
  <si>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</si>
  <si>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</si>
  <si>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</si>
  <si>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</si>
  <si>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</si>
  <si>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</si>
  <si>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</si>
  <si>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</si>
  <si>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</si>
  <si>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</si>
  <si>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</si>
  <si>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</si>
  <si>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</si>
  <si>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</si>
  <si>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</si>
  <si>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</si>
  <si>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</si>
  <si>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</si>
  <si>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</si>
  <si>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</si>
  <si>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</si>
  <si>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</si>
  <si>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</si>
  <si>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</si>
  <si>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</si>
  <si>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</si>
  <si>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</si>
  <si>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</si>
  <si>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</si>
  <si>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</si>
  <si>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</si>
  <si>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</si>
  <si>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</si>
  <si>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</si>
  <si>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</si>
  <si>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</si>
  <si>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</si>
  <si>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</si>
  <si>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</si>
  <si>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</si>
  <si>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</si>
  <si>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</si>
  <si>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</si>
  <si>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</si>
  <si>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</si>
  <si>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</si>
  <si>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</si>
  <si>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</si>
  <si>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</si>
  <si>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</si>
  <si>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</si>
  <si>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</si>
  <si>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</si>
  <si>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</si>
  <si>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</si>
  <si>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</si>
  <si>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</si>
  <si>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</si>
  <si>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</si>
  <si>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</si>
  <si>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</si>
  <si>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</si>
  <si>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</si>
  <si>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</si>
  <si>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</si>
  <si>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</si>
  <si>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</si>
  <si>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</si>
  <si>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</si>
  <si>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</si>
  <si>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</si>
  <si>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</si>
  <si>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</si>
  <si>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</si>
  <si>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</si>
  <si>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</si>
  <si>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</si>
  <si>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</si>
  <si>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</si>
  <si>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</si>
  <si>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</si>
  <si>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</si>
  <si>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</si>
  <si>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</si>
  <si>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</si>
  <si>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</si>
  <si>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</si>
  <si>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</si>
  <si>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</si>
  <si>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</si>
  <si>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</si>
  <si>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</si>
  <si>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</si>
  <si>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</si>
  <si>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</si>
  <si>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</si>
  <si>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</si>
  <si>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</si>
  <si>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</si>
  <si>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</si>
  <si>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</si>
  <si>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</si>
  <si>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</si>
  <si>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</si>
  <si>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</si>
  <si>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</si>
  <si>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</si>
  <si>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</si>
  <si>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</si>
  <si>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</si>
  <si>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</si>
  <si>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</si>
  <si>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</si>
  <si>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</si>
  <si>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</si>
  <si>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</si>
  <si>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</si>
  <si>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</si>
  <si>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</si>
  <si>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</si>
  <si>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</si>
  <si>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</si>
  <si>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</si>
  <si>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</si>
  <si>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</si>
  <si>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</si>
  <si>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</si>
  <si>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</si>
  <si>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</si>
  <si>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</si>
  <si>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</si>
  <si>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</si>
  <si>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</si>
  <si>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</si>
  <si>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</si>
  <si>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</si>
  <si>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</si>
  <si>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</si>
  <si>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</si>
  <si>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</si>
  <si>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</si>
  <si>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</si>
  <si>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</si>
  <si>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</si>
  <si>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</si>
  <si>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</si>
  <si>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</si>
  <si>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</si>
  <si>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</si>
  <si>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</si>
  <si>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</si>
  <si>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</si>
  <si>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</si>
  <si>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</si>
  <si>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</si>
  <si>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</si>
  <si>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</si>
  <si>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</si>
  <si>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</si>
  <si>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</si>
  <si>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</si>
  <si>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</si>
  <si>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</si>
  <si>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</si>
  <si>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</si>
  <si>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</si>
  <si>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</si>
  <si>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</si>
  <si>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</si>
  <si>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</si>
  <si>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</si>
  <si>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</si>
  <si>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</si>
  <si>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</si>
  <si>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</si>
  <si>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</si>
  <si>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</si>
  <si>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</si>
  <si>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</si>
  <si>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</si>
  <si>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</si>
  <si>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</si>
  <si>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</si>
  <si>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</si>
  <si>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</si>
  <si>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</si>
  <si>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</si>
  <si>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</si>
  <si>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</si>
  <si>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</si>
  <si>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</si>
  <si>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</si>
  <si>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</si>
  <si>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</si>
  <si>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</si>
  <si>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</si>
  <si>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</si>
  <si>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</si>
  <si>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</si>
  <si>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</si>
  <si>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</si>
  <si>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</si>
  <si>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</si>
  <si>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</si>
  <si>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</si>
  <si>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</si>
  <si>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</si>
  <si>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</si>
  <si>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</si>
  <si>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</si>
  <si>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</si>
  <si>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</si>
  <si>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</si>
  <si>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</si>
  <si>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</si>
  <si>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</si>
  <si>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</si>
  <si>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</si>
  <si>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</si>
  <si>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</si>
  <si>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</si>
  <si>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</si>
  <si>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</si>
  <si>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</si>
  <si>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</si>
  <si>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</si>
  <si>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</si>
  <si>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</si>
  <si>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</si>
  <si>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</si>
  <si>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</si>
  <si>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</si>
  <si>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</si>
  <si>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</si>
  <si>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</si>
  <si>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</si>
  <si>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</si>
  <si>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</si>
  <si>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</si>
  <si>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</si>
  <si>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</si>
  <si>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</si>
  <si>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</si>
  <si>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</si>
  <si>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</si>
  <si>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</si>
  <si>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</si>
  <si>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</si>
  <si>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</si>
  <si>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</si>
  <si>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</si>
  <si>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</si>
  <si>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</si>
  <si>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</si>
  <si>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</si>
  <si>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</si>
  <si>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</si>
  <si>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</si>
  <si>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</si>
  <si>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</si>
  <si>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</si>
  <si>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</si>
  <si>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</si>
  <si>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</si>
  <si>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</si>
  <si>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</si>
  <si>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</si>
  <si>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</si>
  <si>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</si>
  <si>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</si>
  <si>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</si>
  <si>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</si>
  <si>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</si>
  <si>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</si>
  <si>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</si>
  <si>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</si>
  <si>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</si>
  <si>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</si>
  <si>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</si>
  <si>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</si>
  <si>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</si>
  <si>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</si>
  <si>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</si>
  <si>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</si>
  <si>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</si>
  <si>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</si>
  <si>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</si>
  <si>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</si>
  <si>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</si>
  <si>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</si>
  <si>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</si>
  <si>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</si>
  <si>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</si>
  <si>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</si>
  <si>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</si>
  <si>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</si>
  <si>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</si>
  <si>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</si>
  <si>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</si>
  <si>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</si>
  <si>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</si>
  <si>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</si>
  <si>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</si>
  <si>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</si>
  <si>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</si>
  <si>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</si>
  <si>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</si>
  <si>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</si>
  <si>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</si>
  <si>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</si>
  <si>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</si>
  <si>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</si>
  <si>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</si>
  <si>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</si>
  <si>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</si>
  <si>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</si>
  <si>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</si>
  <si>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</si>
  <si>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</si>
  <si>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</si>
  <si>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</si>
  <si>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</si>
  <si>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</si>
  <si>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</si>
  <si>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</si>
  <si>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</si>
  <si>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</si>
  <si>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</si>
  <si>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</si>
  <si>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</si>
  <si>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</si>
  <si>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</si>
  <si>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</si>
  <si>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</si>
  <si>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</si>
  <si>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</si>
  <si>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</si>
  <si>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</si>
  <si>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</si>
  <si>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</si>
  <si>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</si>
  <si>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</si>
  <si>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</si>
  <si>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</si>
  <si>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</si>
  <si>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</si>
  <si>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</si>
  <si>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</si>
  <si>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</si>
  <si>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</si>
  <si>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</si>
  <si>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</si>
  <si>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</si>
  <si>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</si>
  <si>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</si>
  <si>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</si>
  <si>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</si>
  <si>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</si>
  <si>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</si>
  <si>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</si>
  <si>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</si>
  <si>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</si>
  <si>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</si>
  <si>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</si>
  <si>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</si>
  <si>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</si>
  <si>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</si>
  <si>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</si>
  <si>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</si>
  <si>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</si>
  <si>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</si>
  <si>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</si>
  <si>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</si>
  <si>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</si>
  <si>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</si>
  <si>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</si>
  <si>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</si>
  <si>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</si>
  <si>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</si>
  <si>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</si>
  <si>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</si>
  <si>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</si>
  <si>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</si>
  <si>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</si>
  <si>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</si>
  <si>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</si>
  <si>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</si>
  <si>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</si>
  <si>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</si>
  <si>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</si>
  <si>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</si>
  <si>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</si>
  <si>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</si>
  <si>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</si>
  <si>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</si>
  <si>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</si>
  <si>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</si>
  <si>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</si>
  <si>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</si>
  <si>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</si>
  <si>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</si>
  <si>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</si>
  <si>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</si>
  <si>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</si>
  <si>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</si>
  <si>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</si>
  <si>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</si>
  <si>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</si>
  <si>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</si>
  <si>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</si>
  <si>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</si>
  <si>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</si>
  <si>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</si>
  <si>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</si>
  <si>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</si>
  <si>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</si>
  <si>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</si>
  <si>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</si>
  <si>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</si>
  <si>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</si>
  <si>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</si>
  <si>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</si>
  <si>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</si>
  <si>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</si>
  <si>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</si>
  <si>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</si>
  <si>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</si>
  <si>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</si>
  <si>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</si>
  <si>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</si>
  <si>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</si>
  <si>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</si>
  <si>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</si>
  <si>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</si>
  <si>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</si>
  <si>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</si>
  <si>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</si>
  <si>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</si>
  <si>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</si>
  <si>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</si>
  <si>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</si>
  <si>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</si>
  <si>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</si>
  <si>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</si>
  <si>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</si>
  <si>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</si>
  <si>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</si>
  <si>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</si>
  <si>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</si>
  <si>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</si>
  <si>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</si>
  <si>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</si>
  <si>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</si>
  <si>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</si>
  <si>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</si>
  <si>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</si>
  <si>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</si>
  <si>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</si>
  <si>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</si>
  <si>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</si>
  <si>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</si>
  <si>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</si>
  <si>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</si>
  <si>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</si>
  <si>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</si>
  <si>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</si>
  <si>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</si>
  <si>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</si>
  <si>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</si>
  <si>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</si>
  <si>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</si>
  <si>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</si>
  <si>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</si>
  <si>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</si>
  <si>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</si>
  <si>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</si>
  <si>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</si>
  <si>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</si>
  <si>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</si>
  <si>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</si>
  <si>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</si>
  <si>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</si>
  <si>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</si>
  <si>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</si>
  <si>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</si>
  <si>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</si>
  <si>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</si>
  <si>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</si>
  <si>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</si>
  <si>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</si>
  <si>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</si>
  <si>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</si>
  <si>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</si>
  <si>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</si>
  <si>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</si>
  <si>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</si>
  <si>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</si>
  <si>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</si>
  <si>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</si>
  <si>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</si>
  <si>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</si>
  <si>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</si>
  <si>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</si>
  <si>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</si>
  <si>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</si>
  <si>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</si>
  <si>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</si>
  <si>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</si>
  <si>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</si>
  <si>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</si>
  <si>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</si>
  <si>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</si>
  <si>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</si>
  <si>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</si>
  <si>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</si>
  <si>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</si>
  <si>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</si>
  <si>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</si>
  <si>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</si>
  <si>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</si>
  <si>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</si>
  <si>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</si>
  <si>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</si>
  <si>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</si>
  <si>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</si>
  <si>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</si>
  <si>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</si>
  <si>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</si>
  <si>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</si>
  <si>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</si>
  <si>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</si>
  <si>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</si>
  <si>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</si>
  <si>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</si>
  <si>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</si>
  <si>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</si>
  <si>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</si>
  <si>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</si>
  <si>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</si>
  <si>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</si>
  <si>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</si>
  <si>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</si>
  <si>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</si>
  <si>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</si>
  <si>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</si>
  <si>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</si>
  <si>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</si>
  <si>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</si>
  <si>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</si>
  <si>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</si>
  <si>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</si>
  <si>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</si>
  <si>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</si>
  <si>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</si>
  <si>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</si>
  <si>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</si>
  <si>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</si>
  <si>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</si>
  <si>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</si>
  <si>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</si>
  <si>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</si>
  <si>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</si>
  <si>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</si>
  <si>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</si>
  <si>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</si>
  <si>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</si>
  <si>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</si>
  <si>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</si>
  <si>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</si>
  <si>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</si>
  <si>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</si>
  <si>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</si>
  <si>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</si>
  <si>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</si>
  <si>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</si>
  <si>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</si>
  <si>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</si>
  <si>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</si>
  <si>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</si>
  <si>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</si>
  <si>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</si>
  <si>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</si>
  <si>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</si>
  <si>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</si>
  <si>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</si>
  <si>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</si>
  <si>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</si>
  <si>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</si>
  <si>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</si>
  <si>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</si>
  <si>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</si>
  <si>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</si>
  <si>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</si>
  <si>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</si>
  <si>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</si>
  <si>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</si>
  <si>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</si>
  <si>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</si>
  <si>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</si>
  <si>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</si>
  <si>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</si>
  <si>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</si>
  <si>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</si>
  <si>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</si>
  <si>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</si>
  <si>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</si>
  <si>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</si>
  <si>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</si>
  <si>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</si>
  <si>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</si>
  <si>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</si>
  <si>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</si>
  <si>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</si>
  <si>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</si>
  <si>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</si>
  <si>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</si>
  <si>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</si>
  <si>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</si>
  <si>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</si>
  <si>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</si>
  <si>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</si>
  <si>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</si>
  <si>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</si>
  <si>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</si>
  <si>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</si>
  <si>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</si>
  <si>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</si>
  <si>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</si>
  <si>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</si>
  <si>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</si>
  <si>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</si>
  <si>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</si>
  <si>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</si>
  <si>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</si>
  <si>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</si>
  <si>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</si>
  <si>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</si>
  <si>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</si>
  <si>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</si>
  <si>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</si>
  <si>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</si>
  <si>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</si>
  <si>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</si>
  <si>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</si>
  <si>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</si>
  <si>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</si>
  <si>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</si>
  <si>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</si>
  <si>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</si>
  <si>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</si>
  <si>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</si>
  <si>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</si>
  <si>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</si>
  <si>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</si>
  <si>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</si>
  <si>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</si>
  <si>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</si>
  <si>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</si>
  <si>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</si>
  <si>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</si>
  <si>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</si>
  <si>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</si>
  <si>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</si>
  <si>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</si>
  <si>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</si>
  <si>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</si>
  <si>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</si>
  <si>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</si>
  <si>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</si>
  <si>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</si>
  <si>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</si>
  <si>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</si>
  <si>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</si>
  <si>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</si>
  <si>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</si>
  <si>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</si>
  <si>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</si>
  <si>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</si>
  <si>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</si>
  <si>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</si>
  <si>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</si>
  <si>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</si>
  <si>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</si>
  <si>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</si>
  <si>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</si>
  <si>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</si>
  <si>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</si>
  <si>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</si>
  <si>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</si>
  <si>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</si>
  <si>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</si>
  <si>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</si>
  <si>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</si>
  <si>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</si>
  <si>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</si>
  <si>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</si>
  <si>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</si>
  <si>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</si>
  <si>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</si>
  <si>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</si>
  <si>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</si>
  <si>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</si>
  <si>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</si>
  <si>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</si>
  <si>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</si>
  <si>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</si>
  <si>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</si>
  <si>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</si>
  <si>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</si>
  <si>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</si>
  <si>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</si>
  <si>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</si>
  <si>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</si>
  <si>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</si>
  <si>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</si>
  <si>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</si>
  <si>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</si>
  <si>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</si>
  <si>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</si>
  <si>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</si>
  <si>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</si>
  <si>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</si>
  <si>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</si>
  <si>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</si>
  <si>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</si>
  <si>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</si>
  <si>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</si>
  <si>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</si>
  <si>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</si>
  <si>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</si>
  <si>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</si>
  <si>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</si>
  <si>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</si>
  <si>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</si>
  <si>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</si>
  <si>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</si>
  <si>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</si>
  <si>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</si>
  <si>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</si>
  <si>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</si>
  <si>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</si>
  <si>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</si>
  <si>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</si>
  <si>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</si>
  <si>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</si>
  <si>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</si>
  <si>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</si>
  <si>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</si>
  <si>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</si>
  <si>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</si>
  <si>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</si>
  <si>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</si>
  <si>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</si>
  <si>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</si>
  <si>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</si>
  <si>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</si>
  <si>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</si>
  <si>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</si>
  <si>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</si>
  <si>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</si>
  <si>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</si>
  <si>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</si>
  <si>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</si>
  <si>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</si>
  <si>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</si>
  <si>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</si>
  <si>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</si>
  <si>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</si>
  <si>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</si>
  <si>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</si>
  <si>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</si>
  <si>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</si>
  <si>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</si>
  <si>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</si>
  <si>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</si>
  <si>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</si>
  <si>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</si>
  <si>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</si>
  <si>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</si>
  <si>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</si>
  <si>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</si>
  <si>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</si>
  <si>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</si>
  <si>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</si>
  <si>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</si>
  <si>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</si>
  <si>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</si>
  <si>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</si>
  <si>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</si>
  <si>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</si>
  <si>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</si>
  <si>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</si>
  <si>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</si>
  <si>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</si>
  <si>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</si>
  <si>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</si>
  <si>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</si>
  <si>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</si>
  <si>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</si>
  <si>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</si>
  <si>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</si>
  <si>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</si>
  <si>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</si>
  <si>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</si>
  <si>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</si>
  <si>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</si>
  <si>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</si>
  <si>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</si>
  <si>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</si>
  <si>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</si>
  <si>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</si>
  <si>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</si>
  <si>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</si>
  <si>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</si>
  <si>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</si>
  <si>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</si>
  <si>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</si>
  <si>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</si>
  <si>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</si>
  <si>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</si>
  <si>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</si>
  <si>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</si>
  <si>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</si>
  <si>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</si>
  <si>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</si>
  <si>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</si>
  <si>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</si>
  <si>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</si>
  <si>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</si>
  <si>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</si>
  <si>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</si>
  <si>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</si>
  <si>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</si>
  <si>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</si>
  <si>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</si>
  <si>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</si>
  <si>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</si>
  <si>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</si>
  <si>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</si>
  <si>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</si>
  <si>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</si>
  <si>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</si>
  <si>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</si>
  <si>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</si>
  <si>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</si>
  <si>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</si>
  <si>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</si>
  <si>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</si>
  <si>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</si>
  <si>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</si>
  <si>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</si>
  <si>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</si>
  <si>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</si>
  <si>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</si>
  <si>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</si>
  <si>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</si>
  <si>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</si>
  <si>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</si>
  <si>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</si>
  <si>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</si>
  <si>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</si>
  <si>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</si>
  <si>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</si>
  <si>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</si>
  <si>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</si>
  <si>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</si>
  <si>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</si>
  <si>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</si>
  <si>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</si>
  <si>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</si>
  <si>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</si>
  <si>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</si>
  <si>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</si>
  <si>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</si>
  <si>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</si>
  <si>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</si>
  <si>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</si>
  <si>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</si>
  <si>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</si>
  <si>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</si>
  <si>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</si>
  <si>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</si>
  <si>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</si>
  <si>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</si>
  <si>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</si>
  <si>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</si>
  <si>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</si>
  <si>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</si>
  <si>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</si>
  <si>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</si>
  <si>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</si>
  <si>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</si>
  <si>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</si>
  <si>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</si>
  <si>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</si>
  <si>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</si>
  <si>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</si>
  <si>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</si>
  <si>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</si>
  <si>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</si>
  <si>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</si>
  <si>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</si>
  <si>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</si>
  <si>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</si>
  <si>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</si>
  <si>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</si>
  <si>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</si>
  <si>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</si>
  <si>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</si>
  <si>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</si>
  <si>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</si>
  <si>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</si>
  <si>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</si>
  <si>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</si>
  <si>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</si>
  <si>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</si>
  <si>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</si>
  <si>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</si>
  <si>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</si>
  <si>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</si>
  <si>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</si>
  <si>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</si>
  <si>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</si>
  <si>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</si>
  <si>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</si>
  <si>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</si>
  <si>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</si>
  <si>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</si>
  <si>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</si>
  <si>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</si>
  <si>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</si>
  <si>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</si>
  <si>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</si>
  <si>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</si>
  <si>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</si>
  <si>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</si>
  <si>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</si>
  <si>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</si>
  <si>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</si>
  <si>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</si>
  <si>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</si>
  <si>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</si>
  <si>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</si>
  <si>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</si>
  <si>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</si>
  <si>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</si>
  <si>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</si>
  <si>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</si>
  <si>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</si>
  <si>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</si>
  <si>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</si>
  <si>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</si>
  <si>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</si>
  <si>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</si>
  <si>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</si>
  <si>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</si>
  <si>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</si>
  <si>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</si>
  <si>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</si>
  <si>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</si>
  <si>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</si>
  <si>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</si>
  <si>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</si>
  <si>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</si>
  <si>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</si>
  <si>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</si>
  <si>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</si>
  <si>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</si>
  <si>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</si>
  <si>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</si>
  <si>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</si>
  <si>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</si>
  <si>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</si>
  <si>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</si>
  <si>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</si>
  <si>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</si>
  <si>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</si>
  <si>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</si>
  <si>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</si>
  <si>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</si>
  <si>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</si>
  <si>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</si>
  <si>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</si>
  <si>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</si>
  <si>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</si>
  <si>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</si>
  <si>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</si>
  <si>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</si>
  <si>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</si>
  <si>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</si>
  <si>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</si>
  <si>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</si>
  <si>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</si>
  <si>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</si>
  <si>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</si>
  <si>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</si>
  <si>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</si>
  <si>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</si>
  <si>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</si>
  <si>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</si>
  <si>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</si>
  <si>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</si>
  <si>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</si>
  <si>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</si>
  <si>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</si>
  <si>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</si>
  <si>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</si>
  <si>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</si>
  <si>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</si>
  <si>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</si>
  <si>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</si>
  <si>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</si>
  <si>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</si>
  <si>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</si>
  <si>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</si>
  <si>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</si>
  <si>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</si>
  <si>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</si>
  <si>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</si>
  <si>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</si>
  <si>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</si>
  <si>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</si>
  <si>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</si>
  <si>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</si>
  <si>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</si>
  <si>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</si>
  <si>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</si>
  <si>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</si>
  <si>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</si>
  <si>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</si>
  <si>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</si>
  <si>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</si>
  <si>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</si>
  <si>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</si>
  <si>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</si>
  <si>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</si>
  <si>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</si>
  <si>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</si>
  <si>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</si>
  <si>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</si>
  <si>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</si>
  <si>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</si>
  <si>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</si>
  <si>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</si>
  <si>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</si>
  <si>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</si>
  <si>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</si>
  <si>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</si>
  <si>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</si>
  <si>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</si>
  <si>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</si>
  <si>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</si>
  <si>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</si>
  <si>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</si>
  <si>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</si>
  <si>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</si>
  <si>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</si>
  <si>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</si>
  <si>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</si>
  <si>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</si>
  <si>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</si>
  <si>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</si>
  <si>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</si>
  <si>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</si>
  <si>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</si>
  <si>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</si>
  <si>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</si>
  <si>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</si>
  <si>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</si>
  <si>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</si>
  <si>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</si>
  <si>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</si>
  <si>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</si>
  <si>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</si>
  <si>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</si>
  <si>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</si>
  <si>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</si>
  <si>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</si>
  <si>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</si>
  <si>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</si>
  <si>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</si>
  <si>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</si>
  <si>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</si>
  <si>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</si>
  <si>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</si>
  <si>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</si>
  <si>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</si>
  <si>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</si>
  <si>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</si>
  <si>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</si>
  <si>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</si>
  <si>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</si>
  <si>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</si>
  <si>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</si>
  <si>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</si>
  <si>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</si>
  <si>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</si>
  <si>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</si>
  <si>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</si>
  <si>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</si>
  <si>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</si>
  <si>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</si>
  <si>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</si>
  <si>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</si>
  <si>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</si>
  <si>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</si>
  <si>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</si>
  <si>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</si>
  <si>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</si>
  <si>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</si>
  <si>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</si>
  <si>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</si>
  <si>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</si>
  <si>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</si>
  <si>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</si>
  <si>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</si>
  <si>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</si>
  <si>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</si>
  <si>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</si>
  <si>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</si>
  <si>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</si>
  <si>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</si>
  <si>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</si>
  <si>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</si>
  <si>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</si>
  <si>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</si>
  <si>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</si>
  <si>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</si>
  <si>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</si>
  <si>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</si>
  <si>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</si>
  <si>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</si>
  <si>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</si>
  <si>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</si>
  <si>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</si>
  <si>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</si>
  <si>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</si>
  <si>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</si>
  <si>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</si>
  <si>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</si>
  <si>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</si>
  <si>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</si>
  <si>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</si>
  <si>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</si>
  <si>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</si>
  <si>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</si>
  <si>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</si>
  <si>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</si>
  <si>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</si>
  <si>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</si>
  <si>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</si>
  <si>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</si>
  <si>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</si>
  <si>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</si>
  <si>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</si>
  <si>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</si>
  <si>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</si>
  <si>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</si>
  <si>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</si>
  <si>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</si>
  <si>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</si>
  <si>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</si>
  <si>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</si>
  <si>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</si>
  <si>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</si>
  <si>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</si>
  <si>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</si>
  <si>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</si>
  <si>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</si>
  <si>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</si>
  <si>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</si>
  <si>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</si>
  <si>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</si>
  <si>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</si>
  <si>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</si>
  <si>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</si>
  <si>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</si>
  <si>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</si>
  <si>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</si>
  <si>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</si>
  <si>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</si>
  <si>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</si>
  <si>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</si>
  <si>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</si>
  <si>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</si>
  <si>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</si>
  <si>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</si>
  <si>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</si>
  <si>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</si>
  <si>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</si>
  <si>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</si>
  <si>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</si>
  <si>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</si>
  <si>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</si>
  <si>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</si>
  <si>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</si>
  <si>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</si>
  <si>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</si>
  <si>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</si>
  <si>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</si>
  <si>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</si>
  <si>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</si>
  <si>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</si>
  <si>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</si>
  <si>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</si>
  <si>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</si>
  <si>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</si>
  <si>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</si>
  <si>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</si>
  <si>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</si>
  <si>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</si>
  <si>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</si>
  <si>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</si>
  <si>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</si>
  <si>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</si>
  <si>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</si>
  <si>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</si>
  <si>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</si>
  <si>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</si>
  <si>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</si>
  <si>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</si>
  <si>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</si>
  <si>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</si>
  <si>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</si>
  <si>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</si>
  <si>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</si>
  <si>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</si>
  <si>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</si>
  <si>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</si>
  <si>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</si>
  <si>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</si>
  <si>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</si>
  <si>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</si>
  <si>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</si>
  <si>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</si>
  <si>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</si>
  <si>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</si>
  <si>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</si>
  <si>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</si>
  <si>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</si>
  <si>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</si>
  <si>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</si>
  <si>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</si>
  <si>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</si>
  <si>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</si>
  <si>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</si>
  <si>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</si>
  <si>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</si>
  <si>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</si>
  <si>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</si>
  <si>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</si>
  <si>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</si>
  <si>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</si>
  <si>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</si>
  <si>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</si>
  <si>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</si>
  <si>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</si>
  <si>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</si>
  <si>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</si>
  <si>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</si>
  <si>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</si>
  <si>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</si>
  <si>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</si>
  <si>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</si>
  <si>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</si>
  <si>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</si>
  <si>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</si>
  <si>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</si>
  <si>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</si>
  <si>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</si>
  <si>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</si>
  <si>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</si>
  <si>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</si>
  <si>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</si>
  <si>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</si>
  <si>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</si>
  <si>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</si>
  <si>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</si>
  <si>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</si>
  <si>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</si>
  <si>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</si>
  <si>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</si>
  <si>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</si>
  <si>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</si>
  <si>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</si>
  <si>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</si>
  <si>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</si>
  <si>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</si>
  <si>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</si>
  <si>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</si>
  <si>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</si>
  <si>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</si>
  <si>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</si>
  <si>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</si>
  <si>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</si>
  <si>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</si>
  <si>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</si>
  <si>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</si>
  <si>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</si>
  <si>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</si>
  <si>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</si>
  <si>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</si>
  <si>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</si>
  <si>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</si>
  <si>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</si>
  <si>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</si>
  <si>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</si>
  <si>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</si>
  <si>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</si>
  <si>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</si>
  <si>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</si>
  <si>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</si>
  <si>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</si>
  <si>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</si>
  <si>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</si>
  <si>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</si>
  <si>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</si>
  <si>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</si>
  <si>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</si>
  <si>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</si>
  <si>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</si>
  <si>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</si>
  <si>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</si>
  <si>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</si>
  <si>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</si>
  <si>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</si>
  <si>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</si>
  <si>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</si>
  <si>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</si>
  <si>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</si>
  <si>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</si>
  <si>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</si>
  <si>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</si>
  <si>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</si>
  <si>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</si>
  <si>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</si>
  <si>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</si>
  <si>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</si>
  <si>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</si>
  <si>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</si>
  <si>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</si>
  <si>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</si>
  <si>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</si>
  <si>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</si>
  <si>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</si>
  <si>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</si>
  <si>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</si>
  <si>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</si>
  <si>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</si>
  <si>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</si>
  <si>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</si>
  <si>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</si>
  <si>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</si>
  <si>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</si>
  <si>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</si>
  <si>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</si>
  <si>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</si>
  <si>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</si>
  <si>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</si>
  <si>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</si>
  <si>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</si>
  <si>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</si>
  <si>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</si>
  <si>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</si>
  <si>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</si>
  <si>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</si>
  <si>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</si>
  <si>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</si>
  <si>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</si>
  <si>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</si>
  <si>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</si>
  <si>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</si>
  <si>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</si>
  <si>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</si>
  <si>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</si>
  <si>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</si>
  <si>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</si>
  <si>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</si>
  <si>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</si>
  <si>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</si>
  <si>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</si>
  <si>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</si>
  <si>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</si>
  <si>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</si>
  <si>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</si>
  <si>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</si>
  <si>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</si>
  <si>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</si>
  <si>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</si>
  <si>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</si>
  <si>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</si>
  <si>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</si>
  <si>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</si>
  <si>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</si>
  <si>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</si>
  <si>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</si>
  <si>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</si>
  <si>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</si>
  <si>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</si>
  <si>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</si>
  <si>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</si>
  <si>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</si>
  <si>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</si>
  <si>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</si>
  <si>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</si>
  <si>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</si>
  <si>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</si>
  <si>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</si>
  <si>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</si>
  <si>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</si>
  <si>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</si>
  <si>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</si>
  <si>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</si>
  <si>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</si>
  <si>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</si>
  <si>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</si>
  <si>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</si>
  <si>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</si>
  <si>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</si>
  <si>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</si>
  <si>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</si>
  <si>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</si>
  <si>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</si>
  <si>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</si>
  <si>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</si>
  <si>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</si>
  <si>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</si>
  <si>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</si>
  <si>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</si>
  <si>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</si>
  <si>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</si>
  <si>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</si>
  <si>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</si>
  <si>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</si>
  <si>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</si>
  <si>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</si>
  <si>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</si>
  <si>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</si>
  <si>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</si>
  <si>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</si>
  <si>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</si>
  <si>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</si>
  <si>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</si>
  <si>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</si>
  <si>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</si>
  <si>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</si>
  <si>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</si>
  <si>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</si>
  <si>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</si>
  <si>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</si>
  <si>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</si>
  <si>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</si>
  <si>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</si>
  <si>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</si>
  <si>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</si>
  <si>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</si>
  <si>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</si>
  <si>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</si>
  <si>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</si>
  <si>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</si>
  <si>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</si>
  <si>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</si>
  <si>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</si>
  <si>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</si>
  <si>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</si>
  <si>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</si>
  <si>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</si>
  <si>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</si>
  <si>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</si>
  <si>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</si>
  <si>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</si>
  <si>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</si>
  <si>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</si>
  <si>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</si>
  <si>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</si>
  <si>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</si>
  <si>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</si>
  <si>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</si>
  <si>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</si>
  <si>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</si>
  <si>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</si>
  <si>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</si>
  <si>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</si>
  <si>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</si>
  <si>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</si>
  <si>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</si>
  <si>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</si>
  <si>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</si>
  <si>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</si>
  <si>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</si>
  <si>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</si>
  <si>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</si>
  <si>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</si>
  <si>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</si>
  <si>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</si>
  <si>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</si>
  <si>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</si>
  <si>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</si>
  <si>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</si>
  <si>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</si>
  <si>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</si>
  <si>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</si>
  <si>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</si>
  <si>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</si>
  <si>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</si>
  <si>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</si>
  <si>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</si>
  <si>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</si>
  <si>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</si>
  <si>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</si>
  <si>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</si>
  <si>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</si>
  <si>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</si>
  <si>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</si>
  <si>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</si>
  <si>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</si>
  <si>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</si>
  <si>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</si>
  <si>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</si>
  <si>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</si>
  <si>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</si>
  <si>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</si>
  <si>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</si>
  <si>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</si>
  <si>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</si>
  <si>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</si>
  <si>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</si>
  <si>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</si>
  <si>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</si>
  <si>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</si>
  <si>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</si>
  <si>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</si>
  <si>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</si>
  <si>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</si>
  <si>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</si>
  <si>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</si>
  <si>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</si>
  <si>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</si>
  <si>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</si>
  <si>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</si>
  <si>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</si>
  <si>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</si>
  <si>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</si>
  <si>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</si>
  <si>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</si>
  <si>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</si>
  <si>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</si>
  <si>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</si>
  <si>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</si>
  <si>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</si>
  <si>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</si>
  <si>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</si>
  <si>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</si>
  <si>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</si>
  <si>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</si>
  <si>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</si>
  <si>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</si>
  <si>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</si>
  <si>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</si>
  <si>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</si>
  <si>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</si>
  <si>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</si>
  <si>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</si>
  <si>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</si>
  <si>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</si>
  <si>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</si>
  <si>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</si>
  <si>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</si>
  <si>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</si>
  <si>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</si>
  <si>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</si>
  <si>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</si>
  <si>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</si>
  <si>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</si>
  <si>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</si>
  <si>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</si>
  <si>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</si>
  <si>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</si>
  <si>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</si>
  <si>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</si>
  <si>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</si>
  <si>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</si>
  <si>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</si>
  <si>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</si>
  <si>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</si>
  <si>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</si>
  <si>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</si>
  <si>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</si>
  <si>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</si>
  <si>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</si>
  <si>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</si>
  <si>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</si>
  <si>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</si>
  <si>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</si>
  <si>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</si>
  <si>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</si>
  <si>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</si>
  <si>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</si>
  <si>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</si>
  <si>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</si>
  <si>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</si>
  <si>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</si>
  <si>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</si>
  <si>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</si>
  <si>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</si>
  <si>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</si>
  <si>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</si>
  <si>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</si>
  <si>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</si>
  <si>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</si>
  <si>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</si>
  <si>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</si>
  <si>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</si>
  <si>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</si>
  <si>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</si>
  <si>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</si>
  <si>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</si>
  <si>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</si>
  <si>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</si>
  <si>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</si>
  <si>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</si>
  <si>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</si>
  <si>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</si>
  <si>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</si>
  <si>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</si>
  <si>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</si>
  <si>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</si>
  <si>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</si>
  <si>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</si>
  <si>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</si>
  <si>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</si>
  <si>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</si>
  <si>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</si>
  <si>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</si>
  <si>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</si>
  <si>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</si>
  <si>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</si>
  <si>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</si>
  <si>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</si>
  <si>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</si>
  <si>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</si>
  <si>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</si>
  <si>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</si>
  <si>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</si>
  <si>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</si>
  <si>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</si>
  <si>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</si>
  <si>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</si>
  <si>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</si>
  <si>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</si>
  <si>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</si>
  <si>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</si>
  <si>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</si>
  <si>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</si>
  <si>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</si>
  <si>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</si>
  <si>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</si>
  <si>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</si>
  <si>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</si>
  <si>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</si>
  <si>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</si>
  <si>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</si>
  <si>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</si>
  <si>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</si>
  <si>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</si>
  <si>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</si>
  <si>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</si>
  <si>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</si>
  <si>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</si>
  <si>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</si>
  <si>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</si>
  <si>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</si>
  <si>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</si>
  <si>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</si>
  <si>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</si>
  <si>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</si>
  <si>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</si>
  <si>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</si>
  <si>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</si>
  <si>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</si>
  <si>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</si>
  <si>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</si>
  <si>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</si>
  <si>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</si>
  <si>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</si>
  <si>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</si>
  <si>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</si>
  <si>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</si>
  <si>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</si>
  <si>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</si>
  <si>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</si>
  <si>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</si>
  <si>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</si>
  <si>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</si>
  <si>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</si>
  <si>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</si>
  <si>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</si>
  <si>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</si>
  <si>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</si>
  <si>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</si>
  <si>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</si>
  <si>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</si>
  <si>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</si>
  <si>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</si>
  <si>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</si>
  <si>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</si>
  <si>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</si>
  <si>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</si>
  <si>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</si>
  <si>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</si>
  <si>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</si>
  <si>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</si>
  <si>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</si>
  <si>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</si>
  <si>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</si>
  <si>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</si>
  <si>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</si>
  <si>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</si>
  <si>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</si>
  <si>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</si>
  <si>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</si>
  <si>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</si>
  <si>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</si>
  <si>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</si>
  <si>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</si>
  <si>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</si>
  <si>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</si>
  <si>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</si>
  <si>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</si>
  <si>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</si>
  <si>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</si>
  <si>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</si>
  <si>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</si>
  <si>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</si>
  <si>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</si>
  <si>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</si>
  <si>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</si>
  <si>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</si>
  <si>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</si>
  <si>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</si>
  <si>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</si>
  <si>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</si>
  <si>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</si>
  <si>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</si>
  <si>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</si>
  <si>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</si>
  <si>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</si>
  <si>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</si>
  <si>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</si>
  <si>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</si>
  <si>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</si>
  <si>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</si>
  <si>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</si>
  <si>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</si>
  <si>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</si>
  <si>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</si>
  <si>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</si>
  <si>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</si>
  <si>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</si>
  <si>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</si>
  <si>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</si>
  <si>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</si>
  <si>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</si>
  <si>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</si>
  <si>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</si>
  <si>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</si>
  <si>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</si>
  <si>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</si>
  <si>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</si>
  <si>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</si>
  <si>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</si>
  <si>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</si>
  <si>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</si>
  <si>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</si>
  <si>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</si>
  <si>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</si>
  <si>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</si>
  <si>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</si>
  <si>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</si>
  <si>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</si>
  <si>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</si>
  <si>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</si>
  <si>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</si>
  <si>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</si>
  <si>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</si>
  <si>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</si>
  <si>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</si>
  <si>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</si>
  <si>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</si>
  <si>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</si>
  <si>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</si>
  <si>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</si>
  <si>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</si>
  <si>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</si>
  <si>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</si>
  <si>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</si>
  <si>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</si>
  <si>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</si>
  <si>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</si>
  <si>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</si>
  <si>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</si>
  <si>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</si>
  <si>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</si>
  <si>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</si>
  <si>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</si>
  <si>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</si>
  <si>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</si>
  <si>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</si>
  <si>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</si>
  <si>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</si>
  <si>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</si>
  <si>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</si>
  <si>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</si>
  <si>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</si>
  <si>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</si>
  <si>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</si>
  <si>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</si>
  <si>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</si>
  <si>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</si>
  <si>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</si>
  <si>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</si>
  <si>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</si>
  <si>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</si>
  <si>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</si>
  <si>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</si>
  <si>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</si>
  <si>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</si>
  <si>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</si>
  <si>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</si>
  <si>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</si>
  <si>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</si>
  <si>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</si>
  <si>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</si>
  <si>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</si>
  <si>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</si>
  <si>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</si>
  <si>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</si>
  <si>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</si>
  <si>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</si>
  <si>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</si>
  <si>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</si>
  <si>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</si>
  <si>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</si>
  <si>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</si>
  <si>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</si>
  <si>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</si>
  <si>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</si>
  <si>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</si>
  <si>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</si>
  <si>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</si>
  <si>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</si>
  <si>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</si>
  <si>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</si>
  <si>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</si>
  <si>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</si>
  <si>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</si>
  <si>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</si>
  <si>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</si>
  <si>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</si>
  <si>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</si>
  <si>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</si>
  <si>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</si>
  <si>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</si>
  <si>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</si>
  <si>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</si>
  <si>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</si>
  <si>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</si>
  <si>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</si>
  <si>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</si>
  <si>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</si>
  <si>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</si>
  <si>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</si>
  <si>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</si>
  <si>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</si>
  <si>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</si>
  <si>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</si>
  <si>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</si>
  <si>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</si>
  <si>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</si>
  <si>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</si>
  <si>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</si>
  <si>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</si>
  <si>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</si>
  <si>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</si>
  <si>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</si>
  <si>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</si>
  <si>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</si>
  <si>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</si>
  <si>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</si>
  <si>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</si>
  <si>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</si>
  <si>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</si>
  <si>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</si>
  <si>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</si>
  <si>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</si>
  <si>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</si>
  <si>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</si>
  <si>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</si>
  <si>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</si>
  <si>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</si>
  <si>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</si>
  <si>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</si>
  <si>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</si>
  <si>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</si>
  <si>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</si>
  <si>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</si>
  <si>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</si>
  <si>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</si>
  <si>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</si>
  <si>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</si>
  <si>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</si>
  <si>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</si>
  <si>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</si>
  <si>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</si>
  <si>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</si>
  <si>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</si>
  <si>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</si>
  <si>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</si>
  <si>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</si>
  <si>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</si>
  <si>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</si>
  <si>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</si>
  <si>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</si>
  <si>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</si>
  <si>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</si>
  <si>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</si>
  <si>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</si>
  <si>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</si>
  <si>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</si>
  <si>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</si>
  <si>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</si>
  <si>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</si>
  <si>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</si>
  <si>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</si>
  <si>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</si>
  <si>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</si>
  <si>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</si>
  <si>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</si>
  <si>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</si>
  <si>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</si>
  <si>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</si>
  <si>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</si>
  <si>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</si>
  <si>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</si>
  <si>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</si>
  <si>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</si>
  <si>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</si>
  <si>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</si>
  <si>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</si>
  <si>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</si>
  <si>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</si>
  <si>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</si>
  <si>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</si>
  <si>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</si>
  <si>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</si>
  <si>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</si>
  <si>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</si>
  <si>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</si>
  <si>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</si>
  <si>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</si>
  <si>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</si>
  <si>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</si>
  <si>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</si>
  <si>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</si>
  <si>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</si>
  <si>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</si>
  <si>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</si>
  <si>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</si>
  <si>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</si>
  <si>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</si>
  <si>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</si>
  <si>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</si>
  <si>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</si>
  <si>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</si>
  <si>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</si>
  <si>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</si>
  <si>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</si>
  <si>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</si>
  <si>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</si>
  <si>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</si>
  <si>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</si>
  <si>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</si>
  <si>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</si>
  <si>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</si>
  <si>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</si>
  <si>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</si>
  <si>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</si>
  <si>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</si>
  <si>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</si>
  <si>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</si>
  <si>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</si>
  <si>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</si>
  <si>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</si>
  <si>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</si>
  <si>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</si>
  <si>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</si>
  <si>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</si>
  <si>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</si>
  <si>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</si>
  <si>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</si>
  <si>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</si>
  <si>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</si>
  <si>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</si>
  <si>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</si>
  <si>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</si>
  <si>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</si>
  <si>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</si>
  <si>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</si>
  <si>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</si>
  <si>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</si>
  <si>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</si>
  <si>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</si>
  <si>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</si>
  <si>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</si>
  <si>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</si>
  <si>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</si>
  <si>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</si>
  <si>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</si>
  <si>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</si>
  <si>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</si>
  <si>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</si>
  <si>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</si>
  <si>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</si>
  <si>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</si>
  <si>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</si>
  <si>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</si>
  <si>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</si>
  <si>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</si>
  <si>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</si>
  <si>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</si>
  <si>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</si>
  <si>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</si>
  <si>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</si>
  <si>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</si>
  <si>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</si>
  <si>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</si>
  <si>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</si>
  <si>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</si>
  <si>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</si>
  <si>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</si>
  <si>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</si>
  <si>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</si>
  <si>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</si>
  <si>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</si>
  <si>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</si>
  <si>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</si>
  <si>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</si>
  <si>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</si>
  <si>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</si>
  <si>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</si>
  <si>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</si>
  <si>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</si>
  <si>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</si>
  <si>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</si>
  <si>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</si>
  <si>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</si>
  <si>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</si>
  <si>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</si>
  <si>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</si>
  <si>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</si>
  <si>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</si>
  <si>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</si>
  <si>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</si>
  <si>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</si>
  <si>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</si>
  <si>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</si>
  <si>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</si>
  <si>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</si>
  <si>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</si>
  <si>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</si>
  <si>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</si>
  <si>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</si>
  <si>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</si>
  <si>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</si>
  <si>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</si>
  <si>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</si>
  <si>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</si>
  <si>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</si>
  <si>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</si>
  <si>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</si>
  <si>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</si>
  <si>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</si>
  <si>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</si>
  <si>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</si>
  <si>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</si>
  <si>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</si>
  <si>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</si>
  <si>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</si>
  <si>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</si>
  <si>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</si>
  <si>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</si>
  <si>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</si>
  <si>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</si>
  <si>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</si>
  <si>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</si>
  <si>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</si>
  <si>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</si>
  <si>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</si>
  <si>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</si>
  <si>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</si>
  <si>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</si>
  <si>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</si>
  <si>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</si>
  <si>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</si>
  <si>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</si>
  <si>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</si>
  <si>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</si>
  <si>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</si>
  <si>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</si>
  <si>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</si>
  <si>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</si>
  <si>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</si>
  <si>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</si>
  <si>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</si>
  <si>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</si>
  <si>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</si>
  <si>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</si>
  <si>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</si>
  <si>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</si>
  <si>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</si>
  <si>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</si>
  <si>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</si>
  <si>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</si>
  <si>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</si>
  <si>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</si>
  <si>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</si>
  <si>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</si>
  <si>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</si>
  <si>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</si>
  <si>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</si>
  <si>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</si>
  <si>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</si>
  <si>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</si>
  <si>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</si>
  <si>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</si>
  <si>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</si>
  <si>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</si>
  <si>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</si>
  <si>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</si>
  <si>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</si>
  <si>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</si>
  <si>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</si>
  <si>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</si>
  <si>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</si>
  <si>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</si>
  <si>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</si>
  <si>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</si>
  <si>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</si>
  <si>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</si>
  <si>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</si>
  <si>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</si>
  <si>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</si>
  <si>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</si>
  <si>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</si>
  <si>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</si>
  <si>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</si>
  <si>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</si>
  <si>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</si>
  <si>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</si>
  <si>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</si>
  <si>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</si>
  <si>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</si>
  <si>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</si>
  <si>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</si>
  <si>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</si>
  <si>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</si>
  <si>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</si>
  <si>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</si>
  <si>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</si>
  <si>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</si>
  <si>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</si>
  <si>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</si>
  <si>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</si>
  <si>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</si>
  <si>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</si>
  <si>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</si>
  <si>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</si>
  <si>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</si>
  <si>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</si>
  <si>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</si>
  <si>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</si>
  <si>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</si>
  <si>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</si>
  <si>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</si>
  <si>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</si>
  <si>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</si>
  <si>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</si>
  <si>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</si>
  <si>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</si>
  <si>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</si>
  <si>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</si>
  <si>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</si>
  <si>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</si>
  <si>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</si>
  <si>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</si>
  <si>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</si>
  <si>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</si>
  <si>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</si>
  <si>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</si>
  <si>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</si>
  <si>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</si>
  <si>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</si>
  <si>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</si>
  <si>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</si>
  <si>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</si>
  <si>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</si>
  <si>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</si>
  <si>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</si>
  <si>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</si>
  <si>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</si>
  <si>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</si>
  <si>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</si>
  <si>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</si>
  <si>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</si>
  <si>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</si>
  <si>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</si>
  <si>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</si>
  <si>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</si>
  <si>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</si>
  <si>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</si>
  <si>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</si>
  <si>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</si>
  <si>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</si>
  <si>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</si>
  <si>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</si>
  <si>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</si>
  <si>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</si>
  <si>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</si>
  <si>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</si>
  <si>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</si>
  <si>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</si>
  <si>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</si>
  <si>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</si>
  <si>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</si>
  <si>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</si>
  <si>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</si>
  <si>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</si>
  <si>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</si>
  <si>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</si>
  <si>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</si>
  <si>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</si>
  <si>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</si>
  <si>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</si>
  <si>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</si>
  <si>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</si>
  <si>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</si>
  <si>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</si>
  <si>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</si>
  <si>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</si>
  <si>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</si>
  <si>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</si>
  <si>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</si>
  <si>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</si>
  <si>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</si>
  <si>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</si>
  <si>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</si>
  <si>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</si>
  <si>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</si>
  <si>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</si>
  <si>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</si>
  <si>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</si>
  <si>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</si>
  <si>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</si>
  <si>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</si>
  <si>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</si>
  <si>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</si>
  <si>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</si>
  <si>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</si>
  <si>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</si>
  <si>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</si>
  <si>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</si>
  <si>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</si>
  <si>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</si>
  <si>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</si>
  <si>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</si>
  <si>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</si>
  <si>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</si>
  <si>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</si>
  <si>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</si>
  <si>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</si>
  <si>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</si>
  <si>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</si>
  <si>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</si>
  <si>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</si>
  <si>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</si>
  <si>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</si>
  <si>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</si>
  <si>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</si>
  <si>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</si>
  <si>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</si>
  <si>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</si>
  <si>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</si>
  <si>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</si>
  <si>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</si>
  <si>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</si>
  <si>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</si>
  <si>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</si>
  <si>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</si>
  <si>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</si>
  <si>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</si>
  <si>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</si>
  <si>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</si>
  <si>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</si>
  <si>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</si>
  <si>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</si>
  <si>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</si>
  <si>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</si>
  <si>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</si>
  <si>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</si>
  <si>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</si>
  <si>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</si>
  <si>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</si>
  <si>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</si>
  <si>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</si>
  <si>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</si>
  <si>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</si>
  <si>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</si>
  <si>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</si>
  <si>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</si>
  <si>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</si>
  <si>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</si>
  <si>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</si>
  <si>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</si>
  <si>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</si>
  <si>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</si>
  <si>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</si>
  <si>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</si>
  <si>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</si>
  <si>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</si>
  <si>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</si>
  <si>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</si>
  <si>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</si>
  <si>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</si>
  <si>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</si>
  <si>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</si>
  <si>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</si>
  <si>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</si>
  <si>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</si>
  <si>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</si>
  <si>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</si>
  <si>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</si>
  <si>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</si>
  <si>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</si>
  <si>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</si>
  <si>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</si>
  <si>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</si>
  <si>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</si>
  <si>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</si>
  <si>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</si>
  <si>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</si>
  <si>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</si>
  <si>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</si>
  <si>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</si>
  <si>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daňový poradce, auditor Aspekt HM s.r.o.</t>
  </si>
  <si>
    <t>autor šablony</t>
  </si>
  <si>
    <t>XML</t>
  </si>
  <si>
    <t xml:space="preserve"> </t>
  </si>
  <si>
    <t>ROZVAHA</t>
  </si>
  <si>
    <t>AKTIVA</t>
  </si>
  <si>
    <t>PASIVA</t>
  </si>
  <si>
    <t>VÝKAZ ZISKU A ZTRÁTY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</si>
  <si>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</si>
  <si>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</si>
  <si>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</si>
  <si>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</si>
  <si>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</si>
  <si>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</si>
  <si>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podle § 6 zákona (ř. 31 + ř. 32 - ř. 33)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</si>
  <si>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</si>
  <si>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</si>
  <si>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</si>
  <si>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</si>
  <si>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</si>
  <si>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</si>
  <si>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</si>
  <si>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</si>
  <si>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</si>
  <si>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</si>
  <si>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</si>
  <si>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</si>
  <si>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</si>
  <si>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</si>
  <si>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</si>
  <si>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</si>
  <si>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</si>
  <si>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</si>
  <si>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</si>
  <si>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</si>
  <si>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</si>
  <si>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</si>
  <si>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</si>
  <si>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</si>
  <si>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</si>
  <si>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</si>
  <si>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</si>
  <si>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</si>
  <si>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</si>
  <si>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</si>
  <si>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</si>
  <si>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</si>
  <si>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</si>
  <si>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</si>
  <si>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</si>
  <si>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</si>
  <si>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</si>
  <si>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</si>
  <si>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</si>
  <si>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</si>
  <si>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</si>
  <si>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</si>
  <si>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</si>
  <si>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</si>
  <si>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</si>
  <si>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</si>
  <si>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</si>
  <si>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</si>
  <si>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</si>
  <si>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</si>
  <si>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</si>
  <si>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</si>
  <si>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</si>
  <si>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</si>
  <si>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</si>
  <si>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</si>
  <si>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</si>
  <si>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</si>
  <si>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</si>
  <si>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</si>
  <si>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</si>
  <si>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</si>
  <si>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vraťte na účet</t>
  </si>
  <si>
    <t>(§24 odst. 2 a 3 zák. č. 592/1992 Sb ve znění pozdějších předpisů)</t>
  </si>
  <si>
    <t>Číslo pojištěnce (rodné číslo)</t>
  </si>
  <si>
    <t>Identifikační číslo osoby (IČO)</t>
  </si>
  <si>
    <t>Bankovní spojení: (předčíslí účtu - číso účtu / kód banky)</t>
  </si>
  <si>
    <t>Důvod:</t>
  </si>
  <si>
    <t>5. Přeplatek (Doplatek)</t>
  </si>
  <si>
    <t>6. Nová výše zálohy (viz Poučení)</t>
  </si>
  <si>
    <t>b) výpočet</t>
  </si>
  <si>
    <t>7. Datum vyplnění a podpis pojištěnce</t>
  </si>
  <si>
    <t>Celková daňová povinnost:</t>
  </si>
  <si>
    <t>Postup:</t>
  </si>
  <si>
    <t>Podepisující osoba/vztah k účetní jednotce: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</si>
  <si>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</si>
  <si>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</si>
  <si>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</si>
  <si>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</si>
  <si>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</si>
  <si>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</si>
  <si>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</si>
  <si>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</si>
  <si>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</si>
  <si>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</si>
  <si>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</si>
  <si>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</si>
  <si>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</si>
  <si>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</si>
  <si>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</si>
  <si>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</si>
  <si>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</si>
  <si>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</si>
  <si>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</si>
  <si>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</si>
  <si>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</si>
  <si>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</si>
  <si>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</si>
  <si>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</si>
  <si>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</si>
  <si>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</si>
  <si>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</si>
  <si>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</si>
  <si>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zde vložte jméno zdravotní pojišťovny včetně jejího kodu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</si>
  <si>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</si>
  <si>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</si>
  <si>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</si>
  <si>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</si>
  <si>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</si>
  <si>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</si>
  <si>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</si>
  <si>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</si>
  <si>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</si>
  <si>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</si>
  <si>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</si>
  <si>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</si>
  <si>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</si>
  <si>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</si>
  <si>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</si>
  <si>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t>Místně příslušná OSSZ / PSSZ / MSSZ Brno</t>
  </si>
  <si>
    <t>Variabilní symbol důchodového pojištění (DP)</t>
  </si>
  <si>
    <t>VZP</t>
  </si>
  <si>
    <t>Jiné ZP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</si>
  <si>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</si>
  <si>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</si>
  <si>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</si>
  <si>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</si>
  <si>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</si>
  <si>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</si>
  <si>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</si>
  <si>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</si>
  <si>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</si>
  <si>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</si>
  <si>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</si>
  <si>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</si>
  <si>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</si>
  <si>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</si>
  <si>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</si>
  <si>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</si>
  <si>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</si>
  <si>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</si>
  <si>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</si>
  <si>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</si>
  <si>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</si>
  <si>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</si>
  <si>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</si>
  <si>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</si>
  <si>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</si>
  <si>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</si>
  <si>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</si>
  <si>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</si>
  <si>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</si>
  <si>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</si>
  <si>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</si>
  <si>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</si>
  <si>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</si>
  <si>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</si>
  <si>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</si>
  <si>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</si>
  <si>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r>
      <t xml:space="preserve">Vypočtená částka </t>
    </r>
    <r>
      <rPr>
        <sz val="8"/>
        <rFont val="Arial CE"/>
        <family val="2"/>
        <charset val="-18"/>
      </rPr>
      <t xml:space="preserve">[(ř. 57 + ř. 59 ) - ř. 328] </t>
    </r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</si>
  <si>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</si>
  <si>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</si>
  <si>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Hlavní činnost</t>
  </si>
  <si>
    <t>Vedlejší činnost</t>
  </si>
  <si>
    <t>Za OSSZ zpracoval/a</t>
  </si>
  <si>
    <t>Číslo popisné / číslo orientační</t>
  </si>
  <si>
    <t>ŽÁDÁM o vrácení přepl. ve výši:</t>
  </si>
  <si>
    <t>Poplatník je pojištěn u: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</si>
  <si>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</si>
  <si>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</si>
  <si>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</si>
  <si>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</si>
  <si>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</si>
  <si>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</si>
  <si>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</si>
  <si>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</si>
  <si>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</si>
  <si>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</si>
  <si>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</si>
  <si>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</si>
  <si>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</si>
  <si>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</si>
  <si>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</si>
  <si>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</si>
  <si>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</si>
  <si>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</si>
  <si>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</si>
  <si>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</si>
  <si>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</si>
  <si>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</si>
  <si>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</si>
  <si>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</si>
  <si>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</si>
  <si>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</si>
  <si>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</si>
  <si>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</si>
  <si>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</si>
  <si>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</si>
  <si>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Kód státu:</t>
  </si>
  <si>
    <t>Příjmy ze zdrojů v zahraničí -</t>
  </si>
  <si>
    <t>Rozdíl řádků (ř. 323 - ř. 326)</t>
  </si>
  <si>
    <t>Údaje OSSZ / PSSZ / MSSZ Brno</t>
  </si>
  <si>
    <t>Potvrzení o době trvání zaměstnání</t>
  </si>
  <si>
    <t>zakládajícím účast na nemocenském pojištění zaměstnanců</t>
  </si>
  <si>
    <t>pro účely posouzení výkonu samostatné výdělečné činnosti jako vedlejší</t>
  </si>
  <si>
    <t>Místně příslušná OSSZ/PSSZ/MSSZ Brno</t>
  </si>
  <si>
    <t>Razítko OSSZ/PSSZ/MSSZ Brno</t>
  </si>
  <si>
    <t>Variabilní symbol důchodové pojištění - vyplní OSSZ/PSSZ/MSSZ Brno</t>
  </si>
  <si>
    <t>A. Základní identifikace OSVČ</t>
  </si>
  <si>
    <t>trvala v kalendářních měsících</t>
  </si>
  <si>
    <t>1 - 12</t>
  </si>
  <si>
    <t>B. Zaměstnání</t>
  </si>
  <si>
    <t>Název a adresa zaměstnavatele</t>
  </si>
  <si>
    <t>Účast na nemocenském pojištění zaměstnanců v roce</t>
  </si>
  <si>
    <t>C. Datum vyplnění, podpis a razítko</t>
  </si>
  <si>
    <t>Upozornění - nutno doložit nejpozději do konce kalendářního měsíce následujícího po měsíci podání přehledu o příjmech a výdajích za kalendářní rok, ve kterém OSVČ chce, aby její samostatná výdělečná činnost byla posouzena jako vedlejší.</t>
  </si>
  <si>
    <t>PZOSVC v1.02</t>
  </si>
  <si>
    <t>Potvrzení o studiu</t>
  </si>
  <si>
    <t>B. Studium</t>
  </si>
  <si>
    <t>Název a adresa školy</t>
  </si>
  <si>
    <t>Ve školní roce</t>
  </si>
  <si>
    <t>ročníku</t>
  </si>
  <si>
    <t>PSOSVC v1.02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</si>
  <si>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</si>
  <si>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</si>
  <si>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</si>
  <si>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</si>
  <si>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</si>
  <si>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</si>
  <si>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</si>
  <si>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</si>
  <si>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</si>
  <si>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</si>
  <si>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</si>
  <si>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</si>
  <si>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Evidenční štítek</t>
  </si>
  <si>
    <t>kc_sleva_eet</t>
  </si>
  <si>
    <t>uv</t>
  </si>
  <si>
    <t>nevyplnuje se</t>
  </si>
  <si>
    <t>P</t>
  </si>
  <si>
    <t>Z</t>
  </si>
  <si>
    <t>M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</si>
  <si>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</si>
  <si>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</si>
  <si>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</si>
  <si>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</si>
  <si>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</si>
  <si>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</si>
  <si>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</si>
  <si>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</si>
  <si>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</si>
  <si>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</si>
  <si>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</si>
  <si>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</si>
  <si>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</si>
  <si>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Příjmy podle § 9 zákona celkem</t>
  </si>
  <si>
    <t>P o t v r z e n í</t>
  </si>
  <si>
    <t>V souladu s ustanovením § 15a odst. 3 zákona č. 589/1992 Sb., ve znění pozdějších předpisů potvrzuje</t>
  </si>
  <si>
    <t>(zaměstnavatel - název sídlo)</t>
  </si>
  <si>
    <t>variabilní symbol</t>
  </si>
  <si>
    <t>že jeho zaměstnanec</t>
  </si>
  <si>
    <t>rodné číslo</t>
  </si>
  <si>
    <t>(jméno a příjmení)</t>
  </si>
  <si>
    <t>trvalý pobyt</t>
  </si>
  <si>
    <t>dosáhl v kalendářním roce</t>
  </si>
  <si>
    <t xml:space="preserve">ze zaměstnání, které zakládá účast na </t>
  </si>
  <si>
    <t xml:space="preserve">nemocenském a důchodovém pojištění/důchodovém pojištění *) </t>
  </si>
  <si>
    <t>úhrn vyměřovacích základů, z nichž bylo</t>
  </si>
  <si>
    <t>sraženo pojistné na sociálním zabezpečení a příspěvek na státní politiku zaměstnanosti, ve výši</t>
  </si>
  <si>
    <t>Kč. **)</t>
  </si>
  <si>
    <t>Dne</t>
  </si>
  <si>
    <t>(razítko a podpis zaměstnavatele)</t>
  </si>
  <si>
    <t>Za zaměstavatele vyřizuje:</t>
  </si>
  <si>
    <t>tel.:</t>
  </si>
  <si>
    <t>*) Nehodící se škrtněte</t>
  </si>
  <si>
    <t>**) Pokud úhrn vyměřovacích základů v kalendářím roce přesáhne maximální vyměřovací základ, uvede se maximální vyměřovací základ pro daný kalendářní rok stanovený podle § 15a odst. 1 zákona č. 589/1992 Sb., ve znění pozdějších předpisů.</t>
  </si>
  <si>
    <t>je OSVČ studentem/studentkou</t>
  </si>
  <si>
    <t>studium bylo ukončeno dnem</t>
  </si>
  <si>
    <t>studium bylo přerušeno dne</t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</si>
  <si>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</si>
  <si>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</si>
  <si>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</si>
  <si>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</si>
  <si>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</si>
  <si>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</si>
  <si>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</si>
  <si>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</si>
  <si>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nebo vraťte na účet vedený u </t>
  </si>
  <si>
    <t>Datum převzetí, razítko a podpis pracovníka VZP ČR</t>
  </si>
  <si>
    <t>FORMULÁŘ PRO NAČTENÍ DAT Z ÚČETNÍ ZÁVĚRKY PRO PODNIKATELE (ve zkráceném i v plném rozsahu)</t>
  </si>
  <si>
    <t xml:space="preserve">1. ve vyplněném souboru Účetní závěrky jděte na list "Export do DzPPO", klikněte na červenou buňku vlevo nahoře (buňka A1), stiskněte klávesy Ctrl+A a následně Ctrl+C. </t>
  </si>
  <si>
    <t>2. v souběžně otevřeném souboru Daňového přiznání jděte na list "Účetní_závěrka", klikněte na červenou buňku vlevo nahoře (buňka A1) a stiskněte klávesy Ctrl+V.</t>
  </si>
  <si>
    <t>6. Ulice</t>
  </si>
  <si>
    <t>7. Číslo domu</t>
  </si>
  <si>
    <t>8. Obec</t>
  </si>
  <si>
    <t>9. PSČ</t>
  </si>
  <si>
    <t>10. Stát</t>
  </si>
  <si>
    <t>IBAN (číslo účtu použijte při platbě do ciziny)</t>
  </si>
  <si>
    <t>L. Podpisy a razítka</t>
  </si>
  <si>
    <t>PŘIZNÁNÍ K DANI Z PŘÍJMŮ FYZICKÝCH OSOB pro poplatníky vedoucí účetnictví, včetně přehledů OSVČ pro zdravotní i sociální pojištění</t>
  </si>
  <si>
    <t>Z Řádku 4 počet měsíců , kdy byla OSVČ pojištěna u VZP ČR</t>
  </si>
  <si>
    <t>Prohlašuji, že všechny údaje v tomto PŘEHLEDU jsou pravdivé a že ohlásím VZP ČR všechny změny údajů, a to do 8 dnů ode dne, kdy jsem se o změněné skutečnosti dozvěděl.</t>
  </si>
  <si>
    <t>G. Způsob použití přeplatku</t>
  </si>
  <si>
    <t>Přeplatek (zbývající část přeplatku) ve vyšší výši než 99 Kč</t>
  </si>
  <si>
    <t>písm. h) zákona (sleva na evidenci tržeb)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</si>
  <si>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</si>
  <si>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09 Titul*)</t>
  </si>
  <si>
    <t>07 Rodné příjmení*)</t>
  </si>
  <si>
    <t>16 Telefon / mobilní telefon*)</t>
  </si>
  <si>
    <t>17 E-mail*)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</si>
  <si>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</si>
  <si>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</si>
  <si>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</si>
  <si>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</si>
  <si>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</si>
  <si>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</si>
  <si>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</si>
  <si>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</si>
  <si>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</si>
  <si>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</si>
  <si>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</si>
  <si>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>4. Rodné číslo</t>
  </si>
  <si>
    <t>5. Datum narození</t>
  </si>
  <si>
    <t>11. ID Datové schránky/E-mail</t>
  </si>
  <si>
    <t>12. Telefon</t>
  </si>
  <si>
    <t>B. Údaje o výkonu samostatné výdělečné činnosti (SVČ)</t>
  </si>
  <si>
    <t>Měsíce, v nichž po celý měsíc trval nárok na výplatu nemocenského/PPM nebo dlouh. ošetřovného</t>
  </si>
  <si>
    <t xml:space="preserve">C. Důvod výkonu vedlejší SVČ - podle ustanovení § 9 odst. 6 písm. a) - d)  zák. č. 155/1995 Sb. </t>
  </si>
  <si>
    <t>14. Zaměstnání</t>
  </si>
  <si>
    <t>16. Nárok na rodičovský příspěvek</t>
  </si>
  <si>
    <t>17. Nárok na PPM nebo nemocenské z důvodu těhotenství a porodu z NP zaměstnanců</t>
  </si>
  <si>
    <t>18. Osobní péče o osobu závislou na pomoci jiné osoby</t>
  </si>
  <si>
    <t>20. Daňový základ</t>
  </si>
  <si>
    <t xml:space="preserve">21. Počet měsíců, v nichž je SVČ považována za </t>
  </si>
  <si>
    <t xml:space="preserve">22. Počet měsíců, v nichž jsem vykonával/a SVČ alespoň po část měsíce </t>
  </si>
  <si>
    <t>I. Údaje o opravném přehledu</t>
  </si>
  <si>
    <t>J. Základní identifikace OSVČ, se kterou je vykonávána spolupráce</t>
  </si>
  <si>
    <t>K. Prohlášení</t>
  </si>
  <si>
    <r>
      <t xml:space="preserve">Za účelem zajištění plné a transparentní informovanosti a efektivnější vzájemné komunikace v agendě sociálního pojištění OSVČ uděluji ČSSZ a OSSZ/PSSZ/MSSZ Brno souhlas se zpracováním svého telefonního čísla a své e-mailové adresy uvedené výše. O svých právech v souvislosti se zpracováním osobních údajů jsem byl/a poučen/a. Více informací naleznete na </t>
    </r>
    <r>
      <rPr>
        <u val="single"/>
        <sz val="8"/>
        <rFont val="Arial"/>
        <family val="2"/>
        <charset val="-18"/>
      </rPr>
      <t>https://www.cssz.cz/cz/gdpr.htm</t>
    </r>
  </si>
  <si>
    <t>Pro Důvod podle písmena f) uveďte</t>
  </si>
  <si>
    <t xml:space="preserve">     Řádek 5</t>
  </si>
  <si>
    <r>
      <t xml:space="preserve">NEŽÁDÁM o vrácení přeplatku </t>
    </r>
    <r>
      <rPr>
        <b/>
        <sz val="7"/>
        <color rgb="FFFF0000"/>
        <rFont val="Arial"/>
        <family val="2"/>
        <charset val="-18"/>
      </rPr>
      <t>(přeplatek bude použit na úhrady záloh v dal.období)</t>
    </r>
  </si>
  <si>
    <t xml:space="preserve">      Typ zálohy                                                               Nová výše zálohy</t>
  </si>
  <si>
    <t>Datum převzetí, razítko a podpis pracovníka ZP ČR</t>
  </si>
  <si>
    <t>Prohlašuji, že všechny údaje v tomto PŘEHLEDU jsou pravdivé a že ohlásím ZP ČR všechny změny údajů, a to do 8 dnů ode dne, kdy jsem se o změněné skutečnosti dozvěděl.</t>
  </si>
  <si>
    <t>27 Telefon / mobilní telefon*)</t>
  </si>
  <si>
    <t>28 E-mail*)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</si>
  <si>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</si>
  <si>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</si>
  <si>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</si>
  <si>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</si>
  <si>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</si>
  <si>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</si>
  <si>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celkem (ř. 74 - ř. 74a)</t>
  </si>
  <si>
    <t>Daň celkem po úpravě o daňový bonus (ř. 75 – ř. 76), pokud
je na řádku záporné číslo uveďte nulu</t>
  </si>
  <si>
    <t>77a</t>
  </si>
  <si>
    <t>Daňový bonus po odpočtu daně (ř. 76 – ř. 75), pokud je na
řádku záporné číslo uveďte nulu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</si>
  <si>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</si>
  <si>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</si>
  <si>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</si>
  <si>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</si>
  <si>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</si>
  <si>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Dílčí základ daně (ztráta) z příjmů dle § 7 zákona (ř. 104 + ř. 105 - ř. 106 - ř. 107 + ř. 108 + ř. 109 - ř. 110 + ř. 112)</t>
  </si>
  <si>
    <t>Z částky daně zaplacené v zahraničí lze maximálně započítat                    [(ř. 57 nebo ř. 316 násobeno ř. 324, děleno 100]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</si>
  <si>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</si>
  <si>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</si>
  <si>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</si>
  <si>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</si>
  <si>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Základ daně po vynětí příjmů ze zdrojů v zahraničí snížený o nezdanitelné části základu daně a odčitatelné položky (ř. 313 – ř. 54 – ř. 44) zaokrouhlený na celá sta Kč dolů</t>
  </si>
  <si>
    <t>Sazba celkového daňového zatížení –
(ř. 57 děleno ř. 56, násobeno stem)</t>
  </si>
  <si>
    <t>Daň ze základu daně po vynětí příjmů ze zdrojů v zahraničí
(ř. 314 násobeno ř. 315, děleno stem)</t>
  </si>
  <si>
    <t>2. Příjmy ze zdrojů v zahraničí - metoda zápočtu daně zaplacené v zahraničí</t>
  </si>
  <si>
    <t>PŘÍLOHA č. 4</t>
  </si>
  <si>
    <t>Výpočet daně ze samostatného základu daně podle § 16a zákona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</si>
  <si>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</si>
  <si>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</si>
  <si>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</si>
  <si>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</si>
  <si>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</si>
  <si>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podle § 8 zákona (ř. 401 po snížení
podle § 8 odst. 9 zákona)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</si>
  <si>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</si>
  <si>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</si>
  <si>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Úhrn příjmů, u nichž se uplatní zápočet – z příjmů uvedených
na ř. 406, ř. 407 a ř. 408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</si>
  <si>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</si>
  <si>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</si>
  <si>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t>25 5405/a MFin 5405/a - vzor č. 5</t>
  </si>
  <si>
    <t>25 5405b MFin 5405b - vzor č. 3</t>
  </si>
  <si>
    <t xml:space="preserve">Příjmení a jméno poplatníka: </t>
  </si>
  <si>
    <t>Poslední známá daňová povinnost:</t>
  </si>
  <si>
    <r>
      <t>Termín pro odevzdání daňového přiznání</t>
    </r>
    <r>
      <rPr>
        <vertAlign val="superscript"/>
        <sz val="10"/>
        <rFont val="Arial CE"/>
        <family val="2"/>
        <charset val="-18"/>
      </rPr>
      <t>1)</t>
    </r>
    <r>
      <rPr>
        <sz val="10"/>
        <rFont val="Arial CE"/>
        <family val="2"/>
        <charset val="-18"/>
      </rPr>
      <t>:</t>
    </r>
  </si>
  <si>
    <t>Tisk řádku</t>
  </si>
  <si>
    <t>Datum splatnosti</t>
  </si>
  <si>
    <t>Daň z příjmů</t>
  </si>
  <si>
    <t>Duchodové pojištění</t>
  </si>
  <si>
    <t>Nemocenské pojištění</t>
  </si>
  <si>
    <t>Zdravotní pojištění</t>
  </si>
  <si>
    <t>ANO/NE</t>
  </si>
  <si>
    <r>
      <t>8. den po datu odevzdání přehledů OSVČ</t>
    </r>
    <r>
      <rPr>
        <vertAlign val="superscript"/>
        <sz val="10"/>
        <rFont val="Arial"/>
        <family val="2"/>
        <charset val="-18"/>
      </rPr>
      <t>2)</t>
    </r>
  </si>
  <si>
    <t xml:space="preserve">1) toto políčko je potřeba vyplnit ručně, nejsou-li uvedené údaje v pořádku; v daném zdaňovacím období je termín pro podání přiznání stanoven: </t>
  </si>
  <si>
    <t>ANO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</si>
  <si>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subjekty.</t>
  </si>
  <si>
    <t>ii) na 2.5., pokud dojde k podání přiznání elektronickou cestou poplatníkem v termínu od 2.4. do 2.5., avšak s vyjímkou povinně auditovaných daňových subjektů.</t>
  </si>
  <si>
    <t>iii) na 1.7., pokud dojde k podání přiznání daňovým poradcem na základě plné moci v termínu od 2.4. do 1.7. nebo u  povinně auditovaných subjektů.</t>
  </si>
  <si>
    <t>2) Termín pro podání přehledů OSVČ na sociální i zdravotní pojištění je nejpozději do jednoho měsíce ode dne, ve kterém mělo být podáno daňové přiznání. Doplatek pojistného je splatný nejpozději do 8 dnů po dni, ve kterém byl nebo měl být podán přehled OSVČ.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</si>
  <si>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</si>
  <si>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Znaménko mínus značí přeplatek a měl by být vrácen nejpozději do 30 dnů po datu uvedeném v příslušném řádku.</t>
  </si>
  <si>
    <t>23. Průměrný měsíční daňový základ</t>
  </si>
  <si>
    <t>24. Rozdělení daňového základu</t>
  </si>
  <si>
    <t xml:space="preserve">25. Vypočtený vyměřovací základ </t>
  </si>
  <si>
    <t xml:space="preserve">26. Dílčí vyměřovací základ </t>
  </si>
  <si>
    <t xml:space="preserve">27. Minimální vyměřovací základ </t>
  </si>
  <si>
    <t xml:space="preserve">28. Určený vyměřovací základ </t>
  </si>
  <si>
    <t xml:space="preserve">29. Vyměřovací základ ze zaměstnání </t>
  </si>
  <si>
    <t>30. Součet řádků 28 a 29</t>
  </si>
  <si>
    <t>31. Vyměřovací základ ze SVČ</t>
  </si>
  <si>
    <t>32. Pojistné na DP</t>
  </si>
  <si>
    <t>33. Úhrn zaplacených záloh na DP</t>
  </si>
  <si>
    <t>34. Výsledný Doplatek / Přeplatek (rozdíl mezi řádky 32 a 33)</t>
  </si>
  <si>
    <t>Poznámka : řádky 24 a 26 se vyplňují pouze v tom případě, byla-li vykonávána hlavní i vedlejší činnost (čtěte pokyny)</t>
  </si>
  <si>
    <t>35. Měsíční vyměřovací základ</t>
  </si>
  <si>
    <t>37. Měsíční pojistné na NP</t>
  </si>
  <si>
    <t xml:space="preserve">36. Měsíční záloha na DP </t>
  </si>
  <si>
    <t>38. Povinnost podávat daňové přiznání</t>
  </si>
  <si>
    <t>41. Lhůta pro předložení daňového přiznání byla rozhodnutím FÚ prodloužena do dne</t>
  </si>
  <si>
    <t>Plná moc přílohou             ano</t>
  </si>
  <si>
    <t>Jiné přílohy</t>
  </si>
  <si>
    <t>15. Nárok na výplatu invalidního nebo přiznání starobního důchodu</t>
  </si>
  <si>
    <t>pošlete poštovní poukázkou (zpoplatněno) na adresu trvalého pobytu nebo na uvedenou adresu:</t>
  </si>
  <si>
    <t>Přehled o výši daňového základu ze samostatné výdělečné činnosti a zaplacených zálohách na pojistné</t>
  </si>
  <si>
    <t>Nemám povinnost podávat daňové přiznání</t>
  </si>
  <si>
    <t>Daňový základ</t>
  </si>
  <si>
    <t>Řádek 3</t>
  </si>
  <si>
    <t xml:space="preserve">Přeplatek (Doplatek): Řádek 41 - Řádek 16                         </t>
  </si>
  <si>
    <t>Řádek 5</t>
  </si>
  <si>
    <t>Přeplatek zašlete:</t>
  </si>
  <si>
    <t>na bankovní účet</t>
  </si>
  <si>
    <t>poštovní poukázkou</t>
  </si>
  <si>
    <t>0,135 x 0,5 x Řádek 3 / Řádek 4 (zaokr. na Kč nahoru)</t>
  </si>
  <si>
    <r>
      <t xml:space="preserve">NEŽÁDÁM o vrácení přeplatku </t>
    </r>
    <r>
      <rPr>
        <b/>
        <sz val="7"/>
        <rFont val="Arial"/>
        <family val="2"/>
        <charset val="-18"/>
      </rPr>
      <t>(přeplatek bude použit na úhrady záloh v dal.období)</t>
    </r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</si>
  <si>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</si>
  <si>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</si>
  <si>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</si>
  <si>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</si>
  <si>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</si>
  <si>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</si>
  <si>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</si>
  <si>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</si>
  <si>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</si>
  <si>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</si>
  <si>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</si>
  <si>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</si>
  <si>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</si>
  <si>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</si>
  <si>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kc_10dan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</si>
  <si>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</si>
  <si>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</si>
  <si>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</si>
  <si>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</si>
  <si>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</si>
  <si>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</si>
  <si>
    <t>Z Řádku 4 počet měsíců , kdy byla OSVČ pojištěna u ZP ČR</t>
  </si>
  <si>
    <t>25 5405 Mfin 5405 vzor č. 28, formulář je platný pro zdaňovací období započatá v roce 2022</t>
  </si>
  <si>
    <t>ii) prostřednictvím datové schránky poplatníka, resp. jeho zmocněného zástupce</t>
  </si>
  <si>
    <t>25 5405 MFin 5405 vzor č.28</t>
  </si>
  <si>
    <t>62a</t>
  </si>
  <si>
    <t>Sleva za zastavenou exekuci podle § 35 odst. 4 zákona</t>
  </si>
  <si>
    <t>Úhrn slev na dani podle § 35, § 35a, § 35b a § 35 ba zákona (ř. 62 + ř. 62a + ř. 63 + ř. 64 + ř. 65a + ř. 65b + ř. 66 + ř. 67 + ř. 68 + ř. 69 + ř. 69a + 69b)</t>
  </si>
  <si>
    <t>Daň ze samostatného základu daně podle § 16a zákona
(částka z ř. 414 přílohy č. 4 DAP)</t>
  </si>
  <si>
    <t>Usnesení o zastavení exekuce</t>
  </si>
  <si>
    <t>ke dni  31.12.2022</t>
  </si>
  <si>
    <t>25 5405/P1 MFin 5405/P1 - vzor č. 18</t>
  </si>
  <si>
    <t>je součástí tiskopisu P Ř I Z N Á N Í k dani z příjmů fyzických osob za zdaňovací období 2022 - 25 5405 MFin 5405 vzor č. 28 („dále jen DAP")</t>
  </si>
  <si>
    <t>je součástí tiskopisu P Ř I Z N Á N Í k dani z příjmů fyzických osob za zdaňovací období 2022 - 25 5405 MFin 5405 vzor č. 28 (dále jen „DAP")</t>
  </si>
  <si>
    <t>25 5405/P2 MFin 5405/P2 - vzor č. 18</t>
  </si>
  <si>
    <t>je součástí tiskopisu P Ř I Z N Á N Í k dani z příjmů fyzických osob za zdaňovací období 2022 - 25 5405 MFin 5405 vzor č. 28 (dále jen „DAP").</t>
  </si>
  <si>
    <t xml:space="preserve">Koeficient zápočtu (ř. 321 - ř. 322) děleno (ř. 42 nebo ř. 313), výsledek vynásobte stem </t>
  </si>
  <si>
    <t>25 5405/P3 MFin 5405/P3 - vzor č. 18</t>
  </si>
  <si>
    <r>
      <t xml:space="preserve">Součet dílčích základů daně (ř. 406 + ř. 407 + ř. 408) </t>
    </r>
    <r>
      <rPr>
        <b/>
        <sz val="8"/>
        <rFont val="Arial CE"/>
        <family val="2"/>
        <charset val="-18"/>
      </rPr>
      <t>zaokrouhlený</t>
    </r>
    <r>
      <rPr>
        <sz val="8"/>
        <rFont val="Arial CE"/>
        <family val="2"/>
        <charset val="-18"/>
      </rPr>
      <t xml:space="preserve"> na celá sta Kč dolů</t>
    </r>
  </si>
  <si>
    <r>
      <rPr>
        <b/>
        <sz val="8"/>
        <rFont val="Arial CE"/>
        <family val="2"/>
        <charset val="-18"/>
      </rPr>
      <t xml:space="preserve">Daň se sazbou 15 % ze součtu dílčích základů daně (ř. 409) </t>
    </r>
    <r>
      <rPr>
        <sz val="8"/>
        <rFont val="Arial CE"/>
        <family val="2"/>
        <charset val="-18"/>
      </rPr>
      <t>uveďte vypočtenou daňovou povinnost</t>
    </r>
  </si>
  <si>
    <t>Daň zaplacená v zahraničí z příjmů uvedených na ř. 411</t>
  </si>
  <si>
    <t>Daň uznaná k zápočtu (ř. 412 maximálně do výše 15 % z částky
uvedené na ř. 411)</t>
  </si>
  <si>
    <t>Daň ze samostatného základu daně podle § 16a zákona
(ř. 410 – ř. 413)</t>
  </si>
  <si>
    <t>25 5405/P4 MFin 5405/P4 - vzor č. 9</t>
  </si>
  <si>
    <t>prohlašuji, že jsem v roce 2022 neuplatnil / neuplatnila daňové zvýhodnění na vyživované děti:</t>
  </si>
  <si>
    <t>Platební kalendář daňových a pojistných povinností 2023 - 2024</t>
  </si>
  <si>
    <t>DO DAŇOVÉHO PŘIZNÁNÍ K DANI Z PŘIJMŮ PRÁVNICKÝCH/FYZICKÝCH OSOB ZA ROK 2022</t>
  </si>
  <si>
    <t>Přehled o příjmech a výdajích OSVČ za rok 2022</t>
  </si>
  <si>
    <t>13. V roce 2022 jsem vykonával/a SVČ</t>
  </si>
  <si>
    <t>D. Údaje o daňovém základu OSVČ za rok 2022 a další údaje podle ustanovení § 15 zákona č. 589/1992 Sb.</t>
  </si>
  <si>
    <t>E. Vedlejsí SVČ - přihláška k účasti na DP OSVČ v roce 2022</t>
  </si>
  <si>
    <t>Vzhledem k tomu, že jsem v roce 2022 nedosáhl/a z výkonu vedlejší SVČ zákonem stanoveného příjmu pro povinnou účast na důchodovém pojištění OSVČ, přihlašuji se k této účasti dnem podání tohoto přehledu</t>
  </si>
  <si>
    <t>19. Nezaopatřenost dítěte (studium)</t>
  </si>
  <si>
    <t>ČSSZ -89 324 22 I/2023</t>
  </si>
  <si>
    <t>F. Výše zálohy na důchodové pojištění (DP) a pojistného na nemocenské pojištění (NP) na rok 2023</t>
  </si>
  <si>
    <t>39. Daňové přiznání podáno po 1.4.2023 elektronicky</t>
  </si>
  <si>
    <t>40. Daňové přiznání podává po 1.4.2023 daňový poradce</t>
  </si>
  <si>
    <t>Přehled o příjmech a výdajích OSVČ za rok 2022 - 2.strana</t>
  </si>
  <si>
    <t>Prohlašuji, že všechny údaje uvedené v tomto přehledu jsou pravdivé a že příslušné správě sociálního zabezpečení ohlásím změny údajů, které by vedly ke zvýšení vyměřovacího základu za rok 2022, a to do 8 dnů ode dne, kdy jsem se o těchto změnách dozvěděl/a.</t>
  </si>
  <si>
    <t>H. Údaje o daňovém přiznání a paušálním režimu</t>
  </si>
  <si>
    <t>V roce 2023 vykonávám / budu vykonávat SVČ</t>
  </si>
  <si>
    <t>Hlavní</t>
  </si>
  <si>
    <t>Vedlejší</t>
  </si>
  <si>
    <t>V roce 2023 jsem / budu poplatníkem v paušálním režimu</t>
  </si>
  <si>
    <r>
      <t xml:space="preserve">38. V roce 2022 jsem byl/a poplatníkem v paušálním režimu,
přesto mám povinnost podávat daňové přiznání z důvodu </t>
    </r>
    <r>
      <rPr>
        <i/>
        <sz val="8"/>
        <rFont val="Arial"/>
        <family val="2"/>
        <charset val="-18"/>
      </rPr>
      <t>(viz pokyny)</t>
    </r>
    <r>
      <rPr>
        <sz val="8"/>
        <rFont val="Arial"/>
        <family val="2"/>
        <charset val="-18"/>
      </rPr>
      <t>:</t>
    </r>
  </si>
  <si>
    <t>g)</t>
  </si>
  <si>
    <t>h)</t>
  </si>
  <si>
    <r>
      <rPr>
        <b/>
        <sz val="8"/>
        <rFont val="Arial"/>
        <family val="2"/>
        <charset val="-18"/>
      </rPr>
      <t>Sdělení:</t>
    </r>
    <r>
      <rPr>
        <sz val="8"/>
        <rFont val="Arial"/>
        <family val="2"/>
        <charset val="-18"/>
      </rPr>
      <t xml:space="preserve"> Na ePortálu ČSSZ bude pro OSVČ v průběhu roku 2023 spuštěna nová online služba, v níž bude po přihlášení možné kdykoliv zjistit stav splatných závazků na důchodovém pojištění OSVČ. V té souvislosti ČSSZ informuje, že od 1. 1. 2024 již nebude rozesílat </t>
    </r>
    <r>
      <rPr>
        <i/>
        <sz val="8"/>
        <rFont val="Arial"/>
        <family val="2"/>
        <charset val="-18"/>
      </rPr>
      <t>Vyúčtování záloh na pojistné na důchodové pojištění za rok 2023 a následující</t>
    </r>
    <r>
      <rPr>
        <sz val="8"/>
        <rFont val="Arial"/>
        <family val="2"/>
        <charset val="-18"/>
      </rPr>
      <t xml:space="preserve"> po podání přehledu či opravného přehledu.</t>
    </r>
  </si>
  <si>
    <t>ČSSZ 89 324 22 I/2023</t>
  </si>
  <si>
    <t>V roce 2022 pro mne neplatila povinnost hradit zálohy na pojistné v měsících:</t>
  </si>
  <si>
    <t>V roce 2022 pro mne nebyl stanoven minimální vyměřovací základ v měsících:</t>
  </si>
  <si>
    <t xml:space="preserve">Úhrn zaplacených záloh na pojistné v roce 2022 na účet VZP ČR          </t>
  </si>
  <si>
    <t>Počet měsíců trvání samostatné výdělečné činnosti v roce 2022</t>
  </si>
  <si>
    <t>Vyměřovací základ OSVČ za rok 2022: 0,50 x Řádek 3 (pro &lt; Řádek 9, zapíše se Řádek 9)</t>
  </si>
  <si>
    <t>Pojistné za rok 2022: 0,135 x (Řádek 14 x Řádek 5) / Řádek 4 (zaokr. na Kč nahoru)</t>
  </si>
  <si>
    <t>V roce 2022 jsem byl/a poplatníkem v paušálním režimu v měsících:</t>
  </si>
  <si>
    <t>Mám povinnost podávat daňové přiznání do 3.4.2023</t>
  </si>
  <si>
    <t>Daňové přiznání podávám po 3.4.2023 elektronicky</t>
  </si>
  <si>
    <t>Daňové přiznání za mne po 3.4.2023 podává daňový poradce</t>
  </si>
  <si>
    <t xml:space="preserve">a) 2 722 Kč </t>
  </si>
  <si>
    <t>VZP 87.51/2022</t>
  </si>
  <si>
    <t xml:space="preserve">Úhrn zaplacených záloh na pojistné v roce 2022 na účet ZP ČR          </t>
  </si>
  <si>
    <t>ZP 87.51/2022</t>
  </si>
  <si>
    <t xml:space="preserve">19 455,50 Kč x Řádek 6         </t>
  </si>
  <si>
    <t>použijte na úhradu záloh na pojistné na měsíce roku 2023</t>
  </si>
  <si>
    <t>Pokud máte příjmy ze zahraničí, zaškrtněte vedlejší políčko symbolem "X"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</si>
  <si>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 xml:space="preserve">otestovat 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 zde: </t>
    </r>
  </si>
  <si>
    <t>https://adisspr.mfcr.cz/pmd/epo/formulare?nacteni=1</t>
  </si>
  <si>
    <r>
      <t xml:space="preserve">Po načtení xml souboru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ověří, zda je vygenerovaný soubor v pořádku. Pro odstranění chyb z načtení doporučujeme postupovat dle pokynu uvedeném na listu </t>
    </r>
    <r>
      <rPr>
        <u val="single"/>
        <sz val="11"/>
        <rFont val="Arial CE"/>
        <family val="2"/>
        <charset val="-18"/>
      </rPr>
      <t>Moje daně.</t>
    </r>
    <r>
      <rPr>
        <sz val="11"/>
        <rFont val="Arial CE"/>
        <family val="2"/>
        <charset val="-18"/>
      </rPr>
      <t xml:space="preserve"> V případě, že chyby i nadále trvají, nahlásí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chybu s popisem, v čem chyba spočívá. Chybu je potřeba odstranit buď (i) přímo v aplikaci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, nebo (ii) v tomto excelovském souboru a znova vygenerovat xml soubor dle bodu 5.</t>
    </r>
  </si>
  <si>
    <r>
      <t xml:space="preserve">Většina chyb je způsobena tím, že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má příliš striktní kontroly (např. na vyživované děti) a hlásí chyby třeba i v případě, kdy daná položka není vyplněna. Bohužel prostředky, které jsou v excelu dostupné, neumožňují tyto chyby obejít.
Řešením proto je tyto "chyby" odstranit v aplikaci Moje daně, zpravidla stačí na každé straně, kde se chyby vyskytují, dát volbu „Kontrola stránky“ (zpravidla V. oddíl nebo Příloha 1), příp. prázdné stránky zcela smazat (zpravidla Příloha 2) 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</si>
  <si>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 xml:space="preserve">prostřednictvím aplikace </t>
    </r>
    <r>
      <rPr>
        <b/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</si>
  <si>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r>
      <t xml:space="preserve">i) prostřednictvím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 xml:space="preserve"> s podepsáním přes elektronickou identitu,</t>
    </r>
  </si>
  <si>
    <r>
      <rPr>
        <b/>
        <sz val="11"/>
        <rFont val="Arial CE"/>
        <family val="2"/>
        <charset val="-18"/>
      </rPr>
      <t xml:space="preserve">Po načtení xml souboru </t>
    </r>
    <r>
      <rPr>
        <sz val="11"/>
        <rFont val="Arial CE"/>
        <family val="2"/>
        <charset val="-18"/>
      </rPr>
      <t>do aplikace Moje daně (</t>
    </r>
    <r>
      <rPr>
        <b/>
        <sz val="11"/>
        <color rgb="FF3399FF"/>
        <rFont val="Arial CE"/>
        <family val="2"/>
        <charset val="-18"/>
      </rPr>
      <t>https://adisspr.mfcr.cz/pmd/epo/formulare?nacteni=1</t>
    </r>
    <r>
      <rPr>
        <sz val="11"/>
        <rFont val="Arial CE"/>
        <family val="2"/>
        <charset val="-18"/>
      </rPr>
      <t>) aplikace nabídne domnělý seznam chyb, ten ignorujte a zrušte jej křížkem v pravém horním rohu.</t>
    </r>
  </si>
  <si>
    <r>
      <rPr>
        <b/>
        <sz val="11"/>
        <rFont val="Arial CE"/>
        <family val="2"/>
        <charset val="-18"/>
      </rPr>
      <t>Jděte vlevo do menu na odkaz "Přílohy"</t>
    </r>
    <r>
      <rPr>
        <sz val="11"/>
        <rFont val="Arial CE"/>
        <family val="2"/>
        <charset val="-18"/>
      </rPr>
      <t xml:space="preserve"> a vymažte nepoužité přílohy z tohoto seznamu: Příloha 1, Příloha 2, Příloha 3, Příloha §34 odst. 1 a Příloha § 38f odst. 10. Smazání se provádí uvnitř každé přílohy tlačítkem "Smazat obsah přílohy"</t>
    </r>
  </si>
  <si>
    <t>Pokud máte vyplněnou (a tedy nesmazanou) Přílohu 1 a/nebo Přílohu 2, běžte na tyto nesmazané přílohy a dejte volbu "Kontrola stránky", tím dojde k odstranění formálních nedostatků v těchto přílohách,</t>
  </si>
  <si>
    <r>
      <rPr>
        <b/>
        <sz val="11"/>
        <rFont val="Arial CE"/>
        <family val="2"/>
        <charset val="-18"/>
      </rPr>
      <t>Jděte vlevo do menu na odkaz "Elektronický formulář"</t>
    </r>
    <r>
      <rPr>
        <sz val="11"/>
        <rFont val="Arial CE"/>
        <family val="2"/>
        <charset val="-18"/>
      </rPr>
      <t xml:space="preserve"> a vyberte volbu "Slevy na dani a daňové zvýhodnění, DoDPAP a placení daně" a tam zvolte volbu "Kontrola stránky"</t>
    </r>
  </si>
  <si>
    <r>
      <rPr>
        <b/>
        <sz val="11"/>
        <rFont val="Arial CE"/>
        <family val="2"/>
        <charset val="-18"/>
      </rPr>
      <t>Jděte vlevo do menu na odkaz "Elektronický formulář",</t>
    </r>
    <r>
      <rPr>
        <sz val="11"/>
        <rFont val="Arial CE"/>
        <family val="2"/>
        <charset val="-18"/>
      </rPr>
      <t xml:space="preserve"> vyberte volbu "Přílohy DAP a Podpisová doložka" a připojte příslušné přílohy v pdf formátu do všech položek, kde jsou červené poznámky aplikace </t>
    </r>
    <r>
      <rPr>
        <u val="single"/>
        <sz val="11"/>
        <rFont val="Arial CE"/>
        <family val="2"/>
        <charset val="-18"/>
      </rPr>
      <t>Moje daně</t>
    </r>
    <r>
      <rPr>
        <sz val="11"/>
        <rFont val="Arial CE"/>
        <family val="2"/>
        <charset val="-18"/>
      </rPr>
      <t>.</t>
    </r>
  </si>
  <si>
    <r>
      <t xml:space="preserve">Jděte vpravo nahoru na odkaz "Protokol chyb". </t>
    </r>
    <r>
      <rPr>
        <sz val="11"/>
        <rFont val="Arial CE"/>
        <family val="2"/>
        <charset val="-18"/>
      </rPr>
      <t>Pokud je vše v pořádku, objeví se text "Písemnost neobsahuje chyby". V některých případech se objeví hlášení na propustné chyby. Pokud tyto chyby nechcete/nemůžete odstranit, lze přiznání takto podat i s nimi.</t>
    </r>
  </si>
  <si>
    <r>
      <t xml:space="preserve">Soubor doporučujeme archivovat v xml podobě </t>
    </r>
    <r>
      <rPr>
        <sz val="11"/>
        <rFont val="Arial CE"/>
        <family val="2"/>
        <charset val="-18"/>
      </rPr>
      <t>(volba "Další volby / Stáhnout soubor pro odeslání do datové schránky")</t>
    </r>
    <r>
      <rPr>
        <b/>
        <sz val="11"/>
        <rFont val="Arial CE"/>
        <family val="2"/>
        <charset val="-18"/>
      </rPr>
      <t xml:space="preserve"> a v pdf podobě </t>
    </r>
    <r>
      <rPr>
        <sz val="11"/>
        <rFont val="Arial CE"/>
        <family val="2"/>
        <charset val="-18"/>
      </rPr>
      <t>(volba "Další volby / Stáhnout opis v PDF").</t>
    </r>
  </si>
  <si>
    <t xml:space="preserve">8. </t>
  </si>
  <si>
    <r>
      <t xml:space="preserve">Pokud máte elektronicku identitu, </t>
    </r>
    <r>
      <rPr>
        <b/>
        <sz val="11"/>
        <rFont val="Arial CE"/>
        <family val="2"/>
        <charset val="-18"/>
      </rPr>
      <t xml:space="preserve">můžete přiznání podat na finanční úřad přes volbu "Odeslat" </t>
    </r>
    <r>
      <rPr>
        <sz val="11"/>
        <rFont val="Arial CE"/>
        <family val="2"/>
        <charset val="-18"/>
      </rPr>
      <t>umístěnou vpravo nahoře.</t>
    </r>
  </si>
  <si>
    <t xml:space="preserve">Pokud budete podávat přiznání přes datovou schránku, pak je potřeba na příslušný finanční úřad poslat výše uvedený xml soubor. </t>
  </si>
  <si>
    <t>Doporučený postup při načtení do aplikace Moje daně</t>
  </si>
  <si>
    <t>Doporučený postup pro elektronické podání přehledů OSVČ</t>
  </si>
  <si>
    <r>
      <t xml:space="preserve">Vytvořte si pdf verzi přehledu pro sociální pojištění. </t>
    </r>
    <r>
      <rPr>
        <sz val="11"/>
        <rFont val="Arial CE"/>
        <family val="2"/>
        <charset val="-18"/>
      </rPr>
      <t>Nejlépe to lze udělat tak, že si označíte listy "SP1" a "SP2" a vytiskněte je do programu, který je uloží do souboru v pdf formátu (např. PdfCreator, Microsoft Print to PDF apod.).</t>
    </r>
  </si>
  <si>
    <t xml:space="preserve">2. </t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</si>
  <si>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 xml:space="preserve">pdf soubor pošlete vaší datovou schránkou do datové schránky vaší </t>
    </r>
    <r>
      <rPr>
        <sz val="11"/>
        <rFont val="Arial CE"/>
        <family val="2"/>
        <charset val="-18"/>
      </rPr>
      <t>příslušné okresní/pražské/městké</t>
    </r>
    <r>
      <rPr>
        <b/>
        <sz val="11"/>
        <rFont val="Arial CE"/>
        <family val="2"/>
        <charset val="-18"/>
      </rPr>
      <t xml:space="preserve"> správy sociálního zabezpečení.</t>
    </r>
  </si>
  <si>
    <r>
      <t xml:space="preserve">Vytvořte si pdf verzi přehledu pro zdravotní pojištění. </t>
    </r>
    <r>
      <rPr>
        <sz val="11"/>
        <rFont val="Arial CE"/>
        <family val="2"/>
        <charset val="-18"/>
      </rPr>
      <t>Nejlépe to lze udělat tak, že si označíte listy "VZP" (pro Všeobecnou ZP) nebo list "Ostatní ZP" (pro ostatní zdravotní pojišťovny) a vytiskněte jej do programu, který jej uloží do souboru v pdf formátu (např. PdfCreator, Microsoft Print to PDF apod.).</t>
    </r>
  </si>
  <si>
    <r>
      <rPr>
        <sz val="11"/>
        <rFont val="Arial CE"/>
        <family val="2"/>
        <charset val="-18"/>
      </rPr>
      <t xml:space="preserve">Takto vytvořený </t>
    </r>
    <r>
      <rPr>
        <b/>
        <sz val="11"/>
        <rFont val="Arial CE"/>
        <family val="2"/>
        <charset val="-18"/>
      </rPr>
      <t>pdf soubor pošlete vaší datovou schránkou do datové schránky vaší zdravotní pojišťovny.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</si>
</sst>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\.\ mmmm\ yyyy"/>
    <numFmt numFmtId="166" formatCode="d/m/yyyy;@"/>
    <numFmt numFmtId="167" formatCode="???,???,???"/>
    <numFmt numFmtId="168" formatCode="#,##0.00\ &quot;Kč&quot;"/>
    <numFmt numFmtId="177" formatCode="#,##0"/>
  </numFmts>
  <fonts count="130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b/>
      <u val="single"/>
      <sz val="14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sz val="8"/>
      <color indexed="10"/>
      <name val="Arial"/>
      <family val="2"/>
      <charset val="-18"/>
    </font>
    <font>
      <b/>
      <sz val="8"/>
      <color indexed="10"/>
      <name val="Arial"/>
      <family val="2"/>
    </font>
    <font>
      <b/>
      <sz val="2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10"/>
      <color indexed="10"/>
      <name val="Arial"/>
      <family val="2"/>
      <charset val="-18"/>
    </font>
    <font>
      <i/>
      <sz val="8"/>
      <color indexed="10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sz val="7"/>
      <color indexed="10"/>
      <name val="Arial"/>
      <family val="2"/>
      <charset val="-18"/>
    </font>
    <font>
      <b/>
      <i/>
      <sz val="8"/>
      <color indexed="10"/>
      <name val="Arial"/>
      <family val="2"/>
      <charset val="-18"/>
    </font>
    <font>
      <sz val="11"/>
      <name val="Courier New"/>
      <family val="3"/>
      <charset val="-18"/>
    </font>
    <font>
      <b/>
      <sz val="11"/>
      <name val="Courier New"/>
      <family val="3"/>
      <charset val="-18"/>
    </font>
    <font>
      <b/>
      <sz val="18"/>
      <color indexed="10"/>
      <name val="Arial"/>
      <family val="2"/>
      <charset val="-18"/>
    </font>
    <font>
      <b/>
      <sz val="20"/>
      <color indexed="10"/>
      <name val="Arial"/>
      <family val="2"/>
      <charset val="-18"/>
    </font>
    <font>
      <sz val="11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sz val="7"/>
      <color indexed="10"/>
      <name val="Arial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sz val="20"/>
      <name val="Arial"/>
      <family val="2"/>
      <charset val="-18"/>
    </font>
    <font>
      <sz val="16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0"/>
      <color rgb="FFFF0000"/>
      <name val="Arial"/>
      <family val="2"/>
      <charset val="-18"/>
    </font>
    <font>
      <b/>
      <sz val="9"/>
      <color rgb="FFFF0000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u val="single"/>
      <sz val="18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i/>
      <sz val="7"/>
      <color indexed="10"/>
      <name val="Arial"/>
      <family val="2"/>
      <charset val="-18"/>
    </font>
    <font>
      <u val="single"/>
      <sz val="8"/>
      <name val="Arial"/>
      <family val="2"/>
      <charset val="-18"/>
    </font>
    <font>
      <b/>
      <sz val="18"/>
      <color rgb="FFFF0000"/>
      <name val="Arial"/>
      <family val="2"/>
      <charset val="-18"/>
    </font>
    <font>
      <i/>
      <sz val="7"/>
      <color rgb="FFFF0000"/>
      <name val="Arial"/>
      <family val="2"/>
      <charset val="-18"/>
    </font>
    <font>
      <sz val="7"/>
      <color rgb="FFFF0000"/>
      <name val="Arial"/>
      <family val="2"/>
      <charset val="-18"/>
    </font>
    <font>
      <b/>
      <sz val="9"/>
      <color rgb="FFFF0000"/>
      <name val="Arial"/>
      <family val="2"/>
      <charset val="-18"/>
    </font>
    <font>
      <sz val="9"/>
      <color rgb="FFFF0000"/>
      <name val="Arial"/>
      <family val="2"/>
      <charset val="-18"/>
    </font>
    <font>
      <b/>
      <sz val="20"/>
      <color rgb="FFFF0000"/>
      <name val="Arial"/>
      <family val="2"/>
      <charset val="-18"/>
    </font>
    <font>
      <b/>
      <sz val="8"/>
      <color rgb="FFFF0000"/>
      <name val="Arial"/>
      <family val="2"/>
      <charset val="-18"/>
    </font>
    <font>
      <b/>
      <sz val="7"/>
      <color rgb="FFFF0000"/>
      <name val="Arial"/>
      <family val="2"/>
      <charset val="-18"/>
    </font>
    <font>
      <i/>
      <sz val="8"/>
      <color rgb="FFFF0000"/>
      <name val="Arial"/>
      <family val="2"/>
      <charset val="-18"/>
    </font>
    <font>
      <b/>
      <sz val="10"/>
      <color theme="0"/>
      <name val="Arial"/>
      <family val="2"/>
      <charset val="-18"/>
    </font>
    <font>
      <sz val="8"/>
      <color rgb="FFFF0000"/>
      <name val="Arial"/>
      <family val="2"/>
      <charset val="-18"/>
    </font>
    <font>
      <sz val="10"/>
      <color theme="0"/>
      <name val="Arial"/>
      <family val="2"/>
      <charset val="-18"/>
    </font>
    <font>
      <b/>
      <sz val="8"/>
      <color rgb="FFFF0000"/>
      <name val="Arial CE"/>
      <family val="2"/>
      <charset val="-18"/>
    </font>
    <font>
      <b/>
      <sz val="11"/>
      <color rgb="FFFF0000"/>
      <name val="Arial"/>
      <family val="2"/>
      <charset val="-18"/>
    </font>
    <font>
      <sz val="11"/>
      <color rgb="FFFF0000"/>
      <name val="Arial"/>
      <family val="2"/>
      <charset val="-18"/>
    </font>
    <font>
      <b/>
      <sz val="7"/>
      <name val="Arial"/>
      <family val="2"/>
      <charset val="-18"/>
    </font>
    <font>
      <vertAlign val="superscript"/>
      <sz val="10"/>
      <name val="Arial CE"/>
      <family val="2"/>
      <charset val="-18"/>
    </font>
    <font>
      <vertAlign val="superscript"/>
      <sz val="10"/>
      <name val="Arial"/>
      <family val="2"/>
      <charset val="-18"/>
    </font>
    <font>
      <b/>
      <i/>
      <sz val="9"/>
      <name val="Arial CE"/>
      <family val="2"/>
      <charset val="-18"/>
    </font>
    <font>
      <sz val="11"/>
      <color indexed="10"/>
      <name val="Courier New"/>
      <family val="3"/>
      <charset val="-18"/>
    </font>
    <font>
      <b/>
      <sz val="12"/>
      <color rgb="FFFF0000"/>
      <name val="Arial CE"/>
      <family val="2"/>
      <charset val="-18"/>
    </font>
    <font>
      <b/>
      <u val="single"/>
      <sz val="11"/>
      <name val="Arial CE"/>
      <family val="2"/>
      <charset val="-18"/>
    </font>
    <font>
      <u val="single"/>
      <sz val="11"/>
      <name val="Arial CE"/>
      <family val="2"/>
      <charset val="-18"/>
    </font>
    <font>
      <b/>
      <sz val="11"/>
      <color rgb="FF3399FF"/>
      <name val="Arial CE"/>
      <family val="2"/>
      <charset val="-18"/>
    </font>
  </fonts>
  <fills count="3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249939993023872"/>
        <bgColor indexed="64"/>
      </patternFill>
    </fill>
  </fills>
  <borders count="14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 style="dotted">
        <color auto="1"/>
      </top>
      <bottom/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thin">
        <color indexed="10"/>
      </right>
      <top/>
      <bottom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/>
      <bottom/>
    </border>
    <border>
      <left style="thin">
        <color rgb="FFFF0000"/>
      </left>
      <right/>
      <top style="thin">
        <color rgb="FFFF0000"/>
      </top>
      <bottom/>
    </border>
    <border>
      <left/>
      <right/>
      <top style="thin">
        <color rgb="FFFF0000"/>
      </top>
      <bottom/>
    </border>
    <border>
      <left/>
      <right style="thin">
        <color rgb="FFFF0000"/>
      </right>
      <top/>
      <bottom/>
    </border>
    <border>
      <left style="thin">
        <color indexed="10"/>
      </left>
      <right/>
      <top/>
      <bottom/>
    </border>
    <border>
      <left/>
      <right/>
      <top style="thin">
        <color indexed="10"/>
      </top>
      <bottom/>
    </border>
    <border>
      <left style="thin">
        <color indexed="10"/>
      </left>
      <right/>
      <top style="thin">
        <color indexed="10"/>
      </top>
      <bottom/>
    </border>
    <border>
      <left style="thin">
        <color rgb="FFFF0000"/>
      </left>
      <right style="thin">
        <color rgb="FFFF0000"/>
      </right>
      <top/>
      <bottom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/>
      <right/>
      <top/>
      <bottom style="thin">
        <color indexed="59"/>
      </bottom>
    </border>
    <border>
      <left style="thin">
        <color indexed="59"/>
      </left>
      <right/>
      <top style="thin">
        <color indexed="59"/>
      </top>
      <bottom style="thin">
        <color indexed="59"/>
      </bottom>
    </border>
    <border>
      <left/>
      <right/>
      <top style="thin">
        <color indexed="59"/>
      </top>
      <bottom style="thin">
        <color indexed="59"/>
      </bottom>
    </border>
    <border>
      <left/>
      <right style="thin">
        <color indexed="59"/>
      </right>
      <top style="thin">
        <color indexed="59"/>
      </top>
      <bottom style="thin">
        <color indexed="59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 style="hair">
        <color auto="1"/>
      </left>
      <right/>
      <top/>
      <bottom/>
    </border>
    <border>
      <left/>
      <right style="hair">
        <color auto="1"/>
      </right>
      <top/>
      <bottom/>
    </border>
    <border>
      <left style="hair">
        <color auto="1"/>
      </left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 style="dashed">
        <color auto="1"/>
      </left>
      <right/>
      <top style="dashed">
        <color auto="1"/>
      </top>
      <bottom style="dashed">
        <color auto="1"/>
      </bottom>
    </border>
    <border>
      <left/>
      <right style="dashed">
        <color auto="1"/>
      </right>
      <top style="dashed">
        <color auto="1"/>
      </top>
      <bottom style="dashed">
        <color auto="1"/>
      </bottom>
    </border>
    <border>
      <left style="thin">
        <color rgb="FFFF0000"/>
      </left>
      <right/>
      <top/>
      <bottom style="thin">
        <color rgb="FFFF0000"/>
      </bottom>
    </border>
    <border>
      <left/>
      <right/>
      <top/>
      <bottom style="thin">
        <color rgb="FFFF0000"/>
      </bottom>
    </border>
    <border>
      <left/>
      <right style="thin">
        <color rgb="FFFF0000"/>
      </right>
      <top/>
      <bottom style="thin">
        <color rgb="FFFF0000"/>
      </bottom>
    </border>
    <border>
      <left style="thin">
        <color rgb="FFFF0000"/>
      </left>
      <right/>
      <top style="thin">
        <color rgb="FFFF0000"/>
      </top>
      <bottom style="thin">
        <color rgb="FFFF0000"/>
      </bottom>
    </border>
    <border>
      <left/>
      <right/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 style="thin">
        <color rgb="FFFF0000"/>
      </bottom>
    </border>
    <border>
      <left/>
      <right style="thin">
        <color rgb="FFFF0000"/>
      </right>
      <top style="thin">
        <color rgb="FFFF0000"/>
      </top>
      <bottom/>
    </border>
    <border>
      <left/>
      <right/>
      <top style="thin">
        <color indexed="10"/>
      </top>
      <bottom style="thin">
        <color indexed="10"/>
      </bottom>
    </border>
    <border>
      <left/>
      <right style="thin">
        <color rgb="FFFF0000"/>
      </right>
      <top style="thin">
        <color indexed="10"/>
      </top>
      <bottom style="thin">
        <color indexed="10"/>
      </bottom>
    </border>
    <border>
      <left/>
      <right style="thin">
        <color indexed="10"/>
      </right>
      <top/>
      <bottom style="thin">
        <color auto="1"/>
      </bottom>
    </border>
    <border>
      <left style="thin">
        <color indexed="10"/>
      </left>
      <right/>
      <top/>
      <bottom style="thin">
        <color auto="1"/>
      </bottom>
    </border>
    <border>
      <left style="thin">
        <color indexed="10"/>
      </left>
      <right/>
      <top style="thin">
        <color indexed="10"/>
      </top>
      <bottom style="thin">
        <color indexed="10"/>
      </bottom>
    </border>
    <border>
      <left/>
      <right/>
      <top/>
      <bottom style="thin">
        <color indexed="10"/>
      </bottom>
    </border>
    <border>
      <left/>
      <right style="thin">
        <color indexed="10"/>
      </right>
      <top/>
      <bottom style="thin">
        <color indexed="10"/>
      </bottom>
    </border>
    <border>
      <left/>
      <right style="thin">
        <color indexed="10"/>
      </right>
      <top style="thin">
        <color indexed="10"/>
      </top>
      <bottom/>
    </border>
    <border>
      <left style="thin">
        <color indexed="10"/>
      </left>
      <right/>
      <top/>
      <bottom style="thin">
        <color indexed="10"/>
      </bottom>
    </border>
    <border>
      <left/>
      <right style="thin">
        <color auto="1"/>
      </right>
      <top style="thin">
        <color indexed="10"/>
      </top>
      <bottom/>
    </border>
    <border>
      <left style="thin">
        <color auto="1"/>
      </left>
      <right/>
      <top style="thin">
        <color indexed="10"/>
      </top>
      <bottom style="thin">
        <color indexed="10"/>
      </bottom>
    </border>
    <border>
      <left/>
      <right style="thin">
        <color indexed="10"/>
      </right>
      <top style="thin">
        <color indexed="10"/>
      </top>
      <bottom style="thin">
        <color indexed="10"/>
      </bottom>
    </border>
    <border>
      <left style="thin">
        <color indexed="1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10"/>
      </right>
      <top style="thin">
        <color auto="1"/>
      </top>
      <bottom style="thin">
        <color auto="1"/>
      </bottom>
    </border>
    <border>
      <left/>
      <right style="thin">
        <color indexed="10"/>
      </right>
      <top style="thin">
        <color auto="1"/>
      </top>
      <bottom/>
    </border>
    <border>
      <left style="thin">
        <color auto="1"/>
      </left>
      <right/>
      <top style="thin">
        <color indexed="10"/>
      </top>
      <bottom/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5" fillId="0" borderId="0" applyNumberFormat="0" applyFill="0" applyBorder="0" applyAlignment="0" applyProtection="0">
      <alignment/>
    </xf>
    <xf numFmtId="0" fontId="70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70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98" fillId="2" borderId="0" applyNumberFormat="0" applyBorder="0" applyAlignment="0" applyProtection="0">
      <alignment/>
    </xf>
  </cellStyleXfs>
  <cellXfs count="2419">
    <xf numFmtId="0" fontId="0" fillId="0" borderId="0" xfId="0">
      <alignment/>
    </xf>
    <xf numFmtId="0" fontId="15" fillId="0" borderId="0" xfId="0" applyFont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4" xfId="0" applyNumberFormat="1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49" fontId="5" fillId="3" borderId="6" xfId="0" applyNumberFormat="1" applyFont="1" applyFill="1" applyBorder="1" applyAlignment="1" applyProtection="1">
      <alignment horizontal="center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1" fillId="3" borderId="0" xfId="0" applyFont="1" applyFill="1">
      <alignment/>
    </xf>
    <xf numFmtId="0" fontId="0" fillId="5" borderId="0" xfId="0" applyFill="1">
      <alignment/>
    </xf>
    <xf numFmtId="0" fontId="0" fillId="6" borderId="0" xfId="0" applyFill="1">
      <alignment/>
    </xf>
    <xf numFmtId="0" fontId="11" fillId="7" borderId="2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3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vertical="top"/>
    </xf>
    <xf numFmtId="0" fontId="11" fillId="8" borderId="12" xfId="0" applyFont="1" applyFill="1" applyBorder="1" applyAlignment="1">
      <alignment vertical="top"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4" xfId="0" applyFont="1" applyFill="1" applyBorder="1">
      <alignment/>
    </xf>
    <xf numFmtId="0" fontId="5" fillId="10" borderId="7" xfId="0" applyFont="1" applyFill="1" applyBorder="1">
      <alignment/>
    </xf>
    <xf numFmtId="0" fontId="24" fillId="10" borderId="7" xfId="0" applyFont="1" applyFill="1" applyBorder="1">
      <alignment/>
    </xf>
    <xf numFmtId="0" fontId="5" fillId="10" borderId="5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>
      <alignment/>
    </xf>
    <xf numFmtId="0" fontId="25" fillId="10" borderId="7" xfId="0" applyFont="1" applyFill="1" applyBorder="1">
      <alignment/>
    </xf>
    <xf numFmtId="0" fontId="25" fillId="10" borderId="24" xfId="0" applyFont="1" applyFill="1" applyBorder="1">
      <alignment/>
    </xf>
    <xf numFmtId="0" fontId="24" fillId="10" borderId="14" xfId="0" applyFont="1" applyFill="1" applyBorder="1">
      <alignment/>
    </xf>
    <xf numFmtId="3" fontId="5" fillId="8" borderId="2" xfId="0" applyNumberFormat="1" applyFont="1" applyFill="1" applyBorder="1" applyAlignment="1">
      <alignment horizontal="center" vertical="center"/>
    </xf>
    <xf numFmtId="3" fontId="5" fillId="8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25" xfId="0" applyFont="1" applyFill="1" applyBorder="1" applyAlignment="1">
      <alignment horizontal="center"/>
    </xf>
    <xf numFmtId="3" fontId="5" fillId="8" borderId="1" xfId="0" applyNumberFormat="1" applyFont="1" applyFill="1" applyBorder="1" applyAlignment="1">
      <alignment horizontal="center" vertical="center"/>
    </xf>
    <xf numFmtId="3" fontId="8" fillId="7" borderId="26" xfId="0" applyNumberFormat="1" applyFont="1" applyFill="1" applyBorder="1" applyAlignment="1">
      <alignment horizontal="center" vertical="center" wrapText="1" shrinkToFit="1"/>
    </xf>
    <xf numFmtId="0" fontId="11" fillId="7" borderId="6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>
      <alignment horizontal="center" vertical="center"/>
    </xf>
    <xf numFmtId="0" fontId="22" fillId="0" borderId="0" xfId="0" applyFont="1">
      <alignment/>
    </xf>
    <xf numFmtId="0" fontId="22" fillId="8" borderId="0" xfId="0" applyFont="1" applyFill="1">
      <alignment/>
    </xf>
    <xf numFmtId="0" fontId="8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0" fillId="7" borderId="29" xfId="0" applyFill="1" applyBorder="1">
      <alignment/>
    </xf>
    <xf numFmtId="0" fontId="8" fillId="4" borderId="9" xfId="0" applyFont="1" applyFill="1" applyBorder="1" applyAlignment="1">
      <alignment horizontal="center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8" xfId="0" applyNumberFormat="1" applyFont="1" applyFill="1" applyBorder="1" applyAlignment="1">
      <alignment horizontal="center" vertical="center"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2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0" fillId="6" borderId="0" xfId="0" applyFill="1" applyAlignment="1">
      <alignment wrapText="1"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 shrinkToFit="1"/>
    </xf>
    <xf numFmtId="0" fontId="8" fillId="4" borderId="4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1" fillId="7" borderId="36" xfId="0" applyFont="1" applyFill="1" applyBorder="1" applyAlignment="1">
      <alignment horizontal="right" vertical="center" wrapText="1"/>
    </xf>
    <xf numFmtId="0" fontId="0" fillId="11" borderId="0" xfId="0" applyFill="1">
      <alignment/>
    </xf>
    <xf numFmtId="0" fontId="43" fillId="11" borderId="0" xfId="0" applyFont="1" applyFill="1">
      <alignment/>
    </xf>
    <xf numFmtId="0" fontId="43" fillId="6" borderId="0" xfId="0" applyFont="1" applyFill="1">
      <alignment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14" fontId="8" fillId="4" borderId="0" xfId="0" applyNumberFormat="1" applyFont="1" applyFill="1" applyAlignment="1">
      <alignment horizontal="right"/>
    </xf>
    <xf numFmtId="49" fontId="5" fillId="3" borderId="0" xfId="0" applyNumberFormat="1" applyFont="1" applyFill="1" applyAlignment="1">
      <alignment horizontal="center"/>
    </xf>
    <xf numFmtId="49" fontId="0" fillId="8" borderId="0" xfId="0" applyNumberFormat="1" applyFill="1" applyAlignment="1">
      <alignment horizontal="center"/>
    </xf>
    <xf numFmtId="0" fontId="5" fillId="7" borderId="2" xfId="0" applyFont="1" applyFill="1" applyBorder="1" applyAlignment="1">
      <alignment vertical="center"/>
    </xf>
    <xf numFmtId="0" fontId="5" fillId="7" borderId="37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2" xfId="0" applyFill="1" applyBorder="1" applyAlignment="1" applyProtection="1">
      <alignment vertical="center"/>
      <protection locked="0"/>
    </xf>
    <xf numFmtId="0" fontId="0" fillId="7" borderId="2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6" xfId="0" applyNumberFormat="1" applyFont="1" applyFill="1" applyBorder="1" applyProtection="1">
      <alignment/>
      <protection locked="0"/>
    </xf>
    <xf numFmtId="4" fontId="5" fillId="3" borderId="2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2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3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>
      <alignment/>
    </xf>
    <xf numFmtId="4" fontId="5" fillId="3" borderId="8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8" fillId="4" borderId="14" xfId="0" applyFont="1" applyFill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2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3" borderId="2" xfId="0" applyNumberFormat="1" applyFont="1" applyFill="1" applyBorder="1" applyAlignment="1" applyProtection="1">
      <alignment horizontal="center" vertical="center"/>
      <protection locked="0"/>
    </xf>
    <xf numFmtId="0" fontId="45" fillId="6" borderId="0" xfId="0" applyFont="1" applyFill="1">
      <alignment/>
    </xf>
    <xf numFmtId="0" fontId="45" fillId="0" borderId="0" xfId="0" applyFont="1">
      <alignment/>
    </xf>
    <xf numFmtId="0" fontId="49" fillId="8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49" fillId="8" borderId="2" xfId="0" applyFont="1" applyFill="1" applyBorder="1" applyAlignment="1">
      <alignment horizontal="center" vertical="center"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8" borderId="0" xfId="0" applyFont="1" applyFill="1" applyAlignment="1">
      <alignment horizontal="center" vertical="center"/>
    </xf>
    <xf numFmtId="0" fontId="56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Alignment="1" applyProtection="1">
      <alignment vertical="center"/>
      <protection locked="0"/>
    </xf>
    <xf numFmtId="0" fontId="56" fillId="8" borderId="0" xfId="0" applyFont="1" applyFill="1" applyAlignment="1">
      <alignment vertical="center"/>
    </xf>
    <xf numFmtId="0" fontId="56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2" fillId="12" borderId="0" xfId="0" applyFont="1" applyFill="1" applyAlignment="1">
      <alignment vertical="center"/>
    </xf>
    <xf numFmtId="0" fontId="22" fillId="12" borderId="0" xfId="0" applyFont="1" applyFill="1" applyAlignment="1">
      <alignment horizontal="right" vertical="center"/>
    </xf>
    <xf numFmtId="0" fontId="22" fillId="7" borderId="0" xfId="0" applyFont="1" applyFill="1" applyAlignment="1">
      <alignment vertical="center"/>
    </xf>
    <xf numFmtId="0" fontId="22" fillId="7" borderId="0" xfId="0" applyFont="1" applyFill="1" applyAlignment="1">
      <alignment horizontal="right" vertical="center"/>
    </xf>
    <xf numFmtId="0" fontId="22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7" borderId="48" xfId="0" applyFill="1" applyBorder="1" applyAlignment="1" applyProtection="1">
      <alignment vertical="center"/>
      <protection locked="0"/>
    </xf>
    <xf numFmtId="0" fontId="0" fillId="12" borderId="49" xfId="0" applyFill="1" applyBorder="1" applyAlignment="1" applyProtection="1">
      <alignment vertical="center"/>
      <protection locked="0"/>
    </xf>
    <xf numFmtId="14" fontId="0" fillId="7" borderId="48" xfId="0" applyNumberFormat="1" applyFill="1" applyBorder="1" applyAlignment="1" applyProtection="1">
      <alignment horizontal="left" vertical="center"/>
      <protection locked="0"/>
    </xf>
    <xf numFmtId="49" fontId="0" fillId="7" borderId="48" xfId="0" applyNumberFormat="1" applyFill="1" applyBorder="1" applyAlignment="1" applyProtection="1">
      <alignment horizontal="left" vertical="center"/>
      <protection locked="0"/>
    </xf>
    <xf numFmtId="49" fontId="0" fillId="12" borderId="49" xfId="0" applyNumberFormat="1" applyFill="1" applyBorder="1" applyAlignment="1" applyProtection="1">
      <alignment vertical="center"/>
      <protection locked="0"/>
    </xf>
    <xf numFmtId="0" fontId="0" fillId="13" borderId="48" xfId="0" applyFill="1" applyBorder="1" applyAlignment="1" applyProtection="1">
      <alignment vertical="center"/>
      <protection locked="0"/>
    </xf>
    <xf numFmtId="0" fontId="0" fillId="13" borderId="49" xfId="0" applyFill="1" applyBorder="1" applyAlignment="1" applyProtection="1">
      <alignment vertical="center"/>
      <protection locked="0"/>
    </xf>
    <xf numFmtId="49" fontId="0" fillId="13" borderId="48" xfId="0" applyNumberFormat="1" applyFill="1" applyBorder="1" applyAlignment="1" applyProtection="1">
      <alignment horizontal="left" vertical="center"/>
      <protection locked="0"/>
    </xf>
    <xf numFmtId="3" fontId="0" fillId="13" borderId="49" xfId="0" applyNumberFormat="1" applyFill="1" applyBorder="1" applyAlignment="1" applyProtection="1">
      <alignment horizontal="left" vertical="center"/>
      <protection locked="0"/>
    </xf>
    <xf numFmtId="3" fontId="0" fillId="13" borderId="48" xfId="0" applyNumberFormat="1" applyFill="1" applyBorder="1" applyAlignment="1" applyProtection="1">
      <alignment horizontal="left" vertical="center"/>
      <protection locked="0"/>
    </xf>
    <xf numFmtId="0" fontId="0" fillId="13" borderId="49" xfId="0" applyFill="1" applyBorder="1" applyAlignment="1" applyProtection="1">
      <alignment horizontal="left" vertical="center"/>
      <protection locked="0"/>
    </xf>
    <xf numFmtId="49" fontId="0" fillId="13" borderId="49" xfId="0" applyNumberFormat="1" applyFill="1" applyBorder="1" applyAlignment="1" applyProtection="1">
      <alignment horizontal="left" vertical="center"/>
      <protection locked="0"/>
    </xf>
    <xf numFmtId="0" fontId="0" fillId="13" borderId="50" xfId="0" applyFill="1" applyBorder="1" applyAlignment="1" applyProtection="1">
      <alignment vertical="center"/>
      <protection locked="0"/>
    </xf>
    <xf numFmtId="0" fontId="0" fillId="13" borderId="51" xfId="0" applyFill="1" applyBorder="1" applyAlignment="1" applyProtection="1">
      <alignment vertical="center"/>
      <protection locked="0"/>
    </xf>
    <xf numFmtId="0" fontId="22" fillId="13" borderId="0" xfId="0" applyFont="1" applyFill="1" applyAlignment="1">
      <alignment vertical="center"/>
    </xf>
    <xf numFmtId="0" fontId="22" fillId="13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27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 applyProtection="1">
      <alignment horizontal="center" vertical="center"/>
      <protection locked="0"/>
    </xf>
    <xf numFmtId="3" fontId="5" fillId="3" borderId="2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2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  <xf numFmtId="0" fontId="27" fillId="8" borderId="27" xfId="0" applyFont="1" applyFill="1" applyBorder="1" applyAlignment="1">
      <alignment horizontal="center" vertical="center"/>
    </xf>
    <xf numFmtId="0" fontId="27" fillId="8" borderId="26" xfId="0" applyFont="1" applyFill="1" applyBorder="1" applyAlignment="1">
      <alignment horizontal="center" vertical="center"/>
    </xf>
    <xf numFmtId="0" fontId="27" fillId="8" borderId="35" xfId="0" applyFont="1" applyFill="1" applyBorder="1" applyAlignment="1">
      <alignment horizontal="center" vertical="center"/>
    </xf>
    <xf numFmtId="0" fontId="27" fillId="8" borderId="52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vertical="center"/>
      <protection locked="0"/>
    </xf>
    <xf numFmtId="3" fontId="0" fillId="8" borderId="3" xfId="0" applyNumberFormat="1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left" vertical="top"/>
    </xf>
    <xf numFmtId="0" fontId="11" fillId="8" borderId="32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/>
    </xf>
    <xf numFmtId="0" fontId="8" fillId="3" borderId="23" xfId="0" applyFont="1" applyFill="1" applyBorder="1" applyAlignment="1">
      <alignment horizontal="left" vertical="top" wrapText="1"/>
    </xf>
    <xf numFmtId="0" fontId="8" fillId="3" borderId="32" xfId="0" applyFont="1" applyFill="1" applyBorder="1" applyAlignment="1">
      <alignment horizontal="left" vertical="top" wrapText="1"/>
    </xf>
    <xf numFmtId="0" fontId="8" fillId="3" borderId="53" xfId="0" applyFont="1" applyFill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8" xfId="0" applyFont="1" applyFill="1" applyBorder="1" applyAlignment="1">
      <alignment horizontal="left" vertical="top" wrapText="1"/>
    </xf>
    <xf numFmtId="0" fontId="8" fillId="3" borderId="38" xfId="0" applyFont="1" applyFill="1" applyBorder="1" applyAlignment="1">
      <alignment vertical="top" wrapText="1"/>
    </xf>
    <xf numFmtId="0" fontId="5" fillId="8" borderId="54" xfId="0" applyFont="1" applyFill="1" applyBorder="1" applyAlignment="1" applyProtection="1">
      <alignment horizontal="center" wrapText="1"/>
      <protection locked="0"/>
    </xf>
    <xf numFmtId="0" fontId="8" fillId="3" borderId="38" xfId="0" applyFont="1" applyFill="1" applyBorder="1" applyAlignment="1">
      <alignment horizontal="left" vertical="top"/>
    </xf>
    <xf numFmtId="0" fontId="5" fillId="3" borderId="17" xfId="0" applyFont="1" applyFill="1" applyBorder="1" applyAlignment="1" applyProtection="1">
      <alignment horizontal="center"/>
      <protection locked="0"/>
    </xf>
    <xf numFmtId="3" fontId="5" fillId="3" borderId="55" xfId="0" applyNumberFormat="1" applyFont="1" applyFill="1" applyBorder="1" applyAlignment="1" applyProtection="1">
      <alignment horizontal="center" wrapText="1"/>
      <protection locked="0"/>
    </xf>
    <xf numFmtId="0" fontId="8" fillId="4" borderId="5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3" fillId="8" borderId="57" xfId="0" applyFont="1" applyFill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/>
    </xf>
    <xf numFmtId="0" fontId="0" fillId="8" borderId="0" xfId="0" applyFill="1" applyAlignment="1">
      <alignment horizontal="right"/>
    </xf>
    <xf numFmtId="1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4" fontId="5" fillId="3" borderId="2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vertical="center"/>
    </xf>
    <xf numFmtId="0" fontId="0" fillId="13" borderId="48" xfId="0" applyFill="1" applyBorder="1" applyAlignment="1" applyProtection="1">
      <alignment horizontal="left" vertical="center"/>
      <protection locked="0"/>
    </xf>
    <xf numFmtId="0" fontId="70" fillId="13" borderId="49" xfId="11" applyFill="1" applyBorder="1" applyAlignment="1" applyProtection="1">
      <alignment vertical="center"/>
      <protection locked="0"/>
    </xf>
    <xf numFmtId="0" fontId="71" fillId="0" borderId="0" xfId="0" applyFont="1">
      <alignment/>
    </xf>
    <xf numFmtId="49" fontId="0" fillId="0" borderId="0" xfId="0" applyNumberFormat="1">
      <alignment/>
    </xf>
    <xf numFmtId="0" fontId="72" fillId="0" borderId="0" xfId="0" applyFont="1">
      <alignment/>
    </xf>
    <xf numFmtId="0" fontId="71" fillId="0" borderId="0" xfId="0" applyFont="1">
      <alignment/>
    </xf>
    <xf numFmtId="0" fontId="72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6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8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73" fillId="3" borderId="59" xfId="12" applyFont="1" applyFill="1" applyBorder="1" applyAlignment="1">
      <alignment vertical="center" wrapText="1"/>
      <protection/>
    </xf>
    <xf numFmtId="0" fontId="73" fillId="3" borderId="58" xfId="12" applyFont="1" applyFill="1" applyBorder="1" applyAlignment="1">
      <alignment horizontal="center" vertical="center" wrapText="1"/>
      <protection/>
    </xf>
    <xf numFmtId="0" fontId="5" fillId="0" borderId="59" xfId="12" applyBorder="1">
      <alignment/>
      <protection/>
    </xf>
    <xf numFmtId="0" fontId="5" fillId="0" borderId="60" xfId="12" applyBorder="1">
      <alignment/>
      <protection/>
    </xf>
    <xf numFmtId="1" fontId="5" fillId="0" borderId="61" xfId="13" applyNumberFormat="1" applyBorder="1" applyAlignment="1">
      <alignment horizontal="left"/>
      <protection/>
    </xf>
    <xf numFmtId="49" fontId="5" fillId="0" borderId="0" xfId="13" applyNumberFormat="1" applyAlignment="1">
      <alignment horizontal="center"/>
      <protection/>
    </xf>
    <xf numFmtId="0" fontId="0" fillId="0" borderId="18" xfId="0" applyBorder="1">
      <alignment/>
    </xf>
    <xf numFmtId="49" fontId="0" fillId="0" borderId="2" xfId="0" applyNumberFormat="1" applyBorder="1">
      <alignment/>
    </xf>
    <xf numFmtId="49" fontId="74" fillId="0" borderId="62" xfId="0" applyNumberFormat="1" applyFont="1" applyBorder="1" applyAlignment="1">
      <alignment horizontal="center" vertical="center"/>
    </xf>
    <xf numFmtId="0" fontId="0" fillId="0" borderId="61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73" fillId="3" borderId="2" xfId="12" applyFont="1" applyFill="1" applyBorder="1" applyAlignment="1">
      <alignment vertical="center" wrapText="1"/>
      <protection/>
    </xf>
    <xf numFmtId="0" fontId="73" fillId="3" borderId="25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1" xfId="12" applyBorder="1">
      <alignment/>
      <protection/>
    </xf>
    <xf numFmtId="0" fontId="5" fillId="0" borderId="63" xfId="13" applyBorder="1" applyAlignment="1">
      <alignment horizontal="left"/>
      <protection/>
    </xf>
    <xf numFmtId="1" fontId="5" fillId="0" borderId="63" xfId="13" applyNumberFormat="1" applyBorder="1" applyAlignment="1">
      <alignment horizontal="left"/>
      <protection/>
    </xf>
    <xf numFmtId="0" fontId="5" fillId="0" borderId="10" xfId="12" applyBorder="1">
      <alignment/>
      <protection/>
    </xf>
    <xf numFmtId="0" fontId="5" fillId="0" borderId="53" xfId="12" applyBorder="1" applyAlignment="1">
      <alignment horizontal="center" vertical="center"/>
      <protection/>
    </xf>
    <xf numFmtId="1" fontId="5" fillId="0" borderId="63" xfId="13" applyNumberFormat="1" applyBorder="1" applyAlignment="1">
      <alignment horizontal="left" vertical="top" wrapText="1"/>
      <protection/>
    </xf>
    <xf numFmtId="49" fontId="5" fillId="0" borderId="0" xfId="13" applyNumberFormat="1" applyAlignment="1">
      <alignment horizontal="center" vertical="top"/>
      <protection/>
    </xf>
    <xf numFmtId="49" fontId="75" fillId="0" borderId="62" xfId="0" applyNumberFormat="1" applyFont="1" applyBorder="1" applyAlignment="1">
      <alignment horizontal="center" vertical="center"/>
    </xf>
    <xf numFmtId="1" fontId="76" fillId="0" borderId="63" xfId="0" applyNumberFormat="1" applyFont="1" applyBorder="1" applyAlignment="1">
      <alignment horizontal="left"/>
    </xf>
    <xf numFmtId="49" fontId="76" fillId="0" borderId="0" xfId="0" applyNumberFormat="1" applyFont="1" applyAlignment="1">
      <alignment horizontal="center"/>
    </xf>
    <xf numFmtId="0" fontId="73" fillId="3" borderId="3" xfId="12" applyFont="1" applyFill="1" applyBorder="1" applyAlignment="1">
      <alignment vertical="center" wrapText="1"/>
      <protection/>
    </xf>
    <xf numFmtId="0" fontId="73" fillId="3" borderId="53" xfId="12" applyFont="1" applyFill="1" applyBorder="1" applyAlignment="1">
      <alignment horizontal="center" vertical="center" wrapText="1"/>
      <protection/>
    </xf>
    <xf numFmtId="0" fontId="5" fillId="0" borderId="3" xfId="12" applyBorder="1">
      <alignment/>
      <protection/>
    </xf>
    <xf numFmtId="0" fontId="5" fillId="0" borderId="8" xfId="12" applyBorder="1">
      <alignment/>
      <protection/>
    </xf>
    <xf numFmtId="1" fontId="5" fillId="0" borderId="64" xfId="13" applyNumberFormat="1" applyBorder="1" applyAlignment="1">
      <alignment horizontal="left"/>
      <protection/>
    </xf>
    <xf numFmtId="49" fontId="0" fillId="0" borderId="3" xfId="0" applyNumberFormat="1" applyBorder="1">
      <alignment/>
    </xf>
    <xf numFmtId="49" fontId="75" fillId="0" borderId="55" xfId="0" applyNumberFormat="1" applyFont="1" applyBorder="1" applyAlignment="1">
      <alignment horizontal="center" vertical="center"/>
    </xf>
    <xf numFmtId="0" fontId="0" fillId="0" borderId="64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14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77" fillId="0" borderId="0" xfId="0" applyFont="1">
      <alignment/>
    </xf>
    <xf numFmtId="0" fontId="0" fillId="14" borderId="0" xfId="0" applyFont="1" applyFill="1">
      <alignment/>
    </xf>
    <xf numFmtId="1" fontId="0" fillId="0" borderId="0" xfId="0" applyNumberFormat="1">
      <alignment/>
    </xf>
    <xf numFmtId="0" fontId="78" fillId="0" borderId="0" xfId="0" applyFont="1">
      <alignment/>
    </xf>
    <xf numFmtId="0" fontId="0" fillId="15" borderId="0" xfId="0" applyFill="1" applyAlignment="1">
      <alignment horizontal="right" vertical="center"/>
    </xf>
    <xf numFmtId="0" fontId="5" fillId="16" borderId="0" xfId="12" applyFill="1">
      <alignment/>
      <protection/>
    </xf>
    <xf numFmtId="0" fontId="0" fillId="17" borderId="0" xfId="15" applyFill="1">
      <alignment/>
      <protection/>
    </xf>
    <xf numFmtId="0" fontId="0" fillId="0" borderId="0" xfId="15">
      <alignment/>
      <protection/>
    </xf>
    <xf numFmtId="0" fontId="4" fillId="3" borderId="0" xfId="0" applyFont="1" applyFill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49" fontId="77" fillId="0" borderId="0" xfId="0" applyNumberFormat="1" applyFont="1">
      <alignment/>
    </xf>
    <xf numFmtId="0" fontId="0" fillId="18" borderId="0" xfId="0" applyFill="1">
      <alignment/>
    </xf>
    <xf numFmtId="0" fontId="5" fillId="19" borderId="0" xfId="12" applyFill="1">
      <alignment/>
      <protection/>
    </xf>
    <xf numFmtId="0" fontId="80" fillId="19" borderId="0" xfId="12" applyFont="1" applyFill="1" applyAlignment="1">
      <alignment vertical="top"/>
      <protection/>
    </xf>
    <xf numFmtId="0" fontId="81" fillId="19" borderId="0" xfId="12" applyFont="1" applyFill="1" applyAlignment="1">
      <alignment wrapText="1"/>
      <protection/>
    </xf>
    <xf numFmtId="0" fontId="80" fillId="19" borderId="0" xfId="12" applyFont="1" applyFill="1" applyAlignment="1">
      <alignment wrapText="1"/>
      <protection/>
    </xf>
    <xf numFmtId="0" fontId="80" fillId="19" borderId="0" xfId="12" applyFont="1" applyFill="1">
      <alignment/>
      <protection/>
    </xf>
    <xf numFmtId="0" fontId="82" fillId="19" borderId="0" xfId="10" applyFont="1" applyFill="1" applyAlignment="1" applyProtection="1">
      <alignment wrapText="1"/>
      <protection/>
    </xf>
    <xf numFmtId="0" fontId="80" fillId="19" borderId="0" xfId="13" applyFont="1" applyFill="1" applyAlignment="1">
      <alignment wrapText="1"/>
      <protection/>
    </xf>
    <xf numFmtId="0" fontId="18" fillId="19" borderId="0" xfId="12" applyFont="1" applyFill="1" applyAlignment="1">
      <alignment horizontal="right" wrapText="1"/>
      <protection/>
    </xf>
    <xf numFmtId="0" fontId="80" fillId="19" borderId="0" xfId="12" applyFont="1" applyFill="1" applyAlignment="1">
      <alignment horizontal="right" wrapText="1"/>
      <protection/>
    </xf>
    <xf numFmtId="0" fontId="0" fillId="0" borderId="65" xfId="0" applyBorder="1">
      <alignment/>
    </xf>
    <xf numFmtId="0" fontId="0" fillId="0" borderId="0" xfId="0" applyFont="1" quotePrefix="1">
      <alignment/>
    </xf>
    <xf numFmtId="0" fontId="27" fillId="8" borderId="55" xfId="0" applyFont="1" applyFill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/>
      <protection locked="0"/>
    </xf>
    <xf numFmtId="9" fontId="0" fillId="7" borderId="3" xfId="0" applyNumberFormat="1" applyFill="1" applyBorder="1" applyAlignment="1">
      <alignment horizontal="center" vertical="center"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4" xfId="0" applyNumberFormat="1" applyBorder="1" applyAlignment="1" applyProtection="1">
      <alignment horizontal="center" vertical="center"/>
      <protection locked="0"/>
    </xf>
    <xf numFmtId="0" fontId="0" fillId="20" borderId="0" xfId="0" applyFill="1">
      <alignment/>
    </xf>
    <xf numFmtId="0" fontId="87" fillId="21" borderId="57" xfId="0" applyFont="1" applyFill="1" applyBorder="1" applyAlignment="1" applyProtection="1">
      <alignment horizontal="center" vertical="center"/>
      <protection locked="0"/>
    </xf>
    <xf numFmtId="0" fontId="74" fillId="17" borderId="0" xfId="16" applyFont="1" applyFill="1">
      <alignment/>
      <protection/>
    </xf>
    <xf numFmtId="0" fontId="74" fillId="17" borderId="0" xfId="16" applyFont="1" applyFill="1" applyAlignment="1">
      <alignment wrapText="1"/>
      <protection/>
    </xf>
    <xf numFmtId="0" fontId="74" fillId="16" borderId="27" xfId="16" applyFont="1" applyFill="1" applyBorder="1" applyAlignment="1">
      <alignment horizontal="center" vertical="center"/>
      <protection/>
    </xf>
    <xf numFmtId="0" fontId="74" fillId="16" borderId="26" xfId="16" applyFont="1" applyFill="1" applyBorder="1" applyAlignment="1">
      <alignment horizontal="center" vertical="center"/>
      <protection/>
    </xf>
    <xf numFmtId="0" fontId="74" fillId="16" borderId="35" xfId="16" applyFont="1" applyFill="1" applyBorder="1" applyAlignment="1">
      <alignment horizontal="center" vertical="center" wrapText="1"/>
      <protection/>
    </xf>
    <xf numFmtId="0" fontId="74" fillId="17" borderId="0" xfId="16" applyFont="1" applyFill="1" applyAlignment="1">
      <alignment horizontal="center" vertical="center"/>
      <protection/>
    </xf>
    <xf numFmtId="0" fontId="90" fillId="16" borderId="2" xfId="16" applyFont="1" applyFill="1" applyBorder="1" applyAlignment="1" applyProtection="1">
      <alignment horizontal="left" vertical="center" indent="1"/>
      <protection locked="0"/>
    </xf>
    <xf numFmtId="49" fontId="90" fillId="16" borderId="1" xfId="16" applyNumberFormat="1" applyFont="1" applyFill="1" applyBorder="1" applyAlignment="1" applyProtection="1">
      <alignment horizontal="center" vertical="center"/>
      <protection locked="0"/>
    </xf>
    <xf numFmtId="49" fontId="90" fillId="16" borderId="2" xfId="16" applyNumberFormat="1" applyFont="1" applyFill="1" applyBorder="1" applyAlignment="1" applyProtection="1">
      <alignment horizontal="left" vertical="center" indent="1"/>
      <protection locked="0"/>
    </xf>
    <xf numFmtId="49" fontId="90" fillId="16" borderId="2" xfId="16" applyNumberFormat="1" applyFont="1" applyFill="1" applyBorder="1" applyAlignment="1" applyProtection="1">
      <alignment horizontal="center" vertical="center"/>
      <protection locked="0"/>
    </xf>
    <xf numFmtId="49" fontId="90" fillId="16" borderId="3" xfId="16" applyNumberFormat="1" applyFont="1" applyFill="1" applyBorder="1" applyAlignment="1" applyProtection="1">
      <alignment horizontal="left" vertical="center" indent="1"/>
      <protection locked="0"/>
    </xf>
    <xf numFmtId="49" fontId="90" fillId="16" borderId="3" xfId="16" applyNumberFormat="1" applyFont="1" applyFill="1" applyBorder="1" applyAlignment="1" applyProtection="1">
      <alignment horizontal="center" vertical="center"/>
      <protection locked="0"/>
    </xf>
    <xf numFmtId="49" fontId="90" fillId="16" borderId="8" xfId="16" applyNumberFormat="1" applyFont="1" applyFill="1" applyBorder="1" applyAlignment="1" applyProtection="1">
      <alignment horizontal="center" vertical="center"/>
      <protection locked="0"/>
    </xf>
    <xf numFmtId="0" fontId="91" fillId="16" borderId="0" xfId="16" applyFont="1" applyFill="1" applyAlignment="1">
      <alignment vertical="center"/>
      <protection/>
    </xf>
    <xf numFmtId="0" fontId="74" fillId="16" borderId="0" xfId="16" applyFont="1" applyFill="1" applyAlignment="1">
      <alignment horizontal="right" vertical="center"/>
      <protection/>
    </xf>
    <xf numFmtId="14" fontId="90" fillId="16" borderId="0" xfId="16" applyNumberFormat="1" applyFont="1" applyFill="1" applyAlignment="1">
      <alignment horizontal="center" vertical="center"/>
      <protection/>
    </xf>
    <xf numFmtId="0" fontId="74" fillId="16" borderId="0" xfId="16" applyFont="1" applyFill="1">
      <alignment/>
      <protection/>
    </xf>
    <xf numFmtId="0" fontId="3" fillId="17" borderId="0" xfId="16" applyFont="1" applyFill="1">
      <alignment/>
      <protection/>
    </xf>
    <xf numFmtId="0" fontId="2" fillId="17" borderId="0" xfId="16" applyFill="1" applyAlignment="1">
      <alignment wrapText="1"/>
      <protection/>
    </xf>
    <xf numFmtId="0" fontId="2" fillId="17" borderId="0" xfId="16" applyFill="1">
      <alignment/>
      <protection/>
    </xf>
    <xf numFmtId="0" fontId="88" fillId="17" borderId="0" xfId="16" applyFont="1" applyFill="1" applyAlignment="1">
      <alignment vertical="center"/>
      <protection/>
    </xf>
    <xf numFmtId="0" fontId="74" fillId="16" borderId="0" xfId="16" applyFont="1" applyFill="1" applyAlignment="1">
      <alignment vertical="center"/>
      <protection/>
    </xf>
    <xf numFmtId="49" fontId="91" fillId="16" borderId="65" xfId="16" applyNumberFormat="1" applyFont="1" applyFill="1" applyBorder="1" applyAlignment="1">
      <alignment horizontal="center" vertical="center"/>
      <protection/>
    </xf>
    <xf numFmtId="49" fontId="91" fillId="16" borderId="0" xfId="16" applyNumberFormat="1" applyFont="1" applyFill="1" applyAlignment="1">
      <alignment vertical="center"/>
      <protection/>
    </xf>
    <xf numFmtId="0" fontId="90" fillId="16" borderId="66" xfId="16" applyFont="1" applyFill="1" applyBorder="1" applyAlignment="1" applyProtection="1">
      <alignment horizontal="left" vertical="center" indent="1"/>
      <protection locked="0"/>
    </xf>
    <xf numFmtId="49" fontId="90" fillId="16" borderId="0" xfId="16" applyNumberFormat="1" applyFont="1" applyFill="1" applyAlignment="1">
      <alignment vertical="center"/>
      <protection/>
    </xf>
    <xf numFmtId="14" fontId="90" fillId="16" borderId="66" xfId="16" applyNumberFormat="1" applyFont="1" applyFill="1" applyBorder="1" applyAlignment="1" applyProtection="1">
      <alignment horizontal="center" vertical="center"/>
      <protection locked="0"/>
    </xf>
    <xf numFmtId="0" fontId="2" fillId="16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5" borderId="0" xfId="0" applyFont="1" applyFill="1" applyAlignment="1">
      <alignment horizontal="right" vertical="center"/>
    </xf>
    <xf numFmtId="0" fontId="0" fillId="16" borderId="0" xfId="0" applyFill="1" applyAlignment="1">
      <alignment vertical="center"/>
    </xf>
    <xf numFmtId="0" fontId="74" fillId="16" borderId="0" xfId="16" applyFont="1" applyFill="1" applyAlignment="1">
      <alignment horizontal="center"/>
      <protection/>
    </xf>
    <xf numFmtId="0" fontId="74" fillId="16" borderId="0" xfId="16" applyFont="1" applyFill="1" applyAlignment="1">
      <alignment horizontal="left" vertical="center"/>
      <protection/>
    </xf>
    <xf numFmtId="0" fontId="74" fillId="16" borderId="26" xfId="16" applyFont="1" applyFill="1" applyBorder="1" applyAlignment="1">
      <alignment horizontal="center" vertical="center" wrapText="1"/>
      <protection/>
    </xf>
    <xf numFmtId="0" fontId="0" fillId="16" borderId="0" xfId="0" applyFill="1">
      <alignment/>
    </xf>
    <xf numFmtId="0" fontId="0" fillId="16" borderId="33" xfId="0" applyFill="1" applyBorder="1" applyAlignment="1">
      <alignment vertical="center"/>
    </xf>
    <xf numFmtId="0" fontId="27" fillId="16" borderId="0" xfId="0" applyFont="1" applyFill="1" applyAlignment="1">
      <alignment vertical="center"/>
    </xf>
    <xf numFmtId="0" fontId="27" fillId="16" borderId="36" xfId="0" applyFont="1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0" fontId="0" fillId="16" borderId="58" xfId="0" applyFill="1" applyBorder="1" applyAlignment="1">
      <alignment vertical="center"/>
    </xf>
    <xf numFmtId="0" fontId="0" fillId="16" borderId="65" xfId="0" applyFill="1" applyBorder="1" applyAlignment="1">
      <alignment vertical="center"/>
    </xf>
    <xf numFmtId="0" fontId="0" fillId="16" borderId="67" xfId="0" applyFill="1" applyBorder="1" applyAlignment="1">
      <alignment vertical="center"/>
    </xf>
    <xf numFmtId="0" fontId="39" fillId="16" borderId="0" xfId="0" applyFont="1" applyFill="1" applyAlignment="1">
      <alignment horizontal="center" vertical="center"/>
    </xf>
    <xf numFmtId="0" fontId="0" fillId="16" borderId="0" xfId="0" applyFont="1" applyFill="1" applyAlignment="1">
      <alignment vertical="center"/>
    </xf>
    <xf numFmtId="0" fontId="3" fillId="16" borderId="2" xfId="0" applyFont="1" applyFill="1" applyBorder="1" applyAlignment="1" applyProtection="1">
      <alignment horizontal="center" vertical="center"/>
      <protection locked="0"/>
    </xf>
    <xf numFmtId="0" fontId="0" fillId="16" borderId="68" xfId="0" applyFill="1" applyBorder="1" applyAlignment="1">
      <alignment vertical="center"/>
    </xf>
    <xf numFmtId="0" fontId="0" fillId="16" borderId="69" xfId="0" applyFill="1" applyBorder="1" applyAlignment="1">
      <alignment vertical="center"/>
    </xf>
    <xf numFmtId="0" fontId="0" fillId="22" borderId="0" xfId="0" applyFill="1">
      <alignment/>
    </xf>
    <xf numFmtId="0" fontId="3" fillId="22" borderId="0" xfId="0" applyFont="1" applyFill="1">
      <alignment/>
    </xf>
    <xf numFmtId="0" fontId="0" fillId="22" borderId="0" xfId="0" applyFill="1" applyAlignment="1">
      <alignment vertical="center"/>
    </xf>
    <xf numFmtId="0" fontId="0" fillId="22" borderId="0" xfId="0" applyFont="1" applyFill="1">
      <alignment/>
    </xf>
    <xf numFmtId="0" fontId="74" fillId="16" borderId="0" xfId="16" applyFont="1" applyFill="1" applyAlignment="1">
      <alignment horizontal="center" vertical="center" wrapText="1"/>
      <protection/>
    </xf>
    <xf numFmtId="0" fontId="90" fillId="16" borderId="33" xfId="16" applyFont="1" applyFill="1" applyBorder="1" applyAlignment="1">
      <alignment horizontal="center" vertical="center"/>
      <protection/>
    </xf>
    <xf numFmtId="0" fontId="91" fillId="16" borderId="0" xfId="16" applyFont="1" applyFill="1" applyAlignment="1" applyProtection="1">
      <alignment horizontal="center" vertical="center" wrapText="1"/>
      <protection locked="0"/>
    </xf>
    <xf numFmtId="0" fontId="90" fillId="16" borderId="62" xfId="16" applyFont="1" applyFill="1" applyBorder="1" applyAlignment="1" applyProtection="1">
      <alignment horizontal="left" vertical="center" indent="1"/>
      <protection locked="0"/>
    </xf>
    <xf numFmtId="49" fontId="90" fillId="16" borderId="62" xfId="16" applyNumberFormat="1" applyFont="1" applyFill="1" applyBorder="1" applyAlignment="1" applyProtection="1">
      <alignment horizontal="left" vertical="center" indent="1"/>
      <protection locked="0"/>
    </xf>
    <xf numFmtId="49" fontId="90" fillId="16" borderId="55" xfId="16" applyNumberFormat="1" applyFont="1" applyFill="1" applyBorder="1" applyAlignment="1" applyProtection="1">
      <alignment horizontal="left" vertical="center" indent="1"/>
      <protection locked="0"/>
    </xf>
    <xf numFmtId="0" fontId="90" fillId="16" borderId="2" xfId="16" applyFont="1" applyFill="1" applyBorder="1" applyAlignment="1" applyProtection="1">
      <alignment horizontal="center" vertical="center"/>
      <protection locked="0"/>
    </xf>
    <xf numFmtId="0" fontId="97" fillId="16" borderId="1" xfId="0" applyFont="1" applyFill="1" applyBorder="1" applyAlignment="1" applyProtection="1">
      <alignment horizontal="center" vertical="center"/>
      <protection locked="0"/>
    </xf>
    <xf numFmtId="0" fontId="96" fillId="16" borderId="2" xfId="16" applyFont="1" applyFill="1" applyBorder="1" applyAlignment="1">
      <alignment horizontal="center" vertical="center"/>
      <protection/>
    </xf>
    <xf numFmtId="0" fontId="27" fillId="16" borderId="31" xfId="0" applyFont="1" applyFill="1" applyBorder="1" applyAlignment="1">
      <alignment vertical="center"/>
    </xf>
    <xf numFmtId="0" fontId="91" fillId="16" borderId="0" xfId="16" applyFont="1" applyFill="1" applyAlignment="1">
      <alignment horizontal="center" vertical="center" wrapText="1"/>
      <protection/>
    </xf>
    <xf numFmtId="0" fontId="74" fillId="16" borderId="9" xfId="16" applyFont="1" applyFill="1" applyBorder="1" applyAlignment="1">
      <alignment horizontal="left" vertical="center" indent="1"/>
      <protection/>
    </xf>
    <xf numFmtId="49" fontId="74" fillId="16" borderId="9" xfId="16" applyNumberFormat="1" applyFont="1" applyFill="1" applyBorder="1" applyAlignment="1">
      <alignment horizontal="left" vertical="center" indent="1"/>
      <protection/>
    </xf>
    <xf numFmtId="49" fontId="90" fillId="16" borderId="10" xfId="16" applyNumberFormat="1" applyFont="1" applyFill="1" applyBorder="1" applyAlignment="1">
      <alignment horizontal="left" vertical="center" indent="1"/>
      <protection/>
    </xf>
    <xf numFmtId="0" fontId="35" fillId="13" borderId="48" xfId="10" applyFill="1" applyBorder="1" applyAlignment="1" applyProtection="1">
      <alignment vertical="center"/>
      <protection locked="0"/>
    </xf>
    <xf numFmtId="3" fontId="77" fillId="0" borderId="0" xfId="0" applyNumberFormat="1" applyFont="1">
      <alignment/>
    </xf>
    <xf numFmtId="0" fontId="0" fillId="0" borderId="1" xfId="0" applyBorder="1" applyAlignment="1" applyProtection="1">
      <alignment horizontal="center" vertical="center"/>
      <protection locked="0"/>
    </xf>
    <xf numFmtId="0" fontId="39" fillId="2" borderId="4" xfId="17" applyFont="1" applyBorder="1" applyAlignment="1">
      <alignment/>
    </xf>
    <xf numFmtId="0" fontId="39" fillId="2" borderId="70" xfId="17" applyFont="1" applyBorder="1" applyAlignment="1" applyProtection="1">
      <alignment horizontal="center"/>
      <protection/>
    </xf>
    <xf numFmtId="0" fontId="39" fillId="2" borderId="71" xfId="17" applyFont="1" applyBorder="1" applyAlignment="1">
      <alignment horizontal="center"/>
    </xf>
    <xf numFmtId="0" fontId="39" fillId="2" borderId="26" xfId="17" applyFont="1" applyBorder="1" applyAlignment="1">
      <alignment horizontal="center"/>
    </xf>
    <xf numFmtId="0" fontId="39" fillId="2" borderId="35" xfId="17" applyFont="1" applyBorder="1" applyAlignment="1">
      <alignment horizontal="center"/>
    </xf>
    <xf numFmtId="0" fontId="8" fillId="4" borderId="7" xfId="0" applyFont="1" applyFill="1" applyBorder="1" applyAlignment="1">
      <alignment vertical="center"/>
    </xf>
    <xf numFmtId="4" fontId="3" fillId="0" borderId="72" xfId="0" applyNumberFormat="1" applyFont="1" applyBorder="1" applyAlignment="1">
      <alignment vertical="center"/>
    </xf>
    <xf numFmtId="4" fontId="0" fillId="0" borderId="62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5" xfId="0" applyFont="1" applyFill="1" applyBorder="1" applyAlignment="1">
      <alignment vertical="center"/>
    </xf>
    <xf numFmtId="4" fontId="3" fillId="0" borderId="73" xfId="0" applyNumberFormat="1" applyFont="1" applyBorder="1" applyAlignment="1">
      <alignment vertical="center"/>
    </xf>
    <xf numFmtId="4" fontId="0" fillId="8" borderId="55" xfId="0" applyNumberFormat="1" applyFill="1" applyBorder="1" applyAlignment="1" applyProtection="1">
      <alignment vertical="center"/>
      <protection locked="0"/>
    </xf>
    <xf numFmtId="4" fontId="0" fillId="8" borderId="3" xfId="0" applyNumberFormat="1" applyFill="1" applyBorder="1" applyAlignment="1" applyProtection="1">
      <alignment vertical="center"/>
      <protection locked="0"/>
    </xf>
    <xf numFmtId="4" fontId="0" fillId="8" borderId="8" xfId="0" applyNumberFormat="1" applyFill="1" applyBorder="1" applyAlignment="1" applyProtection="1">
      <alignment vertical="center"/>
      <protection locked="0"/>
    </xf>
    <xf numFmtId="0" fontId="74" fillId="23" borderId="0" xfId="16" applyFont="1" applyFill="1">
      <alignment/>
      <protection/>
    </xf>
    <xf numFmtId="0" fontId="74" fillId="0" borderId="0" xfId="16" applyFont="1">
      <alignment/>
      <protection/>
    </xf>
    <xf numFmtId="0" fontId="27" fillId="16" borderId="36" xfId="16" applyFont="1" applyFill="1" applyBorder="1" applyAlignment="1">
      <alignment horizontal="left" vertical="center"/>
      <protection/>
    </xf>
    <xf numFmtId="0" fontId="27" fillId="16" borderId="0" xfId="16" applyFont="1" applyFill="1" applyAlignment="1">
      <alignment vertical="center"/>
      <protection/>
    </xf>
    <xf numFmtId="0" fontId="74" fillId="23" borderId="0" xfId="16" applyFont="1" applyFill="1" applyAlignment="1">
      <alignment vertical="center"/>
      <protection/>
    </xf>
    <xf numFmtId="0" fontId="74" fillId="0" borderId="0" xfId="16" applyFont="1" applyAlignment="1">
      <alignment vertical="center"/>
      <protection/>
    </xf>
    <xf numFmtId="4" fontId="27" fillId="16" borderId="0" xfId="16" applyNumberFormat="1" applyFont="1" applyFill="1" applyAlignment="1">
      <alignment vertical="center"/>
      <protection/>
    </xf>
    <xf numFmtId="4" fontId="74" fillId="23" borderId="0" xfId="16" applyNumberFormat="1" applyFont="1" applyFill="1" applyAlignment="1">
      <alignment vertical="center"/>
      <protection/>
    </xf>
    <xf numFmtId="4" fontId="74" fillId="0" borderId="0" xfId="16" applyNumberFormat="1" applyFont="1" applyAlignment="1">
      <alignment vertical="center"/>
      <protection/>
    </xf>
    <xf numFmtId="0" fontId="11" fillId="16" borderId="0" xfId="16" applyFont="1" applyFill="1">
      <alignment/>
      <protection/>
    </xf>
    <xf numFmtId="0" fontId="27" fillId="16" borderId="0" xfId="16" applyFont="1" applyFill="1" applyAlignment="1">
      <alignment horizontal="right" vertical="center"/>
      <protection/>
    </xf>
    <xf numFmtId="0" fontId="0" fillId="4" borderId="0" xfId="15" applyFill="1">
      <alignment/>
      <protection/>
    </xf>
    <xf numFmtId="0" fontId="0" fillId="3" borderId="0" xfId="15" applyFill="1">
      <alignment/>
      <protection/>
    </xf>
    <xf numFmtId="0" fontId="46" fillId="3" borderId="0" xfId="15" applyFont="1" applyFill="1">
      <alignment/>
      <protection/>
    </xf>
    <xf numFmtId="0" fontId="0" fillId="3" borderId="0" xfId="15" applyFill="1" applyProtection="1">
      <alignment/>
      <protection locked="0"/>
    </xf>
    <xf numFmtId="0" fontId="8" fillId="4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0" fillId="18" borderId="0" xfId="0" applyFont="1" applyFill="1" applyAlignment="1">
      <alignment horizontal="center"/>
    </xf>
    <xf numFmtId="0" fontId="49" fillId="24" borderId="0" xfId="0" applyFont="1" applyFill="1">
      <alignment/>
    </xf>
    <xf numFmtId="0" fontId="0" fillId="24" borderId="0" xfId="0" applyFill="1">
      <alignment/>
    </xf>
    <xf numFmtId="0" fontId="3" fillId="24" borderId="0" xfId="0" applyFont="1" applyFill="1">
      <alignment/>
    </xf>
    <xf numFmtId="0" fontId="0" fillId="24" borderId="0" xfId="0" applyFont="1" applyFill="1">
      <alignment/>
    </xf>
    <xf numFmtId="0" fontId="83" fillId="24" borderId="74" xfId="0" applyFont="1" applyFill="1" applyBorder="1" applyAlignment="1">
      <alignment horizontal="left" vertical="center"/>
    </xf>
    <xf numFmtId="0" fontId="0" fillId="24" borderId="75" xfId="0" applyFill="1" applyBorder="1" applyAlignment="1">
      <alignment horizontal="left"/>
    </xf>
    <xf numFmtId="0" fontId="0" fillId="24" borderId="76" xfId="0" applyFill="1" applyBorder="1" applyAlignment="1">
      <alignment horizontal="left"/>
    </xf>
    <xf numFmtId="0" fontId="83" fillId="24" borderId="77" xfId="0" applyFont="1" applyFill="1" applyBorder="1" applyAlignment="1">
      <alignment horizontal="left" vertical="center"/>
    </xf>
    <xf numFmtId="0" fontId="83" fillId="24" borderId="39" xfId="0" applyFont="1" applyFill="1" applyBorder="1" applyAlignment="1">
      <alignment horizontal="left" vertical="center"/>
    </xf>
    <xf numFmtId="0" fontId="83" fillId="24" borderId="78" xfId="0" applyFont="1" applyFill="1" applyBorder="1" applyAlignment="1">
      <alignment horizontal="left" vertical="center"/>
    </xf>
    <xf numFmtId="0" fontId="0" fillId="24" borderId="74" xfId="0" applyFill="1" applyBorder="1" applyAlignment="1">
      <alignment horizontal="left"/>
    </xf>
    <xf numFmtId="0" fontId="0" fillId="24" borderId="0" xfId="0" applyFill="1" applyAlignment="1">
      <alignment horizontal="left"/>
    </xf>
    <xf numFmtId="0" fontId="84" fillId="24" borderId="18" xfId="0" applyFont="1" applyFill="1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24" borderId="31" xfId="0" applyFill="1" applyBorder="1" applyAlignment="1">
      <alignment horizontal="left" vertical="center"/>
    </xf>
    <xf numFmtId="0" fontId="0" fillId="24" borderId="18" xfId="0" applyFill="1" applyBorder="1" applyAlignment="1">
      <alignment horizontal="left"/>
    </xf>
    <xf numFmtId="0" fontId="84" fillId="24" borderId="27" xfId="0" applyFont="1" applyFill="1" applyBorder="1" applyAlignment="1">
      <alignment horizontal="left" vertical="center"/>
    </xf>
    <xf numFmtId="0" fontId="0" fillId="24" borderId="26" xfId="0" applyFill="1" applyBorder="1" applyAlignment="1">
      <alignment horizontal="left" vertical="center"/>
    </xf>
    <xf numFmtId="0" fontId="0" fillId="24" borderId="35" xfId="0" applyFill="1" applyBorder="1" applyAlignment="1">
      <alignment horizontal="left" vertical="center"/>
    </xf>
    <xf numFmtId="0" fontId="84" fillId="24" borderId="77" xfId="0" applyFont="1" applyFill="1" applyBorder="1" applyAlignment="1">
      <alignment horizontal="center" vertical="center"/>
    </xf>
    <xf numFmtId="0" fontId="84" fillId="24" borderId="39" xfId="0" applyFont="1" applyFill="1" applyBorder="1" applyAlignment="1">
      <alignment horizontal="center" vertical="center"/>
    </xf>
    <xf numFmtId="0" fontId="84" fillId="24" borderId="78" xfId="0" applyFont="1" applyFill="1" applyBorder="1" applyAlignment="1">
      <alignment horizontal="center" vertical="center"/>
    </xf>
    <xf numFmtId="0" fontId="84" fillId="24" borderId="9" xfId="0" applyFont="1" applyFill="1" applyBorder="1" applyAlignment="1">
      <alignment horizontal="center" vertical="center"/>
    </xf>
    <xf numFmtId="0" fontId="84" fillId="24" borderId="2" xfId="0" applyFont="1" applyFill="1" applyBorder="1" applyAlignment="1">
      <alignment horizontal="center" vertical="center"/>
    </xf>
    <xf numFmtId="0" fontId="84" fillId="24" borderId="1" xfId="0" applyFont="1" applyFill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horizontal="center"/>
    </xf>
    <xf numFmtId="3" fontId="0" fillId="0" borderId="26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0" fontId="0" fillId="24" borderId="18" xfId="0" applyFill="1" applyBorder="1">
      <alignment/>
    </xf>
    <xf numFmtId="0" fontId="0" fillId="0" borderId="9" xfId="0" applyBorder="1" applyAlignment="1">
      <alignment vertical="center" wrapText="1"/>
    </xf>
    <xf numFmtId="49" fontId="0" fillId="0" borderId="2" xfId="0" applyNumberFormat="1" applyBorder="1" applyAlignment="1">
      <alignment horizontal="center"/>
    </xf>
    <xf numFmtId="3" fontId="0" fillId="0" borderId="2" xfId="0" applyNumberFormat="1" applyBorder="1">
      <alignment/>
    </xf>
    <xf numFmtId="3" fontId="0" fillId="0" borderId="1" xfId="0" applyNumberFormat="1" applyBorder="1">
      <alignment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49" fontId="0" fillId="0" borderId="2" xfId="0" applyNumberFormat="1" applyFont="1" applyBorder="1" applyAlignment="1">
      <alignment horizontal="center"/>
    </xf>
    <xf numFmtId="0" fontId="0" fillId="0" borderId="10" xfId="0" applyBorder="1" applyAlignment="1">
      <alignment vertical="center"/>
    </xf>
    <xf numFmtId="49" fontId="0" fillId="0" borderId="3" xfId="0" applyNumberFormat="1" applyFont="1" applyBorder="1" applyAlignment="1">
      <alignment horizontal="center"/>
    </xf>
    <xf numFmtId="3" fontId="0" fillId="0" borderId="3" xfId="0" applyNumberFormat="1" applyBorder="1">
      <alignment/>
    </xf>
    <xf numFmtId="3" fontId="0" fillId="0" borderId="8" xfId="0" applyNumberFormat="1" applyBorder="1">
      <alignment/>
    </xf>
    <xf numFmtId="3" fontId="0" fillId="24" borderId="0" xfId="0" applyNumberFormat="1" applyFill="1">
      <alignment/>
    </xf>
    <xf numFmtId="0" fontId="3" fillId="16" borderId="4" xfId="0" applyFont="1" applyFill="1" applyBorder="1">
      <alignment/>
    </xf>
    <xf numFmtId="0" fontId="3" fillId="16" borderId="21" xfId="0" applyFont="1" applyFill="1" applyBorder="1">
      <alignment/>
    </xf>
    <xf numFmtId="0" fontId="3" fillId="16" borderId="6" xfId="0" applyFont="1" applyFill="1" applyBorder="1">
      <alignment/>
    </xf>
    <xf numFmtId="0" fontId="0" fillId="16" borderId="77" xfId="0" applyFill="1" applyBorder="1">
      <alignment/>
    </xf>
    <xf numFmtId="0" fontId="0" fillId="16" borderId="39" xfId="0" applyFill="1" applyBorder="1">
      <alignment/>
    </xf>
    <xf numFmtId="0" fontId="0" fillId="16" borderId="78" xfId="0" applyFill="1" applyBorder="1">
      <alignment/>
    </xf>
    <xf numFmtId="0" fontId="0" fillId="0" borderId="3" xfId="0" applyBorder="1" applyAlignment="1">
      <alignment horizontal="center"/>
    </xf>
    <xf numFmtId="3" fontId="0" fillId="0" borderId="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49" fontId="0" fillId="24" borderId="0" xfId="0" applyNumberFormat="1" applyFill="1">
      <alignment/>
    </xf>
    <xf numFmtId="0" fontId="84" fillId="24" borderId="74" xfId="0" applyFont="1" applyFill="1" applyBorder="1" applyAlignment="1">
      <alignment horizontal="center" vertical="center"/>
    </xf>
    <xf numFmtId="0" fontId="84" fillId="24" borderId="75" xfId="0" applyFont="1" applyFill="1" applyBorder="1" applyAlignment="1">
      <alignment horizontal="center" vertical="center"/>
    </xf>
    <xf numFmtId="0" fontId="84" fillId="24" borderId="75" xfId="0" applyFont="1" applyFill="1" applyBorder="1" applyAlignment="1">
      <alignment horizontal="right" vertical="center"/>
    </xf>
    <xf numFmtId="0" fontId="84" fillId="24" borderId="76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/>
    </xf>
    <xf numFmtId="3" fontId="0" fillId="0" borderId="26" xfId="0" applyNumberFormat="1" applyFont="1" applyBorder="1">
      <alignment/>
    </xf>
    <xf numFmtId="3" fontId="0" fillId="0" borderId="35" xfId="0" applyNumberFormat="1" applyFont="1" applyBorder="1">
      <alignment/>
    </xf>
    <xf numFmtId="0" fontId="0" fillId="0" borderId="2" xfId="0" applyFont="1" applyBorder="1" applyAlignment="1">
      <alignment horizontal="center"/>
    </xf>
    <xf numFmtId="3" fontId="0" fillId="0" borderId="2" xfId="0" applyNumberFormat="1" applyFont="1" applyBorder="1">
      <alignment/>
    </xf>
    <xf numFmtId="3" fontId="0" fillId="0" borderId="1" xfId="0" applyNumberFormat="1" applyFont="1" applyBorder="1">
      <alignment/>
    </xf>
    <xf numFmtId="0" fontId="0" fillId="0" borderId="3" xfId="0" applyFont="1" applyBorder="1" applyAlignment="1">
      <alignment horizontal="center"/>
    </xf>
    <xf numFmtId="3" fontId="0" fillId="0" borderId="3" xfId="0" applyNumberFormat="1" applyFont="1" applyBorder="1">
      <alignment/>
    </xf>
    <xf numFmtId="3" fontId="0" fillId="0" borderId="8" xfId="0" applyNumberFormat="1" applyFont="1" applyBorder="1">
      <alignment/>
    </xf>
    <xf numFmtId="0" fontId="77" fillId="0" borderId="0" xfId="0" applyFont="1">
      <alignment/>
    </xf>
    <xf numFmtId="3" fontId="77" fillId="0" borderId="0" xfId="0" applyNumberFormat="1" applyFont="1">
      <alignment/>
    </xf>
    <xf numFmtId="0" fontId="11" fillId="8" borderId="79" xfId="0" applyFont="1" applyFill="1" applyBorder="1" applyAlignment="1">
      <alignment vertical="center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36" xfId="0" applyBorder="1" applyAlignment="1">
      <alignment vertical="center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horizontal="center"/>
    </xf>
    <xf numFmtId="0" fontId="0" fillId="8" borderId="36" xfId="0" applyFont="1" applyFill="1" applyBorder="1" applyAlignment="1">
      <alignment vertical="center"/>
    </xf>
    <xf numFmtId="0" fontId="0" fillId="3" borderId="36" xfId="0" applyFont="1" applyFill="1" applyBorder="1" applyAlignment="1">
      <alignment vertical="center"/>
    </xf>
    <xf numFmtId="0" fontId="86" fillId="20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/>
    </xf>
    <xf numFmtId="0" fontId="0" fillId="8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9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right" vertical="center"/>
    </xf>
    <xf numFmtId="49" fontId="11" fillId="8" borderId="0" xfId="0" applyNumberFormat="1" applyFont="1" applyFill="1" applyAlignment="1">
      <alignment horizontal="right" vertical="center"/>
    </xf>
    <xf numFmtId="0" fontId="3" fillId="8" borderId="2" xfId="0" applyFont="1" applyFill="1" applyBorder="1" applyAlignment="1">
      <alignment horizontal="center" vertical="center"/>
    </xf>
    <xf numFmtId="0" fontId="39" fillId="8" borderId="36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vertical="center"/>
    </xf>
    <xf numFmtId="0" fontId="0" fillId="8" borderId="43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3" fontId="0" fillId="8" borderId="0" xfId="0" applyNumberFormat="1" applyFont="1" applyFill="1" applyAlignment="1">
      <alignment vertical="center"/>
    </xf>
    <xf numFmtId="0" fontId="22" fillId="3" borderId="65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8" borderId="0" xfId="0" applyFont="1" applyFill="1" applyAlignment="1">
      <alignment horizontal="left" vertical="center"/>
    </xf>
    <xf numFmtId="0" fontId="3" fillId="8" borderId="33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9" fillId="8" borderId="33" xfId="0" applyFont="1" applyFill="1" applyBorder="1" applyAlignment="1">
      <alignment wrapText="1"/>
    </xf>
    <xf numFmtId="0" fontId="53" fillId="8" borderId="0" xfId="0" applyFont="1" applyFill="1" applyAlignment="1">
      <alignment horizontal="center"/>
    </xf>
    <xf numFmtId="0" fontId="0" fillId="25" borderId="0" xfId="0" applyFill="1">
      <alignment/>
    </xf>
    <xf numFmtId="0" fontId="78" fillId="8" borderId="0" xfId="0" applyFont="1" applyFill="1" applyAlignment="1">
      <alignment vertical="center"/>
    </xf>
    <xf numFmtId="0" fontId="3" fillId="8" borderId="80" xfId="0" applyFont="1" applyFill="1" applyBorder="1" applyAlignment="1" applyProtection="1">
      <alignment horizontal="center" vertical="center"/>
      <protection locked="0"/>
    </xf>
    <xf numFmtId="0" fontId="108" fillId="26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62" fillId="26" borderId="0" xfId="0" applyFont="1" applyFill="1" applyAlignment="1">
      <alignment vertical="center"/>
    </xf>
    <xf numFmtId="0" fontId="108" fillId="27" borderId="0" xfId="0" applyFont="1" applyFill="1" applyAlignment="1">
      <alignment vertical="center"/>
    </xf>
    <xf numFmtId="0" fontId="3" fillId="8" borderId="81" xfId="0" applyFont="1" applyFill="1" applyBorder="1" applyAlignment="1" applyProtection="1">
      <alignment horizontal="center" vertical="center"/>
      <protection locked="0"/>
    </xf>
    <xf numFmtId="0" fontId="0" fillId="26" borderId="82" xfId="0" applyFill="1" applyBorder="1">
      <alignment/>
    </xf>
    <xf numFmtId="0" fontId="13" fillId="28" borderId="80" xfId="0" applyFont="1" applyFill="1" applyBorder="1" applyAlignment="1" applyProtection="1">
      <alignment horizontal="center" vertical="center"/>
      <protection locked="0"/>
    </xf>
    <xf numFmtId="0" fontId="0" fillId="26" borderId="0" xfId="0" applyFill="1">
      <alignment/>
    </xf>
    <xf numFmtId="0" fontId="112" fillId="26" borderId="0" xfId="0" applyFont="1" applyFill="1" applyAlignment="1">
      <alignment horizontal="center"/>
    </xf>
    <xf numFmtId="0" fontId="78" fillId="29" borderId="83" xfId="0" applyFont="1" applyFill="1" applyBorder="1" applyAlignment="1">
      <alignment vertical="center"/>
    </xf>
    <xf numFmtId="0" fontId="113" fillId="29" borderId="84" xfId="0" applyFont="1" applyFill="1" applyBorder="1" applyAlignment="1">
      <alignment horizontal="left"/>
    </xf>
    <xf numFmtId="0" fontId="0" fillId="29" borderId="82" xfId="0" applyFill="1" applyBorder="1">
      <alignment/>
    </xf>
    <xf numFmtId="0" fontId="0" fillId="29" borderId="0" xfId="0" applyFill="1" applyAlignment="1">
      <alignment vertical="center"/>
    </xf>
    <xf numFmtId="0" fontId="0" fillId="26" borderId="85" xfId="0" applyFill="1" applyBorder="1">
      <alignment/>
    </xf>
    <xf numFmtId="0" fontId="43" fillId="26" borderId="0" xfId="0" applyFont="1" applyFill="1">
      <alignment/>
    </xf>
    <xf numFmtId="0" fontId="43" fillId="8" borderId="79" xfId="0" applyFont="1" applyFill="1" applyBorder="1">
      <alignment/>
    </xf>
    <xf numFmtId="0" fontId="0" fillId="16" borderId="2" xfId="0" applyFill="1" applyBorder="1" applyAlignment="1">
      <alignment vertical="center"/>
    </xf>
    <xf numFmtId="49" fontId="0" fillId="7" borderId="48" xfId="0" applyNumberFormat="1" applyFont="1" applyFill="1" applyBorder="1" applyAlignment="1" applyProtection="1">
      <alignment horizontal="left" vertical="center"/>
      <protection locked="0"/>
    </xf>
    <xf numFmtId="0" fontId="56" fillId="8" borderId="0" xfId="0" applyFont="1" applyFill="1" applyAlignment="1" applyProtection="1">
      <alignment vertical="center"/>
      <protection locked="0"/>
    </xf>
    <xf numFmtId="0" fontId="59" fillId="3" borderId="0" xfId="0" applyFont="1" applyFill="1" applyAlignment="1" applyProtection="1">
      <alignment vertical="center"/>
      <protection locked="0"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39" fillId="8" borderId="36" xfId="0" applyFont="1" applyFill="1" applyBorder="1" applyAlignment="1">
      <alignment horizontal="center" vertical="center"/>
    </xf>
    <xf numFmtId="0" fontId="90" fillId="16" borderId="66" xfId="16" applyFont="1" applyFill="1" applyBorder="1" applyAlignment="1" applyProtection="1">
      <alignment horizontal="center" vertical="center"/>
      <protection locked="0"/>
    </xf>
    <xf numFmtId="0" fontId="5" fillId="7" borderId="37" xfId="0" applyFont="1" applyFill="1" applyBorder="1" applyAlignment="1">
      <alignment vertical="center"/>
    </xf>
    <xf numFmtId="0" fontId="8" fillId="19" borderId="5" xfId="0" applyFont="1" applyFill="1" applyBorder="1" applyAlignment="1">
      <alignment horizontal="center" vertical="center"/>
    </xf>
    <xf numFmtId="0" fontId="8" fillId="19" borderId="7" xfId="0" applyFont="1" applyFill="1" applyBorder="1" applyAlignment="1">
      <alignment horizontal="center" vertical="center"/>
    </xf>
    <xf numFmtId="0" fontId="8" fillId="19" borderId="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0" fontId="0" fillId="0" borderId="40" xfId="15" applyBorder="1" applyAlignment="1">
      <alignment vertical="center"/>
      <protection/>
    </xf>
    <xf numFmtId="0" fontId="0" fillId="8" borderId="0" xfId="15" applyFill="1">
      <alignment/>
      <protection/>
    </xf>
    <xf numFmtId="0" fontId="0" fillId="8" borderId="0" xfId="15" applyFill="1" applyAlignment="1">
      <alignment vertical="center"/>
      <protection/>
    </xf>
    <xf numFmtId="0" fontId="0" fillId="0" borderId="0" xfId="15" applyAlignment="1">
      <alignment vertical="center"/>
      <protection/>
    </xf>
    <xf numFmtId="0" fontId="7" fillId="4" borderId="0" xfId="15" applyFont="1" applyFill="1" applyAlignment="1">
      <alignment wrapText="1" shrinkToFit="1"/>
      <protection/>
    </xf>
    <xf numFmtId="0" fontId="8" fillId="4" borderId="25" xfId="15" applyFont="1" applyFill="1" applyBorder="1" applyAlignment="1">
      <alignment horizontal="center" vertical="center"/>
      <protection/>
    </xf>
    <xf numFmtId="0" fontId="8" fillId="4" borderId="1" xfId="15" applyFont="1" applyFill="1" applyBorder="1" applyAlignment="1">
      <alignment horizontal="center" vertical="center"/>
      <protection/>
    </xf>
    <xf numFmtId="0" fontId="8" fillId="4" borderId="7" xfId="15" applyFont="1" applyFill="1" applyBorder="1" applyAlignment="1">
      <alignment horizontal="center" vertical="center"/>
      <protection/>
    </xf>
    <xf numFmtId="3" fontId="5" fillId="3" borderId="2" xfId="15" applyNumberFormat="1" applyFont="1" applyFill="1" applyBorder="1" applyAlignment="1" applyProtection="1">
      <alignment horizontal="center" vertical="center"/>
      <protection locked="0"/>
    </xf>
    <xf numFmtId="0" fontId="5" fillId="4" borderId="1" xfId="15" applyFont="1" applyFill="1" applyBorder="1" applyAlignment="1">
      <alignment horizontal="left"/>
      <protection/>
    </xf>
    <xf numFmtId="3" fontId="5" fillId="3" borderId="2" xfId="15" applyNumberFormat="1" applyFont="1" applyFill="1" applyBorder="1" applyAlignment="1">
      <alignment horizontal="center" vertical="center"/>
      <protection/>
    </xf>
    <xf numFmtId="0" fontId="19" fillId="8" borderId="0" xfId="15" applyFont="1" applyFill="1">
      <alignment/>
      <protection/>
    </xf>
    <xf numFmtId="0" fontId="19" fillId="0" borderId="0" xfId="15" applyFont="1">
      <alignment/>
      <protection/>
    </xf>
    <xf numFmtId="0" fontId="5" fillId="5" borderId="0" xfId="15" applyFont="1" applyFill="1">
      <alignment/>
      <protection/>
    </xf>
    <xf numFmtId="0" fontId="0" fillId="5" borderId="0" xfId="15" applyFill="1">
      <alignment/>
      <protection/>
    </xf>
    <xf numFmtId="0" fontId="6" fillId="19" borderId="27" xfId="15" applyFont="1" applyFill="1" applyBorder="1" applyAlignment="1">
      <alignment horizontal="center" vertical="center" wrapText="1"/>
      <protection/>
    </xf>
    <xf numFmtId="0" fontId="6" fillId="19" borderId="26" xfId="15" applyFont="1" applyFill="1" applyBorder="1" applyAlignment="1">
      <alignment horizontal="center" vertical="center" wrapText="1"/>
      <protection/>
    </xf>
    <xf numFmtId="0" fontId="6" fillId="19" borderId="32" xfId="15" applyFont="1" applyFill="1" applyBorder="1" applyAlignment="1">
      <alignment horizontal="center" vertical="center" wrapText="1"/>
      <protection/>
    </xf>
    <xf numFmtId="0" fontId="6" fillId="19" borderId="35" xfId="15" applyFont="1" applyFill="1" applyBorder="1" applyAlignment="1">
      <alignment horizontal="center" vertical="center" wrapText="1"/>
      <protection/>
    </xf>
    <xf numFmtId="0" fontId="6" fillId="5" borderId="0" xfId="15" applyFont="1" applyFill="1" applyAlignment="1">
      <alignment horizontal="right"/>
      <protection/>
    </xf>
    <xf numFmtId="0" fontId="46" fillId="20" borderId="0" xfId="15" applyFont="1" applyFill="1" applyAlignment="1">
      <alignment horizontal="left" vertical="center"/>
      <protection/>
    </xf>
    <xf numFmtId="14" fontId="0" fillId="19" borderId="9" xfId="8" applyNumberFormat="1" applyFill="1" applyBorder="1" applyAlignment="1">
      <alignment horizontal="center" vertical="center"/>
    </xf>
    <xf numFmtId="3" fontId="5" fillId="3" borderId="2" xfId="15" applyNumberFormat="1" applyFont="1" applyFill="1" applyBorder="1" applyAlignment="1">
      <alignment horizontal="center" vertical="center"/>
      <protection/>
    </xf>
    <xf numFmtId="3" fontId="5" fillId="3" borderId="25" xfId="15" applyNumberFormat="1" applyFont="1" applyFill="1" applyBorder="1" applyAlignment="1">
      <alignment horizontal="center" vertical="center"/>
      <protection/>
    </xf>
    <xf numFmtId="3" fontId="5" fillId="3" borderId="1" xfId="15" applyNumberFormat="1" applyFont="1" applyFill="1" applyBorder="1" applyAlignment="1">
      <alignment horizontal="center" vertical="center"/>
      <protection/>
    </xf>
    <xf numFmtId="0" fontId="25" fillId="19" borderId="0" xfId="15" applyFont="1" applyFill="1" applyAlignment="1">
      <alignment horizontal="center" vertical="center"/>
      <protection/>
    </xf>
    <xf numFmtId="165" fontId="0" fillId="19" borderId="9" xfId="8" applyNumberFormat="1" applyFill="1" applyBorder="1" applyAlignment="1">
      <alignment horizontal="center" vertical="center" wrapText="1"/>
    </xf>
    <xf numFmtId="14" fontId="5" fillId="19" borderId="7" xfId="15" applyNumberFormat="1" applyFont="1" applyFill="1" applyBorder="1" applyAlignment="1">
      <alignment horizontal="center" vertical="center"/>
      <protection/>
    </xf>
    <xf numFmtId="3" fontId="0" fillId="3" borderId="2" xfId="15" applyNumberFormat="1" applyFill="1" applyBorder="1" applyAlignment="1">
      <alignment horizontal="center" vertical="center"/>
      <protection/>
    </xf>
    <xf numFmtId="14" fontId="0" fillId="19" borderId="10" xfId="8" applyNumberFormat="1" applyFill="1" applyBorder="1" applyAlignment="1">
      <alignment horizontal="center" vertical="center"/>
    </xf>
    <xf numFmtId="3" fontId="0" fillId="3" borderId="3" xfId="15" applyNumberFormat="1" applyFill="1" applyBorder="1" applyAlignment="1">
      <alignment horizontal="center" vertical="center"/>
      <protection/>
    </xf>
    <xf numFmtId="3" fontId="5" fillId="3" borderId="3" xfId="15" applyNumberFormat="1" applyFont="1" applyFill="1" applyBorder="1" applyAlignment="1">
      <alignment horizontal="center" vertical="center"/>
      <protection/>
    </xf>
    <xf numFmtId="3" fontId="5" fillId="3" borderId="8" xfId="15" applyNumberFormat="1" applyFont="1" applyFill="1" applyBorder="1" applyAlignment="1">
      <alignment horizontal="center" vertical="center"/>
      <protection/>
    </xf>
    <xf numFmtId="16" fontId="5" fillId="5" borderId="0" xfId="15" applyNumberFormat="1" applyFont="1" applyFill="1" applyAlignment="1">
      <alignment horizontal="center"/>
      <protection/>
    </xf>
    <xf numFmtId="0" fontId="0" fillId="0" borderId="62" xfId="0" applyBorder="1">
      <alignment/>
    </xf>
    <xf numFmtId="0" fontId="0" fillId="16" borderId="36" xfId="0" applyFill="1" applyBorder="1" applyAlignment="1">
      <alignment vertical="center"/>
    </xf>
    <xf numFmtId="0" fontId="0" fillId="0" borderId="65" xfId="0" applyBorder="1" applyAlignment="1">
      <alignment vertical="center" wrapText="1"/>
    </xf>
    <xf numFmtId="0" fontId="0" fillId="0" borderId="22" xfId="0" applyBorder="1">
      <alignment/>
    </xf>
    <xf numFmtId="0" fontId="11" fillId="16" borderId="67" xfId="0" applyFont="1" applyFill="1" applyBorder="1" applyAlignment="1">
      <alignment horizontal="right" vertical="center" wrapText="1"/>
    </xf>
    <xf numFmtId="0" fontId="11" fillId="0" borderId="59" xfId="0" applyFont="1" applyBorder="1" applyAlignment="1">
      <alignment horizontal="righ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0" fillId="8" borderId="0" xfId="0" applyNumberFormat="1" applyFont="1" applyFill="1" applyAlignment="1" applyProtection="1">
      <alignment horizontal="left" vertical="center"/>
      <protection locked="0"/>
    </xf>
    <xf numFmtId="0" fontId="0" fillId="27" borderId="85" xfId="0" applyFill="1" applyBorder="1" applyAlignment="1">
      <alignment vertical="center"/>
    </xf>
    <xf numFmtId="0" fontId="0" fillId="27" borderId="82" xfId="0" applyFill="1" applyBorder="1">
      <alignment/>
    </xf>
    <xf numFmtId="0" fontId="0" fillId="26" borderId="0" xfId="0" applyFill="1" applyAlignment="1">
      <alignment vertical="center"/>
    </xf>
    <xf numFmtId="0" fontId="119" fillId="26" borderId="82" xfId="0" applyFont="1" applyFill="1" applyBorder="1" applyAlignment="1">
      <alignment horizontal="left" vertical="center"/>
    </xf>
    <xf numFmtId="0" fontId="0" fillId="26" borderId="82" xfId="0" applyFill="1" applyBorder="1" applyAlignment="1">
      <alignment vertical="center"/>
    </xf>
    <xf numFmtId="0" fontId="0" fillId="8" borderId="79" xfId="0" applyFill="1" applyBorder="1">
      <alignment/>
    </xf>
    <xf numFmtId="0" fontId="118" fillId="30" borderId="0" xfId="0" applyFont="1" applyFill="1" applyAlignment="1">
      <alignment horizontal="center"/>
    </xf>
    <xf numFmtId="0" fontId="78" fillId="29" borderId="82" xfId="0" applyFont="1" applyFill="1" applyBorder="1" applyAlignment="1">
      <alignment vertical="center"/>
    </xf>
    <xf numFmtId="0" fontId="113" fillId="29" borderId="0" xfId="0" applyFont="1" applyFill="1" applyAlignment="1">
      <alignment horizontal="left"/>
    </xf>
    <xf numFmtId="0" fontId="113" fillId="29" borderId="85" xfId="0" applyFont="1" applyFill="1" applyBorder="1" applyAlignment="1">
      <alignment horizontal="left"/>
    </xf>
    <xf numFmtId="0" fontId="87" fillId="21" borderId="57" xfId="0" applyFont="1" applyFill="1" applyBorder="1" applyAlignment="1" applyProtection="1">
      <alignment horizontal="center" vertical="center"/>
      <protection locked="0"/>
    </xf>
    <xf numFmtId="0" fontId="0" fillId="8" borderId="86" xfId="0" applyFill="1" applyBorder="1">
      <alignment/>
    </xf>
    <xf numFmtId="0" fontId="0" fillId="16" borderId="85" xfId="0" applyFill="1" applyBorder="1" applyAlignment="1">
      <alignment vertical="center"/>
    </xf>
    <xf numFmtId="0" fontId="13" fillId="28" borderId="2" xfId="0" applyFont="1" applyFill="1" applyBorder="1" applyAlignment="1" applyProtection="1">
      <alignment horizontal="center" vertical="center"/>
      <protection locked="0"/>
    </xf>
    <xf numFmtId="0" fontId="0" fillId="16" borderId="33" xfId="0" applyFill="1" applyBorder="1">
      <alignment/>
    </xf>
    <xf numFmtId="0" fontId="0" fillId="20" borderId="33" xfId="0" applyFont="1" applyFill="1" applyBorder="1" applyAlignment="1">
      <alignment vertical="center"/>
    </xf>
    <xf numFmtId="0" fontId="0" fillId="20" borderId="33" xfId="0" applyFill="1" applyBorder="1" applyAlignment="1">
      <alignment vertical="center"/>
    </xf>
    <xf numFmtId="0" fontId="121" fillId="20" borderId="33" xfId="0" applyFont="1" applyFill="1" applyBorder="1" applyAlignment="1">
      <alignment horizontal="left"/>
    </xf>
    <xf numFmtId="0" fontId="121" fillId="20" borderId="0" xfId="0" applyFont="1" applyFill="1" applyAlignment="1">
      <alignment horizontal="left"/>
    </xf>
    <xf numFmtId="0" fontId="19" fillId="8" borderId="0" xfId="0" applyFont="1" applyFill="1" applyAlignment="1">
      <alignment vertical="center"/>
    </xf>
    <xf numFmtId="0" fontId="62" fillId="8" borderId="0" xfId="0" applyFont="1" applyFill="1" applyAlignment="1">
      <alignment vertical="center"/>
    </xf>
    <xf numFmtId="0" fontId="19" fillId="0" borderId="87" xfId="0" applyFont="1" applyBorder="1" applyAlignment="1">
      <alignment vertical="center"/>
    </xf>
    <xf numFmtId="49" fontId="62" fillId="8" borderId="0" xfId="0" applyNumberFormat="1" applyFont="1" applyFill="1" applyAlignment="1">
      <alignment vertical="center"/>
    </xf>
    <xf numFmtId="0" fontId="0" fillId="20" borderId="86" xfId="0" applyFont="1" applyFill="1" applyBorder="1">
      <alignment/>
    </xf>
    <xf numFmtId="0" fontId="7" fillId="21" borderId="0" xfId="0" applyFont="1" applyFill="1" applyAlignment="1">
      <alignment horizontal="center"/>
    </xf>
    <xf numFmtId="0" fontId="0" fillId="20" borderId="86" xfId="0" applyFill="1" applyBorder="1">
      <alignment/>
    </xf>
    <xf numFmtId="0" fontId="39" fillId="20" borderId="0" xfId="0" applyFont="1" applyFill="1" applyAlignment="1">
      <alignment horizontal="center"/>
    </xf>
    <xf numFmtId="0" fontId="0" fillId="20" borderId="86" xfId="0" applyFont="1" applyFill="1" applyBorder="1" applyAlignment="1">
      <alignment vertical="center"/>
    </xf>
    <xf numFmtId="0" fontId="50" fillId="20" borderId="86" xfId="0" applyFont="1" applyFill="1" applyBorder="1" applyAlignment="1">
      <alignment horizontal="left" vertical="center"/>
    </xf>
    <xf numFmtId="0" fontId="121" fillId="20" borderId="79" xfId="0" applyFont="1" applyFill="1" applyBorder="1" applyAlignment="1">
      <alignment horizontal="left"/>
    </xf>
    <xf numFmtId="0" fontId="43" fillId="8" borderId="0" xfId="0" applyFont="1" applyFill="1">
      <alignment/>
    </xf>
    <xf numFmtId="0" fontId="61" fillId="8" borderId="86" xfId="0" applyFont="1" applyFill="1" applyBorder="1" applyAlignment="1">
      <alignment horizontal="center"/>
    </xf>
    <xf numFmtId="0" fontId="0" fillId="20" borderId="88" xfId="0" applyFont="1" applyFill="1" applyBorder="1" applyAlignment="1">
      <alignment vertical="center"/>
    </xf>
    <xf numFmtId="0" fontId="11" fillId="7" borderId="59" xfId="15" applyFont="1" applyFill="1" applyBorder="1" applyAlignment="1">
      <alignment horizontal="center" vertical="center" wrapText="1"/>
      <protection/>
    </xf>
    <xf numFmtId="0" fontId="11" fillId="7" borderId="60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2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3" xfId="15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0" applyBorder="1" applyAlignment="1">
      <alignment horizontal="center" vertical="center"/>
    </xf>
    <xf numFmtId="0" fontId="11" fillId="7" borderId="59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10" fontId="0" fillId="0" borderId="0" xfId="0" applyNumberFormat="1">
      <alignment/>
    </xf>
    <xf numFmtId="0" fontId="71" fillId="0" borderId="0" xfId="0" applyFont="1">
      <alignment/>
    </xf>
    <xf numFmtId="0" fontId="0" fillId="3" borderId="0" xfId="15" applyFill="1" applyAlignment="1">
      <alignment vertical="top" wrapText="1"/>
      <protection/>
    </xf>
    <xf numFmtId="0" fontId="86" fillId="8" borderId="0" xfId="0" applyFont="1" applyFill="1">
      <alignment/>
    </xf>
    <xf numFmtId="3" fontId="5" fillId="3" borderId="2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27" borderId="0" xfId="0" applyFill="1">
      <alignment/>
    </xf>
    <xf numFmtId="0" fontId="78" fillId="27" borderId="0" xfId="0" applyFont="1" applyFill="1">
      <alignment/>
    </xf>
    <xf numFmtId="0" fontId="11" fillId="26" borderId="0" xfId="0" applyFont="1" applyFill="1">
      <alignment/>
    </xf>
    <xf numFmtId="0" fontId="0" fillId="27" borderId="85" xfId="0" applyFill="1" applyBorder="1">
      <alignment/>
    </xf>
    <xf numFmtId="0" fontId="113" fillId="26" borderId="0" xfId="0" applyFont="1" applyFill="1">
      <alignment/>
    </xf>
    <xf numFmtId="0" fontId="78" fillId="27" borderId="85" xfId="0" applyFont="1" applyFill="1" applyBorder="1">
      <alignment/>
    </xf>
    <xf numFmtId="0" fontId="0" fillId="16" borderId="0" xfId="0" applyFont="1" applyFill="1">
      <alignment/>
    </xf>
    <xf numFmtId="0" fontId="121" fillId="20" borderId="0" xfId="0" applyFont="1" applyFill="1">
      <alignment/>
    </xf>
    <xf numFmtId="0" fontId="11" fillId="20" borderId="0" xfId="0" applyFont="1" applyFill="1">
      <alignment/>
    </xf>
    <xf numFmtId="0" fontId="0" fillId="20" borderId="82" xfId="0" applyFill="1" applyBorder="1">
      <alignment/>
    </xf>
    <xf numFmtId="0" fontId="78" fillId="16" borderId="33" xfId="0" applyFont="1" applyFill="1" applyBorder="1" applyAlignment="1">
      <alignment vertical="center"/>
    </xf>
    <xf numFmtId="0" fontId="0" fillId="0" borderId="43" xfId="0" applyBorder="1" applyAlignment="1">
      <alignment vertical="center"/>
    </xf>
    <xf numFmtId="0" fontId="0" fillId="26" borderId="89" xfId="0" applyFill="1" applyBorder="1">
      <alignment/>
    </xf>
    <xf numFmtId="0" fontId="3" fillId="8" borderId="90" xfId="0" applyFont="1" applyFill="1" applyBorder="1" applyAlignment="1" applyProtection="1">
      <alignment horizontal="center" vertical="center"/>
      <protection locked="0"/>
    </xf>
    <xf numFmtId="0" fontId="0" fillId="16" borderId="85" xfId="0" applyFill="1" applyBorder="1">
      <alignment/>
    </xf>
    <xf numFmtId="0" fontId="0" fillId="20" borderId="85" xfId="0" applyFill="1" applyBorder="1">
      <alignment/>
    </xf>
    <xf numFmtId="0" fontId="13" fillId="21" borderId="2" xfId="0" applyFont="1" applyFill="1" applyBorder="1" applyAlignment="1" applyProtection="1">
      <alignment horizontal="center" vertical="center"/>
      <protection locked="0"/>
    </xf>
    <xf numFmtId="0" fontId="0" fillId="16" borderId="85" xfId="0" applyFont="1" applyFill="1" applyBorder="1">
      <alignment/>
    </xf>
    <xf numFmtId="0" fontId="3" fillId="8" borderId="2" xfId="0" applyFont="1" applyFill="1" applyBorder="1" applyAlignment="1" applyProtection="1">
      <alignment horizontal="center" vertical="center"/>
      <protection locked="0"/>
    </xf>
    <xf numFmtId="0" fontId="54" fillId="8" borderId="43" xfId="0" applyFont="1" applyFill="1" applyBorder="1" applyAlignment="1">
      <alignment vertical="center"/>
    </xf>
    <xf numFmtId="0" fontId="19" fillId="8" borderId="0" xfId="0" applyFont="1" applyFill="1">
      <alignment/>
    </xf>
    <xf numFmtId="0" fontId="54" fillId="19" borderId="0" xfId="0" applyFont="1" applyFill="1" applyAlignment="1">
      <alignment horizontal="left" vertical="center" wrapText="1"/>
    </xf>
    <xf numFmtId="0" fontId="3" fillId="3" borderId="40" xfId="0" applyFont="1" applyFill="1" applyBorder="1" applyAlignment="1" applyProtection="1">
      <alignment horizontal="center" vertical="center"/>
      <protection locked="0"/>
    </xf>
    <xf numFmtId="0" fontId="103" fillId="19" borderId="0" xfId="10" applyFont="1" applyFill="1" applyAlignment="1" applyProtection="1">
      <alignment/>
      <protection/>
    </xf>
    <xf numFmtId="0" fontId="80" fillId="19" borderId="0" xfId="12" applyFont="1" applyFill="1" applyAlignment="1">
      <alignment wrapText="1" shrinkToFit="1"/>
      <protection/>
    </xf>
    <xf numFmtId="0" fontId="81" fillId="19" borderId="0" xfId="13" applyFont="1" applyFill="1" applyAlignment="1">
      <alignment wrapText="1"/>
      <protection/>
    </xf>
    <xf numFmtId="0" fontId="21" fillId="19" borderId="0" xfId="12" applyFont="1" applyFill="1">
      <alignment/>
      <protection/>
    </xf>
    <xf numFmtId="0" fontId="18" fillId="4" borderId="0" xfId="15" applyFont="1" applyFill="1" applyAlignment="1">
      <alignment horizontal="center" wrapText="1"/>
      <protection/>
    </xf>
    <xf numFmtId="0" fontId="103" fillId="7" borderId="0" xfId="10" applyFont="1" applyFill="1" applyAlignment="1" applyProtection="1">
      <alignment horizontal="center" wrapText="1"/>
      <protection/>
    </xf>
    <xf numFmtId="0" fontId="103" fillId="7" borderId="0" xfId="15" applyFont="1" applyFill="1" applyAlignment="1">
      <alignment horizontal="center" wrapText="1"/>
      <protection/>
    </xf>
    <xf numFmtId="0" fontId="0" fillId="3" borderId="0" xfId="15" applyFill="1" applyAlignment="1">
      <alignment vertical="top" wrapText="1"/>
      <protection/>
    </xf>
    <xf numFmtId="0" fontId="10" fillId="4" borderId="0" xfId="15" applyFont="1" applyFill="1" applyAlignment="1">
      <alignment horizontal="center" wrapText="1"/>
      <protection/>
    </xf>
    <xf numFmtId="0" fontId="18" fillId="4" borderId="0" xfId="15" applyFont="1" applyFill="1" applyAlignment="1">
      <alignment horizontal="left" vertical="center" wrapText="1"/>
      <protection/>
    </xf>
    <xf numFmtId="0" fontId="33" fillId="4" borderId="0" xfId="15" applyFont="1" applyFill="1" applyAlignment="1">
      <alignment horizontal="left" vertical="center" wrapText="1"/>
      <protection/>
    </xf>
    <xf numFmtId="0" fontId="59" fillId="4" borderId="0" xfId="0" applyFont="1" applyFill="1" applyAlignment="1">
      <alignment horizontal="left" wrapText="1" shrinkToFit="1"/>
    </xf>
    <xf numFmtId="0" fontId="12" fillId="4" borderId="0" xfId="15" applyFont="1" applyFill="1" applyAlignment="1">
      <alignment horizontal="center" wrapText="1"/>
      <protection/>
    </xf>
    <xf numFmtId="0" fontId="55" fillId="3" borderId="0" xfId="15" applyFont="1" applyFill="1" applyAlignment="1">
      <alignment vertical="center"/>
      <protection/>
    </xf>
    <xf numFmtId="0" fontId="44" fillId="4" borderId="0" xfId="15" applyFont="1" applyFill="1" applyAlignment="1">
      <alignment horizontal="center" wrapText="1"/>
      <protection/>
    </xf>
    <xf numFmtId="0" fontId="100" fillId="4" borderId="0" xfId="15" applyFont="1" applyFill="1" applyAlignment="1">
      <alignment horizontal="center"/>
      <protection/>
    </xf>
    <xf numFmtId="0" fontId="18" fillId="4" borderId="0" xfId="0" applyFont="1" applyFill="1" applyAlignment="1">
      <alignment horizontal="center" vertical="center" wrapText="1"/>
    </xf>
    <xf numFmtId="0" fontId="126" fillId="4" borderId="0" xfId="0" applyFont="1" applyFill="1" applyAlignment="1">
      <alignment horizontal="center" vertical="center" wrapText="1"/>
    </xf>
    <xf numFmtId="0" fontId="59" fillId="0" borderId="0" xfId="15" applyFont="1" applyAlignment="1">
      <alignment horizontal="left" vertical="center" wrapText="1"/>
      <protection/>
    </xf>
    <xf numFmtId="0" fontId="100" fillId="4" borderId="0" xfId="15" applyFont="1" applyFill="1" applyAlignment="1">
      <alignment horizontal="left" vertical="center" wrapText="1"/>
      <protection/>
    </xf>
    <xf numFmtId="0" fontId="21" fillId="19" borderId="0" xfId="12" applyFont="1" applyFill="1">
      <alignment/>
      <protection/>
    </xf>
    <xf numFmtId="0" fontId="5" fillId="19" borderId="0" xfId="12" applyFill="1">
      <alignment/>
      <protection/>
    </xf>
    <xf numFmtId="0" fontId="0" fillId="31" borderId="0" xfId="0" applyFill="1">
      <alignment/>
    </xf>
    <xf numFmtId="0" fontId="0" fillId="0" borderId="0" xfId="0">
      <alignment/>
    </xf>
    <xf numFmtId="0" fontId="22" fillId="8" borderId="0" xfId="0" applyFont="1" applyFill="1" applyAlignment="1">
      <alignment horizontal="center" vertical="center"/>
    </xf>
    <xf numFmtId="0" fontId="22" fillId="8" borderId="91" xfId="0" applyFont="1" applyFill="1" applyBorder="1" applyAlignment="1">
      <alignment vertical="center"/>
    </xf>
    <xf numFmtId="0" fontId="0" fillId="0" borderId="92" xfId="0" applyBorder="1" applyAlignment="1">
      <alignment vertical="center"/>
    </xf>
    <xf numFmtId="0" fontId="57" fillId="8" borderId="48" xfId="0" applyFont="1" applyFill="1" applyBorder="1" applyAlignment="1" applyProtection="1">
      <alignment horizontal="center" vertical="center"/>
      <protection locked="0"/>
    </xf>
    <xf numFmtId="0" fontId="57" fillId="0" borderId="0" xfId="0" applyFont="1" applyAlignment="1" applyProtection="1">
      <alignment horizontal="center" vertical="center"/>
      <protection locked="0"/>
    </xf>
    <xf numFmtId="0" fontId="57" fillId="0" borderId="49" xfId="0" applyFont="1" applyBorder="1" applyAlignment="1" applyProtection="1">
      <alignment horizontal="center" vertical="center"/>
      <protection locked="0"/>
    </xf>
    <xf numFmtId="0" fontId="49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8" borderId="0" xfId="0" applyFont="1" applyFill="1" applyAlignment="1">
      <alignment horizontal="center" vertical="center"/>
    </xf>
    <xf numFmtId="0" fontId="0" fillId="13" borderId="48" xfId="0" applyFont="1" applyFill="1" applyBorder="1" applyAlignment="1" applyProtection="1">
      <alignment vertical="top"/>
      <protection locked="0"/>
    </xf>
    <xf numFmtId="0" fontId="0" fillId="13" borderId="48" xfId="0" applyFill="1" applyBorder="1" applyAlignment="1" applyProtection="1">
      <alignment vertical="top"/>
      <protection locked="0"/>
    </xf>
    <xf numFmtId="0" fontId="0" fillId="12" borderId="93" xfId="0" applyFill="1" applyBorder="1" applyAlignment="1" applyProtection="1">
      <alignment vertical="top"/>
      <protection locked="0"/>
    </xf>
    <xf numFmtId="0" fontId="0" fillId="12" borderId="49" xfId="0" applyFill="1" applyBorder="1" applyAlignment="1" applyProtection="1">
      <alignment vertical="top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0" fillId="0" borderId="21" xfId="0" applyBorder="1" applyProtection="1">
      <alignment/>
      <protection locked="0"/>
    </xf>
    <xf numFmtId="0" fontId="0" fillId="0" borderId="71" xfId="0" applyBorder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5" xfId="0" applyFont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8" borderId="54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left"/>
    </xf>
    <xf numFmtId="0" fontId="6" fillId="4" borderId="33" xfId="0" applyFont="1" applyFill="1" applyBorder="1" applyAlignment="1">
      <alignment horizontal="right"/>
    </xf>
    <xf numFmtId="0" fontId="18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4" borderId="0" xfId="0" applyFont="1" applyFill="1">
      <alignment/>
    </xf>
    <xf numFmtId="0" fontId="3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2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7" fillId="8" borderId="42" xfId="0" applyFont="1" applyFill="1" applyBorder="1" applyAlignment="1" applyProtection="1">
      <alignment horizontal="center" vertical="center" wrapText="1"/>
      <protection locked="0"/>
    </xf>
    <xf numFmtId="49" fontId="35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>
      <alignment/>
    </xf>
    <xf numFmtId="0" fontId="8" fillId="4" borderId="75" xfId="0" applyFont="1" applyFill="1" applyBorder="1" applyAlignment="1">
      <alignment horizontal="center" wrapText="1"/>
    </xf>
    <xf numFmtId="0" fontId="0" fillId="0" borderId="75" xfId="0" applyBorder="1">
      <alignment/>
    </xf>
    <xf numFmtId="49" fontId="8" fillId="4" borderId="0" xfId="0" applyNumberFormat="1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0" fillId="0" borderId="36" xfId="0" applyBorder="1" applyAlignment="1">
      <alignment vertical="center"/>
    </xf>
    <xf numFmtId="0" fontId="8" fillId="3" borderId="53" xfId="0" applyFont="1" applyFill="1" applyBorder="1" applyAlignment="1">
      <alignment horizontal="left" vertical="top"/>
    </xf>
    <xf numFmtId="0" fontId="0" fillId="0" borderId="23" xfId="0" applyBorder="1">
      <alignment/>
    </xf>
    <xf numFmtId="0" fontId="5" fillId="3" borderId="19" xfId="0" applyFont="1" applyFill="1" applyBorder="1" applyAlignment="1" applyProtection="1">
      <alignment horizontal="left"/>
      <protection locked="0"/>
    </xf>
    <xf numFmtId="0" fontId="0" fillId="0" borderId="19" xfId="0" applyFont="1" applyBorder="1" applyProtection="1">
      <alignment/>
      <protection locked="0"/>
    </xf>
    <xf numFmtId="0" fontId="0" fillId="0" borderId="54" xfId="0" applyFont="1" applyBorder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75" xfId="0" applyNumberFormat="1" applyBorder="1" applyProtection="1">
      <alignment/>
      <protection locked="0"/>
    </xf>
    <xf numFmtId="49" fontId="0" fillId="0" borderId="94" xfId="0" applyNumberFormat="1" applyBorder="1" applyProtection="1">
      <alignment/>
      <protection locked="0"/>
    </xf>
    <xf numFmtId="49" fontId="6" fillId="4" borderId="0" xfId="0" applyNumberFormat="1" applyFont="1" applyFill="1">
      <alignment/>
    </xf>
    <xf numFmtId="49" fontId="5" fillId="0" borderId="0" xfId="0" applyNumberFormat="1" applyFont="1">
      <alignment/>
    </xf>
    <xf numFmtId="49" fontId="9" fillId="4" borderId="39" xfId="0" applyNumberFormat="1" applyFont="1" applyFill="1" applyBorder="1">
      <alignment/>
    </xf>
    <xf numFmtId="49" fontId="5" fillId="0" borderId="39" xfId="0" applyNumberFormat="1" applyFont="1" applyBorder="1">
      <alignment/>
    </xf>
    <xf numFmtId="0" fontId="0" fillId="0" borderId="39" xfId="0" applyBorder="1">
      <alignment/>
    </xf>
    <xf numFmtId="0" fontId="8" fillId="3" borderId="3" xfId="0" applyFont="1" applyFill="1" applyBorder="1" applyAlignment="1">
      <alignment horizontal="left" wrapText="1"/>
    </xf>
    <xf numFmtId="0" fontId="0" fillId="0" borderId="53" xfId="0" applyBorder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Font="1" applyFill="1" applyBorder="1">
      <alignment/>
    </xf>
    <xf numFmtId="0" fontId="5" fillId="0" borderId="39" xfId="0" applyFont="1" applyBorder="1">
      <alignment/>
    </xf>
    <xf numFmtId="0" fontId="6" fillId="4" borderId="75" xfId="0" applyFont="1" applyFill="1" applyBorder="1">
      <alignment/>
    </xf>
    <xf numFmtId="0" fontId="5" fillId="0" borderId="75" xfId="0" applyFont="1" applyBorder="1">
      <alignment/>
    </xf>
    <xf numFmtId="3" fontId="94" fillId="3" borderId="23" xfId="10" applyNumberFormat="1" applyFont="1" applyFill="1" applyBorder="1" applyAlignment="1" applyProtection="1">
      <alignment horizontal="center" wrapText="1"/>
      <protection locked="0"/>
    </xf>
    <xf numFmtId="0" fontId="95" fillId="3" borderId="55" xfId="0" applyFont="1" applyFill="1" applyBorder="1" applyAlignment="1" applyProtection="1">
      <alignment horizontal="center" wrapText="1"/>
      <protection locked="0"/>
    </xf>
    <xf numFmtId="0" fontId="12" fillId="4" borderId="0" xfId="0" applyFont="1" applyFill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62" xfId="0" applyFont="1" applyFill="1" applyBorder="1" applyAlignment="1">
      <alignment horizontal="left"/>
    </xf>
    <xf numFmtId="49" fontId="8" fillId="4" borderId="0" xfId="0" applyNumberFormat="1" applyFont="1" applyFill="1" applyAlignment="1">
      <alignment horizontal="left" vertical="center" wrapText="1"/>
    </xf>
    <xf numFmtId="0" fontId="8" fillId="7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4" fontId="8" fillId="4" borderId="0" xfId="0" applyNumberFormat="1" applyFont="1" applyFill="1" applyAlignment="1">
      <alignment horizontal="right" wrapText="1"/>
    </xf>
    <xf numFmtId="0" fontId="0" fillId="7" borderId="0" xfId="0" applyFill="1" applyAlignment="1">
      <alignment wrapText="1"/>
    </xf>
    <xf numFmtId="0" fontId="6" fillId="3" borderId="21" xfId="0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71" xfId="0" applyFont="1" applyBorder="1" applyAlignment="1" applyProtection="1">
      <alignment horizontal="center"/>
      <protection locked="0"/>
    </xf>
    <xf numFmtId="0" fontId="3" fillId="0" borderId="71" xfId="0" applyFont="1" applyBorder="1" applyAlignment="1" applyProtection="1">
      <alignment horizontal="center"/>
      <protection locked="0"/>
    </xf>
    <xf numFmtId="0" fontId="6" fillId="8" borderId="21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8" fillId="3" borderId="32" xfId="0" applyFont="1" applyFill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75" xfId="0" applyBorder="1" applyProtection="1">
      <alignment/>
      <protection locked="0"/>
    </xf>
    <xf numFmtId="0" fontId="0" fillId="0" borderId="94" xfId="0" applyBorder="1" applyProtection="1">
      <alignment/>
      <protection locked="0"/>
    </xf>
    <xf numFmtId="0" fontId="5" fillId="8" borderId="23" xfId="0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6" fillId="4" borderId="39" xfId="0" applyFont="1" applyFill="1" applyBorder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>
      <alignment/>
    </xf>
    <xf numFmtId="0" fontId="0" fillId="0" borderId="36" xfId="0" applyBorder="1">
      <alignment/>
    </xf>
    <xf numFmtId="0" fontId="5" fillId="4" borderId="0" xfId="0" applyFont="1" applyFill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2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>
      <alignment horizontal="left"/>
    </xf>
    <xf numFmtId="0" fontId="0" fillId="8" borderId="62" xfId="0" applyFont="1" applyFill="1" applyBorder="1" applyAlignment="1">
      <alignment horizontal="left"/>
    </xf>
    <xf numFmtId="0" fontId="8" fillId="4" borderId="0" xfId="0" applyFont="1" applyFill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>
      <alignment/>
    </xf>
    <xf numFmtId="0" fontId="0" fillId="0" borderId="22" xfId="0" applyBorder="1">
      <alignment/>
    </xf>
    <xf numFmtId="0" fontId="8" fillId="4" borderId="22" xfId="0" applyFont="1" applyFill="1" applyBorder="1" applyAlignment="1">
      <alignment horizontal="left"/>
    </xf>
    <xf numFmtId="0" fontId="8" fillId="4" borderId="68" xfId="0" applyFont="1" applyFill="1" applyBorder="1" applyAlignment="1">
      <alignment horizontal="center"/>
    </xf>
    <xf numFmtId="0" fontId="0" fillId="0" borderId="24" xfId="0" applyBorder="1">
      <alignment/>
    </xf>
    <xf numFmtId="0" fontId="0" fillId="0" borderId="69" xfId="0" applyBorder="1">
      <alignment/>
    </xf>
    <xf numFmtId="0" fontId="0" fillId="0" borderId="33" xfId="0" applyBorder="1">
      <alignment/>
    </xf>
    <xf numFmtId="0" fontId="0" fillId="0" borderId="58" xfId="0" applyBorder="1">
      <alignment/>
    </xf>
    <xf numFmtId="0" fontId="0" fillId="0" borderId="65" xfId="0" applyBorder="1">
      <alignment/>
    </xf>
    <xf numFmtId="0" fontId="0" fillId="0" borderId="67" xfId="0" applyBorder="1">
      <alignment/>
    </xf>
    <xf numFmtId="49" fontId="8" fillId="4" borderId="0" xfId="0" applyNumberFormat="1" applyFont="1" applyFill="1" applyAlignment="1">
      <alignment horizontal="left" vertical="top"/>
    </xf>
    <xf numFmtId="49" fontId="12" fillId="4" borderId="0" xfId="0" applyNumberFormat="1" applyFont="1" applyFill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22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13" fillId="4" borderId="0" xfId="0" applyFont="1" applyFill="1" applyAlignment="1">
      <alignment horizontal="left"/>
    </xf>
    <xf numFmtId="0" fontId="27" fillId="7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0" borderId="62" xfId="0" applyNumberFormat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horizontal="center" vertical="center"/>
    </xf>
    <xf numFmtId="0" fontId="0" fillId="7" borderId="22" xfId="0" applyFill="1" applyBorder="1">
      <alignment/>
    </xf>
    <xf numFmtId="0" fontId="0" fillId="7" borderId="41" xfId="0" applyFill="1" applyBorder="1">
      <alignment/>
    </xf>
    <xf numFmtId="0" fontId="8" fillId="4" borderId="21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8" fillId="4" borderId="4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71" xfId="0" applyFont="1" applyFill="1" applyBorder="1" applyAlignment="1">
      <alignment horizontal="center"/>
    </xf>
    <xf numFmtId="0" fontId="8" fillId="4" borderId="26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0" fontId="8" fillId="4" borderId="22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3" fontId="5" fillId="3" borderId="53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5" xfId="0" applyNumberFormat="1" applyBorder="1" applyAlignment="1" applyProtection="1">
      <alignment horizontal="center" vertical="center"/>
      <protection locked="0"/>
    </xf>
    <xf numFmtId="0" fontId="5" fillId="4" borderId="53" xfId="0" applyFont="1" applyFill="1" applyBorder="1" applyAlignment="1">
      <alignment horizontal="center" vertical="center"/>
    </xf>
    <xf numFmtId="0" fontId="0" fillId="7" borderId="23" xfId="0" applyFill="1" applyBorder="1">
      <alignment/>
    </xf>
    <xf numFmtId="0" fontId="0" fillId="7" borderId="42" xfId="0" applyFill="1" applyBorder="1">
      <alignment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0" fillId="0" borderId="62" xfId="0" applyNumberFormat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8" fillId="4" borderId="23" xfId="0" applyFont="1" applyFill="1" applyBorder="1" applyAlignment="1">
      <alignment vertical="center" wrapText="1"/>
    </xf>
    <xf numFmtId="0" fontId="0" fillId="0" borderId="23" xfId="0" applyBorder="1" applyAlignment="1">
      <alignment wrapText="1"/>
    </xf>
    <xf numFmtId="0" fontId="0" fillId="0" borderId="55" xfId="0" applyBorder="1" applyAlignment="1">
      <alignment wrapText="1"/>
    </xf>
    <xf numFmtId="0" fontId="8" fillId="4" borderId="32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1" xfId="0" applyNumberFormat="1" applyFont="1" applyFill="1" applyBorder="1" applyAlignment="1">
      <alignment horizontal="center" vertical="center"/>
    </xf>
    <xf numFmtId="3" fontId="0" fillId="0" borderId="71" xfId="0" applyNumberFormat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0" fillId="7" borderId="21" xfId="0" applyFill="1" applyBorder="1">
      <alignment/>
    </xf>
    <xf numFmtId="0" fontId="0" fillId="7" borderId="6" xfId="0" applyFill="1" applyBorder="1">
      <alignment/>
    </xf>
    <xf numFmtId="0" fontId="0" fillId="0" borderId="22" xfId="0" applyBorder="1" applyAlignment="1">
      <alignment wrapText="1"/>
    </xf>
    <xf numFmtId="0" fontId="0" fillId="0" borderId="62" xfId="0" applyBorder="1" applyAlignment="1">
      <alignment wrapText="1"/>
    </xf>
    <xf numFmtId="0" fontId="5" fillId="4" borderId="25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0" fillId="0" borderId="21" xfId="0" applyBorder="1">
      <alignment/>
    </xf>
    <xf numFmtId="0" fontId="0" fillId="0" borderId="6" xfId="0" applyBorder="1">
      <alignment/>
    </xf>
    <xf numFmtId="3" fontId="5" fillId="3" borderId="53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0" fontId="5" fillId="4" borderId="53" xfId="0" applyFont="1" applyFill="1" applyBorder="1" applyAlignment="1">
      <alignment vertical="center"/>
    </xf>
    <xf numFmtId="0" fontId="0" fillId="0" borderId="42" xfId="0" applyBorder="1">
      <alignment/>
    </xf>
    <xf numFmtId="0" fontId="6" fillId="4" borderId="75" xfId="0" applyFont="1" applyFill="1" applyBorder="1" applyAlignment="1">
      <alignment horizontal="center"/>
    </xf>
    <xf numFmtId="0" fontId="5" fillId="7" borderId="75" xfId="0" applyFont="1" applyFill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8" fillId="4" borderId="21" xfId="0" applyFont="1" applyFill="1" applyBorder="1" applyAlignment="1">
      <alignment vertical="center" wrapText="1"/>
    </xf>
    <xf numFmtId="0" fontId="8" fillId="4" borderId="71" xfId="0" applyFont="1" applyFill="1" applyBorder="1" applyAlignment="1">
      <alignment vertical="center" wrapText="1"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71" xfId="0" applyNumberForma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0" fillId="0" borderId="22" xfId="0" applyBorder="1">
      <alignment/>
    </xf>
    <xf numFmtId="0" fontId="0" fillId="0" borderId="62" xfId="0" applyBorder="1">
      <alignment/>
    </xf>
    <xf numFmtId="3" fontId="5" fillId="3" borderId="32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41" xfId="0" applyBorder="1">
      <alignment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5" fillId="3" borderId="25" xfId="0" applyNumberFormat="1" applyFont="1" applyFill="1" applyBorder="1" applyAlignment="1" applyProtection="1">
      <alignment horizontal="center" vertical="center"/>
      <protection locked="0"/>
    </xf>
    <xf numFmtId="4" fontId="0" fillId="0" borderId="62" xfId="0" applyNumberFormat="1" applyBorder="1" applyAlignment="1" applyProtection="1">
      <alignment horizontal="center" vertical="center"/>
      <protection locked="0"/>
    </xf>
    <xf numFmtId="0" fontId="6" fillId="7" borderId="75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71" xfId="0" applyBorder="1" applyAlignment="1">
      <alignment vertical="center"/>
    </xf>
    <xf numFmtId="0" fontId="8" fillId="4" borderId="62" xfId="0" applyFont="1" applyFill="1" applyBorder="1" applyAlignment="1">
      <alignment vertical="center"/>
    </xf>
    <xf numFmtId="3" fontId="5" fillId="3" borderId="53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/>
    </xf>
    <xf numFmtId="0" fontId="8" fillId="4" borderId="55" xfId="0" applyFont="1" applyFill="1" applyBorder="1" applyAlignment="1">
      <alignment vertical="center"/>
    </xf>
    <xf numFmtId="3" fontId="5" fillId="3" borderId="53" xfId="0" applyNumberFormat="1" applyFont="1" applyFill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>
      <alignment horizontal="center" vertical="center"/>
    </xf>
    <xf numFmtId="0" fontId="7" fillId="4" borderId="19" xfId="0" applyFont="1" applyFill="1" applyBorder="1">
      <alignment/>
    </xf>
    <xf numFmtId="0" fontId="0" fillId="0" borderId="19" xfId="0" applyBorder="1">
      <alignment/>
    </xf>
    <xf numFmtId="0" fontId="8" fillId="4" borderId="15" xfId="0" applyFont="1" applyFill="1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75" xfId="0" applyFont="1" applyFill="1" applyBorder="1" applyAlignment="1">
      <alignment horizontal="center" vertical="center"/>
    </xf>
    <xf numFmtId="0" fontId="0" fillId="0" borderId="75" xfId="0" applyBorder="1" applyAlignment="1">
      <alignment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6" fillId="4" borderId="75" xfId="0" applyFont="1" applyFill="1" applyBorder="1" applyAlignment="1">
      <alignment horizontal="center"/>
    </xf>
    <xf numFmtId="0" fontId="0" fillId="0" borderId="75" xfId="0" applyBorder="1" applyAlignment="1">
      <alignment horizont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Border="1" applyAlignment="1">
      <alignment horizontal="center" vertical="center"/>
    </xf>
    <xf numFmtId="0" fontId="8" fillId="19" borderId="23" xfId="0" applyFont="1" applyFill="1" applyBorder="1" applyAlignment="1">
      <alignment vertical="center" wrapText="1"/>
    </xf>
    <xf numFmtId="0" fontId="8" fillId="19" borderId="55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5" fillId="4" borderId="25" xfId="0" applyFont="1" applyFill="1" applyBorder="1" applyAlignment="1">
      <alignment vertical="center"/>
    </xf>
    <xf numFmtId="0" fontId="0" fillId="0" borderId="41" xfId="0" applyBorder="1">
      <alignment/>
    </xf>
    <xf numFmtId="0" fontId="35" fillId="8" borderId="0" xfId="10" applyFill="1" applyAlignment="1" applyProtection="1">
      <alignment/>
      <protection/>
    </xf>
    <xf numFmtId="3" fontId="5" fillId="3" borderId="25" xfId="0" applyNumberFormat="1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2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 wrapText="1" shrinkToFit="1"/>
    </xf>
    <xf numFmtId="0" fontId="8" fillId="4" borderId="71" xfId="0" applyFont="1" applyFill="1" applyBorder="1" applyAlignment="1">
      <alignment vertical="center" wrapText="1" shrinkToFit="1"/>
    </xf>
    <xf numFmtId="0" fontId="8" fillId="4" borderId="3" xfId="0" applyFont="1" applyFill="1" applyBorder="1" applyAlignment="1">
      <alignment horizontal="center"/>
    </xf>
    <xf numFmtId="0" fontId="8" fillId="4" borderId="53" xfId="0" applyFont="1" applyFill="1" applyBorder="1" applyAlignment="1">
      <alignment horizontal="center"/>
    </xf>
    <xf numFmtId="0" fontId="0" fillId="0" borderId="8" xfId="0" applyBorder="1">
      <alignment/>
    </xf>
    <xf numFmtId="0" fontId="8" fillId="4" borderId="2" xfId="0" applyFont="1" applyFill="1" applyBorder="1" applyAlignment="1">
      <alignment horizontal="center"/>
    </xf>
    <xf numFmtId="0" fontId="8" fillId="4" borderId="25" xfId="0" applyFont="1" applyFill="1" applyBorder="1" applyAlignment="1">
      <alignment horizontal="center"/>
    </xf>
    <xf numFmtId="0" fontId="0" fillId="0" borderId="1" xfId="0" applyBorder="1">
      <alignment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 shrinkToFit="1"/>
    </xf>
    <xf numFmtId="0" fontId="8" fillId="4" borderId="62" xfId="0" applyFont="1" applyFill="1" applyBorder="1" applyAlignment="1">
      <alignment vertical="center" wrapText="1" shrinkToFit="1"/>
    </xf>
    <xf numFmtId="0" fontId="8" fillId="4" borderId="23" xfId="0" applyFont="1" applyFill="1" applyBorder="1" applyAlignment="1">
      <alignment vertical="center" wrapText="1" shrinkToFit="1"/>
    </xf>
    <xf numFmtId="0" fontId="8" fillId="4" borderId="55" xfId="0" applyFont="1" applyFill="1" applyBorder="1" applyAlignment="1">
      <alignment vertical="center" wrapText="1" shrinkToFit="1"/>
    </xf>
    <xf numFmtId="3" fontId="5" fillId="3" borderId="62" xfId="0" applyNumberFormat="1" applyFont="1" applyFill="1" applyBorder="1" applyAlignment="1">
      <alignment horizontal="center" vertical="center"/>
    </xf>
    <xf numFmtId="3" fontId="5" fillId="3" borderId="55" xfId="0" applyNumberFormat="1" applyFont="1" applyFill="1" applyBorder="1" applyAlignment="1">
      <alignment horizontal="center" vertical="center"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71" xfId="0" applyNumberFormat="1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8" fillId="4" borderId="22" xfId="0" applyFont="1" applyFill="1" applyBorder="1" applyAlignment="1">
      <alignment vertical="center" wrapText="1" shrinkToFit="1"/>
    </xf>
    <xf numFmtId="0" fontId="8" fillId="4" borderId="62" xfId="0" applyFont="1" applyFill="1" applyBorder="1" applyAlignment="1">
      <alignment vertical="center" wrapText="1" shrinkToFit="1"/>
    </xf>
    <xf numFmtId="0" fontId="8" fillId="4" borderId="95" xfId="0" applyFont="1" applyFill="1" applyBorder="1" applyAlignment="1">
      <alignment horizontal="center" vertical="center"/>
    </xf>
    <xf numFmtId="0" fontId="8" fillId="4" borderId="96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" fillId="4" borderId="23" xfId="0" applyFont="1" applyFill="1" applyBorder="1" applyAlignment="1">
      <alignment vertical="center" wrapText="1"/>
    </xf>
    <xf numFmtId="0" fontId="8" fillId="4" borderId="55" xfId="0" applyFont="1" applyFill="1" applyBorder="1" applyAlignment="1">
      <alignment vertical="center" wrapText="1"/>
    </xf>
    <xf numFmtId="0" fontId="8" fillId="4" borderId="6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49" fontId="5" fillId="4" borderId="3" xfId="0" applyNumberFormat="1" applyFont="1" applyFill="1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5" fillId="3" borderId="2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8" fillId="4" borderId="7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19" xfId="0" applyFont="1" applyFill="1" applyBorder="1" applyAlignment="1">
      <alignment horizontal="center" vertical="center"/>
    </xf>
    <xf numFmtId="3" fontId="5" fillId="3" borderId="22" xfId="0" applyNumberFormat="1" applyFont="1" applyFill="1" applyBorder="1" applyAlignment="1">
      <alignment horizontal="center" vertical="center"/>
    </xf>
    <xf numFmtId="3" fontId="5" fillId="3" borderId="62" xfId="0" applyNumberFormat="1" applyFont="1" applyFill="1" applyBorder="1" applyAlignment="1">
      <alignment horizontal="center" vertical="center"/>
    </xf>
    <xf numFmtId="3" fontId="5" fillId="3" borderId="23" xfId="0" applyNumberFormat="1" applyFont="1" applyFill="1" applyBorder="1" applyAlignment="1">
      <alignment horizontal="center" vertical="center"/>
    </xf>
    <xf numFmtId="3" fontId="5" fillId="3" borderId="55" xfId="0" applyNumberFormat="1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8" fillId="4" borderId="97" xfId="0" applyFont="1" applyFill="1" applyBorder="1" applyAlignment="1">
      <alignment horizontal="center" vertical="center"/>
    </xf>
    <xf numFmtId="0" fontId="8" fillId="4" borderId="94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1" xfId="0" applyBorder="1" applyAlignment="1">
      <alignment horizontal="center" vertical="center" wrapText="1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0" fontId="5" fillId="4" borderId="23" xfId="0" applyFont="1" applyFill="1" applyBorder="1" applyAlignment="1">
      <alignment vertical="center"/>
    </xf>
    <xf numFmtId="0" fontId="0" fillId="7" borderId="42" xfId="0" applyFill="1" applyBorder="1" applyAlignment="1">
      <alignment vertical="center"/>
    </xf>
    <xf numFmtId="0" fontId="7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8" fillId="19" borderId="3" xfId="0" applyFont="1" applyFill="1" applyBorder="1" applyAlignment="1">
      <alignment horizontal="center"/>
    </xf>
    <xf numFmtId="0" fontId="8" fillId="19" borderId="53" xfId="0" applyFont="1" applyFill="1" applyBorder="1" applyAlignment="1">
      <alignment horizontal="center"/>
    </xf>
    <xf numFmtId="0" fontId="0" fillId="32" borderId="8" xfId="0" applyFill="1" applyBorder="1">
      <alignment/>
    </xf>
    <xf numFmtId="0" fontId="8" fillId="4" borderId="55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/>
    </xf>
    <xf numFmtId="0" fontId="0" fillId="0" borderId="35" xfId="0" applyBorder="1">
      <alignment/>
    </xf>
    <xf numFmtId="0" fontId="8" fillId="19" borderId="23" xfId="0" applyFont="1" applyFill="1" applyBorder="1" applyAlignment="1">
      <alignment vertical="center" wrapText="1"/>
    </xf>
    <xf numFmtId="0" fontId="8" fillId="19" borderId="55" xfId="0" applyFont="1" applyFill="1" applyBorder="1" applyAlignment="1">
      <alignment vertical="center"/>
    </xf>
    <xf numFmtId="0" fontId="8" fillId="4" borderId="62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2" xfId="0" applyNumberFormat="1" applyFont="1" applyFill="1" applyBorder="1" applyAlignment="1" applyProtection="1">
      <alignment horizontal="center" vertical="center"/>
      <protection locked="0"/>
    </xf>
    <xf numFmtId="3" fontId="5" fillId="3" borderId="55" xfId="0" applyNumberFormat="1" applyFont="1" applyFill="1" applyBorder="1" applyAlignment="1" applyProtection="1">
      <alignment horizontal="center" vertical="center"/>
      <protection locked="0"/>
    </xf>
    <xf numFmtId="0" fontId="8" fillId="19" borderId="22" xfId="0" applyFont="1" applyFill="1" applyBorder="1" applyAlignment="1">
      <alignment vertical="center"/>
    </xf>
    <xf numFmtId="0" fontId="8" fillId="19" borderId="62" xfId="0" applyFont="1" applyFill="1" applyBorder="1" applyAlignment="1">
      <alignment vertical="center"/>
    </xf>
    <xf numFmtId="0" fontId="8" fillId="19" borderId="2" xfId="0" applyFont="1" applyFill="1" applyBorder="1" applyAlignment="1">
      <alignment horizontal="center"/>
    </xf>
    <xf numFmtId="0" fontId="8" fillId="19" borderId="25" xfId="0" applyFont="1" applyFill="1" applyBorder="1" applyAlignment="1">
      <alignment horizontal="center"/>
    </xf>
    <xf numFmtId="0" fontId="0" fillId="32" borderId="1" xfId="0" applyFill="1" applyBorder="1">
      <alignment/>
    </xf>
    <xf numFmtId="0" fontId="8" fillId="4" borderId="7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2" xfId="0" applyFont="1" applyBorder="1" applyAlignment="1">
      <alignment vertical="center"/>
    </xf>
    <xf numFmtId="0" fontId="3" fillId="7" borderId="0" xfId="0" applyFont="1" applyFill="1">
      <alignment/>
    </xf>
    <xf numFmtId="0" fontId="12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4" xfId="0" applyFill="1" applyBorder="1">
      <alignment/>
    </xf>
    <xf numFmtId="0" fontId="23" fillId="4" borderId="0" xfId="0" applyFont="1" applyFill="1" applyAlignment="1">
      <alignment vertical="center" wrapText="1"/>
    </xf>
    <xf numFmtId="0" fontId="23" fillId="4" borderId="0" xfId="0" applyFont="1" applyFill="1">
      <alignment/>
    </xf>
    <xf numFmtId="0" fontId="0" fillId="8" borderId="98" xfId="0" applyFill="1" applyBorder="1" applyAlignment="1" applyProtection="1">
      <alignment horizontal="center"/>
      <protection locked="0"/>
    </xf>
    <xf numFmtId="0" fontId="0" fillId="7" borderId="75" xfId="0" applyFill="1" applyBorder="1" applyAlignment="1">
      <alignment vertical="center"/>
    </xf>
    <xf numFmtId="0" fontId="0" fillId="7" borderId="76" xfId="0" applyFill="1" applyBorder="1" applyAlignment="1">
      <alignment vertical="center"/>
    </xf>
    <xf numFmtId="0" fontId="11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>
      <alignment/>
    </xf>
    <xf numFmtId="0" fontId="11" fillId="8" borderId="65" xfId="0" applyFont="1" applyFill="1" applyBorder="1">
      <alignment/>
    </xf>
    <xf numFmtId="0" fontId="14" fillId="4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3" fillId="3" borderId="74" xfId="0" applyFont="1" applyFill="1" applyBorder="1" applyAlignment="1">
      <alignment horizontal="left" vertical="center"/>
    </xf>
    <xf numFmtId="0" fontId="54" fillId="8" borderId="75" xfId="0" applyFont="1" applyFill="1" applyBorder="1" applyAlignment="1">
      <alignment horizontal="left" vertical="center"/>
    </xf>
    <xf numFmtId="0" fontId="54" fillId="8" borderId="76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62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>
      <alignment/>
    </xf>
    <xf numFmtId="0" fontId="3" fillId="0" borderId="0" xfId="0" applyFont="1">
      <alignment/>
    </xf>
    <xf numFmtId="0" fontId="14" fillId="4" borderId="0" xfId="0" applyFont="1" applyFill="1" applyAlignment="1">
      <alignment vertical="center" wrapText="1"/>
    </xf>
    <xf numFmtId="0" fontId="27" fillId="0" borderId="0" xfId="0" applyFont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71" xfId="0" applyFont="1" applyBorder="1" applyAlignment="1">
      <alignment vertical="center"/>
    </xf>
    <xf numFmtId="0" fontId="14" fillId="4" borderId="77" xfId="0" applyFont="1" applyFill="1" applyBorder="1" applyAlignment="1">
      <alignment horizontal="left" vertical="center"/>
    </xf>
    <xf numFmtId="0" fontId="27" fillId="0" borderId="39" xfId="0" applyFont="1" applyBorder="1" applyAlignment="1">
      <alignment horizontal="left" vertical="center"/>
    </xf>
    <xf numFmtId="0" fontId="27" fillId="0" borderId="78" xfId="0" applyFont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7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 wrapText="1" shrinkToFit="1"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2" xfId="0" applyFont="1" applyBorder="1" applyAlignment="1">
      <alignment vertical="center"/>
    </xf>
    <xf numFmtId="0" fontId="0" fillId="8" borderId="68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99" xfId="0" applyFill="1" applyBorder="1" applyAlignment="1" applyProtection="1">
      <alignment vertical="center"/>
      <protection locked="0"/>
    </xf>
    <xf numFmtId="0" fontId="0" fillId="8" borderId="58" xfId="0" applyFill="1" applyBorder="1" applyAlignment="1" applyProtection="1">
      <alignment vertical="center"/>
      <protection locked="0"/>
    </xf>
    <xf numFmtId="0" fontId="0" fillId="8" borderId="65" xfId="0" applyFill="1" applyBorder="1" applyAlignment="1" applyProtection="1">
      <alignment vertical="center"/>
      <protection locked="0"/>
    </xf>
    <xf numFmtId="0" fontId="0" fillId="8" borderId="100" xfId="0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 vertical="center"/>
      <protection locked="0"/>
    </xf>
    <xf numFmtId="49" fontId="0" fillId="8" borderId="66" xfId="0" applyNumberFormat="1" applyFill="1" applyBorder="1" applyAlignment="1" applyProtection="1">
      <alignment horizontal="center"/>
      <protection locked="0"/>
    </xf>
    <xf numFmtId="0" fontId="0" fillId="8" borderId="0" xfId="0" applyFill="1">
      <alignment/>
    </xf>
    <xf numFmtId="3" fontId="0" fillId="8" borderId="66" xfId="0" applyNumberFormat="1" applyFill="1" applyBorder="1" applyAlignment="1" applyProtection="1">
      <alignment horizontal="center"/>
      <protection locked="0"/>
    </xf>
    <xf numFmtId="0" fontId="0" fillId="8" borderId="66" xfId="0" applyFill="1" applyBorder="1" applyAlignment="1" applyProtection="1">
      <alignment horizontal="center"/>
      <protection locked="0"/>
    </xf>
    <xf numFmtId="0" fontId="0" fillId="0" borderId="66" xfId="0" applyBorder="1" applyProtection="1">
      <alignment/>
      <protection locked="0"/>
    </xf>
    <xf numFmtId="0" fontId="0" fillId="8" borderId="98" xfId="0" applyFill="1" applyBorder="1" applyProtection="1">
      <alignment/>
      <protection locked="0"/>
    </xf>
    <xf numFmtId="0" fontId="9" fillId="4" borderId="77" xfId="0" applyFont="1" applyFill="1" applyBorder="1">
      <alignment/>
    </xf>
    <xf numFmtId="0" fontId="0" fillId="0" borderId="78" xfId="0" applyBorder="1">
      <alignment/>
    </xf>
    <xf numFmtId="0" fontId="14" fillId="3" borderId="18" xfId="0" applyFont="1" applyFill="1" applyBorder="1">
      <alignment/>
    </xf>
    <xf numFmtId="0" fontId="0" fillId="8" borderId="31" xfId="0" applyFill="1" applyBorder="1">
      <alignment/>
    </xf>
    <xf numFmtId="0" fontId="6" fillId="3" borderId="74" xfId="0" applyFont="1" applyFill="1" applyBorder="1" applyAlignment="1">
      <alignment horizontal="center"/>
    </xf>
    <xf numFmtId="0" fontId="0" fillId="8" borderId="75" xfId="0" applyFill="1" applyBorder="1" applyAlignment="1">
      <alignment horizontal="center"/>
    </xf>
    <xf numFmtId="0" fontId="0" fillId="8" borderId="76" xfId="0" applyFill="1" applyBorder="1" applyAlignment="1">
      <alignment horizontal="center"/>
    </xf>
    <xf numFmtId="0" fontId="0" fillId="7" borderId="39" xfId="0" applyFill="1" applyBorder="1" applyAlignment="1">
      <alignment horizontal="center"/>
    </xf>
    <xf numFmtId="0" fontId="5" fillId="3" borderId="77" xfId="0" applyFont="1" applyFill="1" applyBorder="1" applyAlignment="1" applyProtection="1">
      <alignment horizontal="right" vertical="center"/>
      <protection locked="0"/>
    </xf>
    <xf numFmtId="0" fontId="0" fillId="0" borderId="39" xfId="0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101" xfId="0" applyFont="1" applyBorder="1" applyAlignment="1" applyProtection="1">
      <alignment wrapText="1"/>
      <protection locked="0"/>
    </xf>
    <xf numFmtId="0" fontId="0" fillId="0" borderId="102" xfId="0" applyBorder="1" applyProtection="1">
      <alignment/>
      <protection locked="0"/>
    </xf>
    <xf numFmtId="0" fontId="0" fillId="0" borderId="103" xfId="0" applyBorder="1" applyProtection="1">
      <alignment/>
      <protection locked="0"/>
    </xf>
    <xf numFmtId="49" fontId="0" fillId="8" borderId="0" xfId="0" applyNumberFormat="1" applyFont="1" applyFill="1" applyAlignment="1">
      <alignment horizontal="left"/>
    </xf>
    <xf numFmtId="0" fontId="23" fillId="4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8" borderId="66" xfId="0" applyFill="1" applyBorder="1" applyProtection="1">
      <alignment/>
      <protection locked="0"/>
    </xf>
    <xf numFmtId="0" fontId="0" fillId="7" borderId="39" xfId="0" applyFill="1" applyBorder="1">
      <alignment/>
    </xf>
    <xf numFmtId="0" fontId="13" fillId="4" borderId="0" xfId="0" applyFont="1" applyFill="1">
      <alignment/>
    </xf>
    <xf numFmtId="0" fontId="27" fillId="7" borderId="75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62" xfId="0" applyFont="1" applyBorder="1" applyAlignment="1" applyProtection="1">
      <alignment horizontal="center" vertical="center"/>
      <protection locked="0"/>
    </xf>
    <xf numFmtId="0" fontId="20" fillId="4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8" fillId="4" borderId="68" xfId="0" applyFont="1" applyFill="1" applyBorder="1" applyAlignment="1">
      <alignment horizontal="center"/>
    </xf>
    <xf numFmtId="0" fontId="0" fillId="0" borderId="36" xfId="0" applyBorder="1">
      <alignment/>
    </xf>
    <xf numFmtId="0" fontId="29" fillId="10" borderId="0" xfId="0" applyFont="1" applyFill="1" applyAlignment="1">
      <alignment horizontal="center"/>
    </xf>
    <xf numFmtId="0" fontId="12" fillId="10" borderId="75" xfId="0" applyFont="1" applyFill="1" applyBorder="1" applyAlignment="1">
      <alignment horizontal="center"/>
    </xf>
    <xf numFmtId="0" fontId="24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Protection="1">
      <alignment/>
      <protection locked="0"/>
    </xf>
    <xf numFmtId="0" fontId="18" fillId="10" borderId="39" xfId="0" applyFont="1" applyFill="1" applyBorder="1">
      <alignment/>
    </xf>
    <xf numFmtId="0" fontId="10" fillId="10" borderId="0" xfId="0" applyFont="1" applyFill="1" applyAlignment="1">
      <alignment horizontal="center"/>
    </xf>
    <xf numFmtId="0" fontId="18" fillId="3" borderId="0" xfId="0" applyFont="1" applyFill="1" applyAlignment="1" applyProtection="1">
      <alignment horizontal="center"/>
      <protection locked="0"/>
    </xf>
    <xf numFmtId="0" fontId="5" fillId="10" borderId="0" xfId="0" applyFont="1" applyFill="1">
      <alignment/>
    </xf>
    <xf numFmtId="0" fontId="5" fillId="10" borderId="75" xfId="0" applyFont="1" applyFill="1" applyBorder="1">
      <alignment/>
    </xf>
    <xf numFmtId="0" fontId="8" fillId="4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7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3" fontId="0" fillId="8" borderId="3" xfId="0" applyNumberFormat="1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8" borderId="2" xfId="0" applyNumberFormat="1" applyFont="1" applyFill="1" applyBorder="1" applyAlignment="1" applyProtection="1">
      <alignment horizontal="center" vertical="center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7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7" borderId="75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2" xfId="0" applyNumberFormat="1" applyFont="1" applyFill="1" applyBorder="1" applyAlignment="1" applyProtection="1">
      <alignment horizontal="center" vertical="center"/>
      <protection locked="0"/>
    </xf>
    <xf numFmtId="49" fontId="3" fillId="4" borderId="0" xfId="0" applyNumberFormat="1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49" fontId="19" fillId="4" borderId="0" xfId="0" applyNumberFormat="1" applyFont="1" applyFill="1" applyAlignment="1">
      <alignment horizontal="left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53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0" fontId="0" fillId="0" borderId="22" xfId="0" applyBorder="1" applyAlignment="1">
      <alignment vertical="center" wrapText="1" shrinkToFit="1"/>
    </xf>
    <xf numFmtId="0" fontId="0" fillId="0" borderId="62" xfId="0" applyBorder="1" applyAlignment="1">
      <alignment vertical="center" wrapText="1" shrinkToFit="1"/>
    </xf>
    <xf numFmtId="0" fontId="0" fillId="0" borderId="23" xfId="0" applyBorder="1" applyAlignment="1">
      <alignment vertical="center" wrapText="1" shrinkToFit="1"/>
    </xf>
    <xf numFmtId="0" fontId="0" fillId="0" borderId="55" xfId="0" applyBorder="1" applyAlignment="1">
      <alignment vertical="center" wrapText="1" shrinkToFit="1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4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3" fontId="5" fillId="4" borderId="25" xfId="0" applyNumberFormat="1" applyFont="1" applyFill="1" applyBorder="1" applyAlignment="1">
      <alignment horizontal="center" vertical="center"/>
    </xf>
    <xf numFmtId="3" fontId="0" fillId="4" borderId="22" xfId="0" applyNumberFormat="1" applyFont="1" applyFill="1" applyBorder="1" applyAlignment="1">
      <alignment horizontal="center" vertical="center"/>
    </xf>
    <xf numFmtId="3" fontId="0" fillId="4" borderId="62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5" xfId="0" applyNumberFormat="1" applyFont="1" applyFill="1" applyBorder="1" applyAlignment="1">
      <alignment horizontal="center" vertical="center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2" xfId="0" applyNumberFormat="1" applyFont="1" applyFill="1" applyBorder="1" applyAlignment="1">
      <alignment horizontal="center" vertical="center"/>
    </xf>
    <xf numFmtId="0" fontId="0" fillId="7" borderId="75" xfId="0" applyFill="1" applyBorder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vertical="center" wrapText="1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0" fillId="0" borderId="54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4" xfId="0" applyFill="1" applyBorder="1" applyAlignment="1">
      <alignment vertical="center" wrapText="1"/>
    </xf>
    <xf numFmtId="0" fontId="0" fillId="7" borderId="4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71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71" xfId="0" applyBorder="1" applyAlignment="1">
      <alignment vertical="center" wrapText="1" shrinkToFit="1"/>
    </xf>
    <xf numFmtId="0" fontId="7" fillId="4" borderId="0" xfId="0" applyFont="1" applyFill="1" applyAlignment="1">
      <alignment wrapText="1" shrinkToFit="1"/>
    </xf>
    <xf numFmtId="0" fontId="33" fillId="4" borderId="0" xfId="0" applyFont="1" applyFill="1">
      <alignment/>
    </xf>
    <xf numFmtId="0" fontId="34" fillId="0" borderId="0" xfId="0" applyFont="1">
      <alignment/>
    </xf>
    <xf numFmtId="0" fontId="34" fillId="0" borderId="31" xfId="0" applyFont="1" applyBorder="1">
      <alignment/>
    </xf>
    <xf numFmtId="0" fontId="6" fillId="4" borderId="0" xfId="0" applyFont="1" applyFill="1">
      <alignment/>
    </xf>
    <xf numFmtId="0" fontId="27" fillId="0" borderId="0" xfId="0" applyFont="1">
      <alignment/>
    </xf>
    <xf numFmtId="0" fontId="8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8" fillId="7" borderId="22" xfId="0" applyFont="1" applyFill="1" applyBorder="1" applyAlignment="1">
      <alignment vertical="center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4" xfId="0" applyFont="1" applyFill="1" applyBorder="1" applyAlignment="1" applyProtection="1">
      <alignment horizontal="center"/>
      <protection locked="0"/>
    </xf>
    <xf numFmtId="14" fontId="5" fillId="3" borderId="56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9" fillId="4" borderId="0" xfId="0" applyFont="1" applyFill="1">
      <alignment/>
    </xf>
    <xf numFmtId="0" fontId="22" fillId="0" borderId="0" xfId="0" applyFo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71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2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8" fillId="7" borderId="0" xfId="0" applyFont="1" applyFill="1">
      <alignment/>
    </xf>
    <xf numFmtId="0" fontId="0" fillId="7" borderId="0" xfId="0" applyFill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>
      <alignment/>
    </xf>
    <xf numFmtId="0" fontId="8" fillId="7" borderId="23" xfId="0" applyFont="1" applyFill="1" applyBorder="1" applyAlignment="1">
      <alignment vertical="center"/>
    </xf>
    <xf numFmtId="0" fontId="0" fillId="7" borderId="4" xfId="0" applyFill="1" applyBorder="1">
      <alignment/>
    </xf>
    <xf numFmtId="0" fontId="0" fillId="0" borderId="71" xfId="0" applyBorder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3" xfId="0" applyFill="1" applyBorder="1" applyAlignment="1" applyProtection="1">
      <alignment horizontal="left"/>
      <protection locked="0"/>
    </xf>
    <xf numFmtId="3" fontId="0" fillId="8" borderId="3" xfId="0" applyNumberFormat="1" applyFill="1" applyBorder="1" applyAlignment="1" applyProtection="1">
      <alignment horizontal="center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11" fillId="7" borderId="2" xfId="0" applyFont="1" applyFill="1" applyBorder="1" applyAlignment="1">
      <alignment horizontal="center"/>
    </xf>
    <xf numFmtId="0" fontId="5" fillId="3" borderId="53" xfId="0" applyFont="1" applyFill="1" applyBorder="1" applyAlignment="1" applyProtection="1">
      <alignment horizontal="center"/>
      <protection locked="0"/>
    </xf>
    <xf numFmtId="0" fontId="0" fillId="8" borderId="55" xfId="0" applyFill="1" applyBorder="1" applyAlignment="1" applyProtection="1">
      <alignment horizontal="center"/>
      <protection locked="0"/>
    </xf>
    <xf numFmtId="49" fontId="0" fillId="8" borderId="3" xfId="0" applyNumberFormat="1" applyFont="1" applyFill="1" applyBorder="1" applyAlignment="1" applyProtection="1">
      <alignment horizontal="center"/>
      <protection locked="0"/>
    </xf>
    <xf numFmtId="0" fontId="8" fillId="4" borderId="4" xfId="0" applyFont="1" applyFill="1" applyBorder="1">
      <alignment/>
    </xf>
    <xf numFmtId="0" fontId="11" fillId="0" borderId="21" xfId="0" applyFont="1" applyBorder="1">
      <alignment/>
    </xf>
    <xf numFmtId="0" fontId="11" fillId="0" borderId="6" xfId="0" applyFont="1" applyBorder="1">
      <alignment/>
    </xf>
    <xf numFmtId="0" fontId="29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8" fillId="4" borderId="74" xfId="0" applyFont="1" applyFill="1" applyBorder="1" applyAlignment="1">
      <alignment horizontal="left"/>
    </xf>
    <xf numFmtId="0" fontId="11" fillId="0" borderId="75" xfId="0" applyFont="1" applyBorder="1" applyAlignment="1">
      <alignment horizontal="left"/>
    </xf>
    <xf numFmtId="0" fontId="11" fillId="0" borderId="76" xfId="0" applyFont="1" applyBorder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1" fillId="7" borderId="75" xfId="0" applyFont="1" applyFill="1" applyBorder="1">
      <alignment/>
    </xf>
    <xf numFmtId="0" fontId="31" fillId="7" borderId="0" xfId="0" applyFont="1" applyFill="1">
      <alignment/>
    </xf>
    <xf numFmtId="0" fontId="8" fillId="4" borderId="95" xfId="0" applyFont="1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0" borderId="104" xfId="0" applyBorder="1">
      <alignment/>
    </xf>
    <xf numFmtId="0" fontId="0" fillId="0" borderId="30" xfId="0" applyBorder="1">
      <alignment/>
    </xf>
    <xf numFmtId="0" fontId="29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0" fontId="5" fillId="3" borderId="25" xfId="0" applyFont="1" applyFill="1" applyBorder="1" applyAlignment="1" applyProtection="1">
      <alignment horizontal="center"/>
      <protection locked="0"/>
    </xf>
    <xf numFmtId="0" fontId="0" fillId="8" borderId="62" xfId="0" applyFill="1" applyBorder="1" applyAlignment="1" applyProtection="1">
      <alignment horizontal="center"/>
      <protection locked="0"/>
    </xf>
    <xf numFmtId="0" fontId="8" fillId="4" borderId="25" xfId="0" applyFont="1" applyFill="1" applyBorder="1">
      <alignment/>
    </xf>
    <xf numFmtId="0" fontId="8" fillId="4" borderId="56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4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3" fontId="0" fillId="8" borderId="62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2" fillId="7" borderId="75" xfId="0" applyFont="1" applyFill="1" applyBorder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62" xfId="0" applyFill="1" applyBorder="1" applyAlignment="1">
      <alignment horizontal="center"/>
    </xf>
    <xf numFmtId="0" fontId="0" fillId="7" borderId="41" xfId="0" applyFill="1" applyBorder="1" applyAlignment="1">
      <alignment horizontal="center"/>
    </xf>
    <xf numFmtId="0" fontId="22" fillId="7" borderId="0" xfId="0" applyFont="1" applyFill="1" applyAlignment="1">
      <alignment horizontal="center" wrapText="1"/>
    </xf>
    <xf numFmtId="0" fontId="22" fillId="0" borderId="0" xfId="0" applyFont="1" applyAlignment="1">
      <alignment horizontal="center" wrapText="1"/>
    </xf>
    <xf numFmtId="0" fontId="11" fillId="7" borderId="56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8" fillId="4" borderId="39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7" borderId="34" xfId="0" applyFill="1" applyBorder="1">
      <alignment/>
    </xf>
    <xf numFmtId="0" fontId="0" fillId="7" borderId="65" xfId="0" applyFill="1" applyBorder="1">
      <alignment/>
    </xf>
    <xf numFmtId="0" fontId="0" fillId="7" borderId="67" xfId="0" applyFill="1" applyBorder="1">
      <alignment/>
    </xf>
    <xf numFmtId="0" fontId="8" fillId="4" borderId="0" xfId="0" applyFont="1" applyFill="1" applyAlignment="1">
      <alignment horizontal="left"/>
    </xf>
    <xf numFmtId="3" fontId="0" fillId="8" borderId="55" xfId="0" applyNumberFormat="1" applyFill="1" applyBorder="1" applyAlignment="1">
      <alignment horizontal="center" vertical="center"/>
    </xf>
    <xf numFmtId="0" fontId="8" fillId="4" borderId="53" xfId="0" applyFont="1" applyFill="1" applyBorder="1">
      <alignment/>
    </xf>
    <xf numFmtId="0" fontId="8" fillId="4" borderId="0" xfId="0" applyFont="1" applyFill="1" applyAlignment="1">
      <alignment horizontal="right" vertical="center"/>
    </xf>
    <xf numFmtId="0" fontId="5" fillId="4" borderId="25" xfId="0" applyFont="1" applyFill="1" applyBorder="1">
      <alignment/>
    </xf>
    <xf numFmtId="0" fontId="8" fillId="4" borderId="56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2" xfId="0" applyNumberFormat="1" applyFill="1" applyBorder="1" applyAlignment="1">
      <alignment horizontal="center" vertical="center"/>
    </xf>
    <xf numFmtId="0" fontId="8" fillId="4" borderId="55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2" xfId="0" applyNumberFormat="1" applyBorder="1" applyAlignment="1" applyProtection="1">
      <alignment vertical="center"/>
      <protection locked="0"/>
    </xf>
    <xf numFmtId="0" fontId="8" fillId="4" borderId="71" xfId="0" applyFont="1" applyFill="1" applyBorder="1" applyAlignment="1">
      <alignment horizontal="center" vertical="center"/>
    </xf>
    <xf numFmtId="0" fontId="8" fillId="4" borderId="62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vertical="center"/>
    </xf>
    <xf numFmtId="3" fontId="0" fillId="0" borderId="62" xfId="0" applyNumberFormat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/>
    </xf>
    <xf numFmtId="3" fontId="5" fillId="3" borderId="53" xfId="0" applyNumberFormat="1" applyFont="1" applyFill="1" applyBorder="1" applyAlignment="1">
      <alignment horizontal="right" vertical="center"/>
    </xf>
    <xf numFmtId="3" fontId="0" fillId="0" borderId="55" xfId="0" applyNumberFormat="1" applyBorder="1" applyAlignment="1">
      <alignment horizontal="right" vertical="center"/>
    </xf>
    <xf numFmtId="0" fontId="5" fillId="4" borderId="53" xfId="0" applyFont="1" applyFill="1" applyBorder="1">
      <alignment/>
    </xf>
    <xf numFmtId="0" fontId="8" fillId="4" borderId="39" xfId="0" applyFont="1" applyFill="1" applyBorder="1">
      <alignment/>
    </xf>
    <xf numFmtId="0" fontId="0" fillId="7" borderId="71" xfId="0" applyFill="1" applyBorder="1">
      <alignment/>
    </xf>
    <xf numFmtId="0" fontId="8" fillId="4" borderId="23" xfId="0" applyFont="1" applyFill="1" applyBorder="1" applyAlignment="1">
      <alignment vertical="center"/>
    </xf>
    <xf numFmtId="0" fontId="0" fillId="7" borderId="71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/>
    </xf>
    <xf numFmtId="0" fontId="0" fillId="0" borderId="62" xfId="0" applyBorder="1">
      <alignment/>
    </xf>
    <xf numFmtId="0" fontId="8" fillId="4" borderId="5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75" xfId="0" applyFont="1" applyFill="1" applyBorder="1">
      <alignment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>
      <alignment/>
    </xf>
    <xf numFmtId="0" fontId="0" fillId="4" borderId="0" xfId="0" applyFill="1">
      <alignment/>
    </xf>
    <xf numFmtId="0" fontId="0" fillId="19" borderId="34" xfId="0" applyFill="1" applyBorder="1">
      <alignment/>
    </xf>
    <xf numFmtId="0" fontId="0" fillId="19" borderId="65" xfId="0" applyFill="1" applyBorder="1">
      <alignment/>
    </xf>
    <xf numFmtId="0" fontId="0" fillId="19" borderId="67" xfId="0" applyFill="1" applyBorder="1">
      <alignment/>
    </xf>
    <xf numFmtId="0" fontId="6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>
      <alignment horizontal="left" vertical="center" wrapText="1"/>
    </xf>
    <xf numFmtId="0" fontId="0" fillId="7" borderId="39" xfId="0" applyFill="1" applyBorder="1" applyAlignment="1">
      <alignment vertical="center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>
      <alignment horizontal="left" vertical="center" wrapText="1"/>
    </xf>
    <xf numFmtId="0" fontId="8" fillId="7" borderId="62" xfId="0" applyFont="1" applyFill="1" applyBorder="1" applyAlignment="1">
      <alignment horizontal="left" vertical="center" wrapText="1"/>
    </xf>
    <xf numFmtId="49" fontId="3" fillId="4" borderId="0" xfId="0" applyNumberFormat="1" applyFont="1" applyFill="1" applyAlignment="1">
      <alignment horizontal="center"/>
    </xf>
    <xf numFmtId="49" fontId="0" fillId="4" borderId="0" xfId="0" applyNumberFormat="1" applyFont="1" applyFill="1" applyAlignment="1">
      <alignment horizontal="center"/>
    </xf>
    <xf numFmtId="0" fontId="8" fillId="7" borderId="22" xfId="0" applyFont="1" applyFill="1" applyBorder="1" applyAlignment="1">
      <alignment horizontal="left" vertical="center" wrapText="1"/>
    </xf>
    <xf numFmtId="0" fontId="8" fillId="7" borderId="62" xfId="0" applyFont="1" applyFill="1" applyBorder="1" applyAlignment="1">
      <alignment horizontal="left" vertical="center" wrapText="1"/>
    </xf>
    <xf numFmtId="0" fontId="8" fillId="7" borderId="24" xfId="0" applyFont="1" applyFill="1" applyBorder="1" applyAlignment="1">
      <alignment horizontal="left" vertical="center" wrapText="1"/>
    </xf>
    <xf numFmtId="0" fontId="8" fillId="7" borderId="69" xfId="0" applyFont="1" applyFill="1" applyBorder="1" applyAlignment="1">
      <alignment horizontal="left" vertical="center" wrapText="1"/>
    </xf>
    <xf numFmtId="49" fontId="19" fillId="4" borderId="0" xfId="0" applyNumberFormat="1" applyFont="1" applyFill="1" applyAlignment="1">
      <alignment horizontal="left"/>
    </xf>
    <xf numFmtId="2" fontId="22" fillId="4" borderId="0" xfId="0" applyNumberFormat="1" applyFont="1" applyFill="1" applyAlignment="1">
      <alignment horizontal="center"/>
    </xf>
    <xf numFmtId="0" fontId="7" fillId="7" borderId="19" xfId="0" applyFont="1" applyFill="1" applyBorder="1" applyAlignment="1">
      <alignment horizontal="left" vertical="center" wrapText="1"/>
    </xf>
    <xf numFmtId="0" fontId="8" fillId="7" borderId="19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6" fillId="4" borderId="74" xfId="0" applyFont="1" applyFill="1" applyBorder="1" applyAlignment="1">
      <alignment horizontal="left" vertical="center"/>
    </xf>
    <xf numFmtId="0" fontId="0" fillId="0" borderId="34" xfId="0" applyBorder="1">
      <alignment/>
    </xf>
    <xf numFmtId="0" fontId="0" fillId="0" borderId="6" xfId="0" applyBorder="1" applyAlignment="1">
      <alignment vertical="center"/>
    </xf>
    <xf numFmtId="0" fontId="6" fillId="4" borderId="74" xfId="15" applyFont="1" applyFill="1" applyBorder="1" applyAlignment="1">
      <alignment horizontal="left" vertical="center"/>
      <protection/>
    </xf>
    <xf numFmtId="0" fontId="0" fillId="0" borderId="75" xfId="15" applyBorder="1">
      <alignment/>
      <protection/>
    </xf>
    <xf numFmtId="0" fontId="0" fillId="0" borderId="34" xfId="15" applyBorder="1">
      <alignment/>
      <protection/>
    </xf>
    <xf numFmtId="0" fontId="0" fillId="0" borderId="65" xfId="15" applyBorder="1">
      <alignment/>
      <protection/>
    </xf>
    <xf numFmtId="0" fontId="8" fillId="4" borderId="32" xfId="15" applyFont="1" applyFill="1" applyBorder="1" applyAlignment="1">
      <alignment horizontal="center" vertical="center"/>
      <protection/>
    </xf>
    <xf numFmtId="0" fontId="0" fillId="0" borderId="6" xfId="15" applyBorder="1" applyAlignment="1">
      <alignment vertical="center"/>
      <protection/>
    </xf>
    <xf numFmtId="0" fontId="33" fillId="4" borderId="0" xfId="15" applyFont="1" applyFill="1">
      <alignment/>
      <protection/>
    </xf>
    <xf numFmtId="0" fontId="0" fillId="0" borderId="0" xfId="15">
      <alignment/>
      <protection/>
    </xf>
    <xf numFmtId="0" fontId="8" fillId="4" borderId="0" xfId="15" applyFont="1" applyFill="1" applyAlignment="1">
      <alignment horizontal="right" vertical="center"/>
      <protection/>
    </xf>
    <xf numFmtId="0" fontId="0" fillId="0" borderId="0" xfId="15" applyAlignment="1">
      <alignment horizontal="right" vertical="center"/>
      <protection/>
    </xf>
    <xf numFmtId="0" fontId="0" fillId="0" borderId="0" xfId="15" applyAlignment="1">
      <alignment vertical="center"/>
      <protection/>
    </xf>
    <xf numFmtId="0" fontId="8" fillId="4" borderId="0" xfId="0" applyFont="1" applyFill="1" applyAlignment="1">
      <alignment wrapText="1" shrinkToFit="1"/>
    </xf>
    <xf numFmtId="0" fontId="8" fillId="4" borderId="0" xfId="15" applyFont="1" applyFill="1" applyAlignment="1">
      <alignment vertical="center" wrapText="1"/>
      <protection/>
    </xf>
    <xf numFmtId="0" fontId="0" fillId="0" borderId="0" xfId="15" applyAlignment="1">
      <alignment vertical="center" wrapText="1"/>
      <protection/>
    </xf>
    <xf numFmtId="0" fontId="3" fillId="7" borderId="0" xfId="15" applyFont="1" applyFill="1" applyAlignment="1">
      <alignment vertical="center" wrapText="1" shrinkToFit="1"/>
      <protection/>
    </xf>
    <xf numFmtId="0" fontId="0" fillId="0" borderId="0" xfId="15" applyAlignment="1">
      <alignment vertical="center" wrapText="1" shrinkToFit="1"/>
      <protection/>
    </xf>
    <xf numFmtId="0" fontId="8" fillId="7" borderId="22" xfId="15" applyFont="1" applyFill="1" applyBorder="1" applyAlignment="1">
      <alignment horizontal="left" vertical="center" wrapText="1"/>
      <protection/>
    </xf>
    <xf numFmtId="0" fontId="8" fillId="7" borderId="62" xfId="15" applyFont="1" applyFill="1" applyBorder="1" applyAlignment="1">
      <alignment horizontal="left" vertical="center" wrapText="1"/>
      <protection/>
    </xf>
    <xf numFmtId="0" fontId="8" fillId="7" borderId="22" xfId="0" applyFont="1" applyFill="1" applyBorder="1" applyAlignment="1">
      <alignment horizontal="left" vertical="center" wrapText="1"/>
    </xf>
    <xf numFmtId="0" fontId="8" fillId="4" borderId="75" xfId="15" applyFont="1" applyFill="1" applyBorder="1" applyAlignment="1">
      <alignment horizontal="center" vertical="center"/>
      <protection/>
    </xf>
    <xf numFmtId="2" fontId="22" fillId="4" borderId="0" xfId="15" applyNumberFormat="1" applyFont="1" applyFill="1" applyAlignment="1">
      <alignment horizontal="center"/>
      <protection/>
    </xf>
    <xf numFmtId="49" fontId="19" fillId="4" borderId="0" xfId="15" applyNumberFormat="1" applyFont="1" applyFill="1" applyAlignment="1">
      <alignment horizontal="left"/>
      <protection/>
    </xf>
    <xf numFmtId="49" fontId="3" fillId="4" borderId="0" xfId="15" applyNumberFormat="1" applyFont="1" applyFill="1" applyAlignment="1">
      <alignment horizontal="center"/>
      <protection/>
    </xf>
    <xf numFmtId="49" fontId="0" fillId="4" borderId="0" xfId="15" applyNumberFormat="1" applyFont="1" applyFill="1" applyAlignment="1">
      <alignment horizontal="center"/>
      <protection/>
    </xf>
    <xf numFmtId="0" fontId="17" fillId="4" borderId="0" xfId="0" applyFont="1" applyFill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9" fillId="7" borderId="0" xfId="0" applyFont="1" applyFill="1" applyAlignment="1">
      <alignment horizontal="center" vertical="center" wrapText="1" shrinkToFit="1"/>
    </xf>
    <xf numFmtId="0" fontId="49" fillId="0" borderId="0" xfId="0" applyFont="1" applyAlignment="1">
      <alignment horizontal="center" vertical="center" wrapText="1" shrinkToFit="1"/>
    </xf>
    <xf numFmtId="0" fontId="10" fillId="4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49" fillId="7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4" borderId="75" xfId="0" applyFont="1" applyFill="1" applyBorder="1" applyAlignment="1">
      <alignment horizontal="left" vertical="center" wrapText="1"/>
    </xf>
    <xf numFmtId="0" fontId="39" fillId="7" borderId="75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54" xfId="0" applyFont="1" applyFill="1" applyBorder="1" applyAlignment="1">
      <alignment horizontal="left" vertical="center" wrapText="1"/>
    </xf>
    <xf numFmtId="0" fontId="5" fillId="4" borderId="74" xfId="0" applyFont="1" applyFill="1" applyBorder="1">
      <alignment/>
    </xf>
    <xf numFmtId="0" fontId="0" fillId="0" borderId="94" xfId="0" applyBorder="1">
      <alignment/>
    </xf>
    <xf numFmtId="0" fontId="8" fillId="4" borderId="3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3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49" fillId="8" borderId="0" xfId="0" applyFont="1" applyFill="1" applyAlignment="1">
      <alignment horizontal="center"/>
    </xf>
    <xf numFmtId="0" fontId="50" fillId="8" borderId="0" xfId="0" applyFont="1" applyFill="1" applyAlignment="1">
      <alignment horizontal="center"/>
    </xf>
    <xf numFmtId="0" fontId="8" fillId="3" borderId="9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/>
    </xf>
    <xf numFmtId="0" fontId="0" fillId="8" borderId="0" xfId="0" applyFill="1" applyAlignment="1">
      <alignment horizontal="right" vertical="center"/>
    </xf>
    <xf numFmtId="0" fontId="0" fillId="8" borderId="0" xfId="0" applyFill="1" applyAlignment="1">
      <alignment vertical="center"/>
    </xf>
    <xf numFmtId="0" fontId="48" fillId="8" borderId="0" xfId="0" applyFont="1" applyFill="1" applyAlignment="1">
      <alignment horizontal="center"/>
    </xf>
    <xf numFmtId="0" fontId="49" fillId="8" borderId="0" xfId="0" applyFont="1" applyFill="1">
      <alignment/>
    </xf>
    <xf numFmtId="0" fontId="49" fillId="8" borderId="31" xfId="0" applyFont="1" applyFill="1" applyBorder="1">
      <alignment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0" fontId="47" fillId="0" borderId="0" xfId="0" applyFont="1">
      <alignment/>
    </xf>
    <xf numFmtId="0" fontId="47" fillId="8" borderId="0" xfId="0" applyFont="1" applyFill="1">
      <alignment/>
    </xf>
    <xf numFmtId="0" fontId="19" fillId="8" borderId="0" xfId="0" applyFont="1" applyFill="1">
      <alignment/>
    </xf>
    <xf numFmtId="0" fontId="50" fillId="8" borderId="0" xfId="0" applyFont="1" applyFill="1" applyAlignment="1">
      <alignment horizontal="right" vertical="center"/>
    </xf>
    <xf numFmtId="0" fontId="50" fillId="8" borderId="36" xfId="0" applyFont="1" applyFill="1" applyBorder="1" applyAlignment="1">
      <alignment horizontal="right" vertical="center"/>
    </xf>
    <xf numFmtId="0" fontId="0" fillId="8" borderId="75" xfId="0" applyFill="1" applyBorder="1">
      <alignment/>
    </xf>
    <xf numFmtId="0" fontId="39" fillId="8" borderId="0" xfId="0" applyFont="1" applyFill="1" applyAlignment="1">
      <alignment vertical="center"/>
    </xf>
    <xf numFmtId="0" fontId="39" fillId="8" borderId="0" xfId="0" applyFont="1" applyFill="1" applyAlignment="1">
      <alignment vertical="center" wrapText="1"/>
    </xf>
    <xf numFmtId="0" fontId="0" fillId="8" borderId="25" xfId="0" applyFill="1" applyBorder="1" applyAlignment="1">
      <alignment horizontal="center" vertical="center"/>
    </xf>
    <xf numFmtId="0" fontId="0" fillId="8" borderId="62" xfId="0" applyFill="1" applyBorder="1">
      <alignment/>
    </xf>
    <xf numFmtId="0" fontId="0" fillId="8" borderId="36" xfId="0" applyFill="1" applyBorder="1">
      <alignment/>
    </xf>
    <xf numFmtId="0" fontId="48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95" xfId="15" applyFont="1" applyFill="1" applyBorder="1" applyAlignment="1">
      <alignment horizontal="center" vertical="center"/>
      <protection/>
    </xf>
    <xf numFmtId="0" fontId="8" fillId="4" borderId="96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97" xfId="15" applyFont="1" applyFill="1" applyBorder="1" applyAlignment="1">
      <alignment horizontal="center" vertical="center"/>
      <protection/>
    </xf>
    <xf numFmtId="0" fontId="0" fillId="0" borderId="94" xfId="15" applyBorder="1" applyAlignment="1">
      <alignment horizontal="center" vertical="center"/>
      <protection/>
    </xf>
    <xf numFmtId="0" fontId="0" fillId="0" borderId="58" xfId="15" applyBorder="1" applyAlignment="1">
      <alignment horizontal="center" vertical="center"/>
      <protection/>
    </xf>
    <xf numFmtId="0" fontId="0" fillId="0" borderId="67" xfId="15" applyBorder="1" applyAlignment="1">
      <alignment horizontal="center" vertical="center"/>
      <protection/>
    </xf>
    <xf numFmtId="0" fontId="8" fillId="4" borderId="94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71" xfId="15" applyBorder="1" applyAlignment="1">
      <alignment horizontal="center" vertical="center" wrapText="1"/>
      <protection/>
    </xf>
    <xf numFmtId="0" fontId="0" fillId="0" borderId="6" xfId="15" applyBorder="1" applyAlignment="1">
      <alignment horizontal="center" vertical="center" wrapText="1"/>
      <protection/>
    </xf>
    <xf numFmtId="0" fontId="8" fillId="4" borderId="2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2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2" xfId="15" applyFont="1" applyFill="1" applyBorder="1" applyAlignment="1" applyProtection="1">
      <alignment vertical="center"/>
      <protection locked="0"/>
    </xf>
    <xf numFmtId="0" fontId="0" fillId="0" borderId="2" xfId="15" applyBorder="1" applyAlignment="1" applyProtection="1">
      <alignment vertical="center"/>
      <protection locked="0"/>
    </xf>
    <xf numFmtId="49" fontId="5" fillId="3" borderId="2" xfId="15" applyNumberFormat="1" applyFont="1" applyFill="1" applyBorder="1" applyAlignment="1" applyProtection="1">
      <alignment horizontal="center" vertical="center"/>
      <protection locked="0"/>
    </xf>
    <xf numFmtId="0" fontId="0" fillId="0" borderId="2" xfId="15" applyBorder="1" applyAlignment="1" applyProtection="1">
      <alignment horizontal="center" vertical="center"/>
      <protection locked="0"/>
    </xf>
    <xf numFmtId="0" fontId="5" fillId="4" borderId="3" xfId="15" applyFont="1" applyFill="1" applyBorder="1" applyAlignment="1">
      <alignment vertical="center"/>
      <protection/>
    </xf>
    <xf numFmtId="0" fontId="0" fillId="7" borderId="3" xfId="15" applyFill="1" applyBorder="1" applyAlignment="1">
      <alignment vertical="center"/>
      <protection/>
    </xf>
    <xf numFmtId="49" fontId="5" fillId="4" borderId="3" xfId="15" applyNumberFormat="1" applyFont="1" applyFill="1" applyBorder="1" applyAlignment="1">
      <alignment horizontal="center" vertical="center"/>
      <protection/>
    </xf>
    <xf numFmtId="0" fontId="6" fillId="4" borderId="75" xfId="15" applyFont="1" applyFill="1" applyBorder="1" applyAlignment="1">
      <alignment horizontal="center"/>
      <protection/>
    </xf>
    <xf numFmtId="0" fontId="0" fillId="0" borderId="75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4" fillId="20" borderId="0" xfId="16" applyFont="1" applyFill="1" applyAlignment="1">
      <alignment horizontal="left" vertical="center"/>
      <protection/>
    </xf>
    <xf numFmtId="0" fontId="92" fillId="20" borderId="0" xfId="16" applyFont="1" applyFill="1" applyAlignment="1">
      <alignment horizontal="justify" vertical="center" wrapText="1"/>
      <protection/>
    </xf>
    <xf numFmtId="0" fontId="74" fillId="16" borderId="24" xfId="16" applyFont="1" applyFill="1" applyBorder="1" applyAlignment="1">
      <alignment horizontal="center"/>
      <protection/>
    </xf>
    <xf numFmtId="0" fontId="74" fillId="16" borderId="24" xfId="16" applyFont="1" applyFill="1" applyBorder="1" applyAlignment="1">
      <alignment horizontal="center"/>
      <protection/>
    </xf>
    <xf numFmtId="0" fontId="0" fillId="0" borderId="24" xfId="0" applyBorder="1" applyAlignment="1">
      <alignment horizontal="center"/>
    </xf>
    <xf numFmtId="0" fontId="92" fillId="16" borderId="0" xfId="16" applyFont="1" applyFill="1" applyAlignment="1">
      <alignment horizontal="left"/>
      <protection/>
    </xf>
    <xf numFmtId="0" fontId="74" fillId="16" borderId="0" xfId="16" applyFont="1" applyFill="1" applyAlignment="1">
      <alignment horizontal="center"/>
      <protection/>
    </xf>
    <xf numFmtId="0" fontId="90" fillId="0" borderId="105" xfId="16" applyFont="1" applyBorder="1" applyAlignment="1" applyProtection="1">
      <alignment horizontal="center" vertical="center"/>
      <protection locked="0"/>
    </xf>
    <xf numFmtId="0" fontId="90" fillId="0" borderId="98" xfId="16" applyFont="1" applyBorder="1" applyAlignment="1" applyProtection="1">
      <alignment horizontal="center" vertical="center"/>
      <protection locked="0"/>
    </xf>
    <xf numFmtId="0" fontId="90" fillId="0" borderId="106" xfId="16" applyFont="1" applyBorder="1" applyAlignment="1" applyProtection="1">
      <alignment horizontal="center" vertical="center"/>
      <protection locked="0"/>
    </xf>
    <xf numFmtId="0" fontId="90" fillId="0" borderId="58" xfId="16" applyFont="1" applyBorder="1" applyAlignment="1" applyProtection="1">
      <alignment horizontal="center" vertical="center"/>
      <protection locked="0"/>
    </xf>
    <xf numFmtId="0" fontId="90" fillId="0" borderId="65" xfId="16" applyFont="1" applyBorder="1" applyAlignment="1" applyProtection="1">
      <alignment horizontal="center" vertical="center"/>
      <protection locked="0"/>
    </xf>
    <xf numFmtId="0" fontId="90" fillId="0" borderId="65" xfId="16" applyFont="1" applyBorder="1" applyAlignment="1" applyProtection="1">
      <alignment horizontal="center" vertical="center"/>
      <protection locked="0"/>
    </xf>
    <xf numFmtId="0" fontId="90" fillId="0" borderId="67" xfId="16" applyFont="1" applyBorder="1" applyAlignment="1" applyProtection="1">
      <alignment horizontal="center" vertical="center"/>
      <protection locked="0"/>
    </xf>
    <xf numFmtId="0" fontId="74" fillId="16" borderId="33" xfId="16" applyFont="1" applyFill="1" applyBorder="1" applyAlignment="1">
      <alignment horizontal="center" vertical="center"/>
      <protection/>
    </xf>
    <xf numFmtId="0" fontId="74" fillId="16" borderId="0" xfId="16" applyFont="1" applyFill="1" applyAlignment="1">
      <alignment horizontal="center" vertical="center"/>
      <protection/>
    </xf>
    <xf numFmtId="0" fontId="74" fillId="16" borderId="0" xfId="16" applyFont="1" applyFill="1" applyAlignment="1">
      <alignment horizontal="left" vertical="center"/>
      <protection/>
    </xf>
    <xf numFmtId="49" fontId="90" fillId="16" borderId="25" xfId="16" applyNumberFormat="1" applyFont="1" applyFill="1" applyBorder="1" applyAlignment="1" applyProtection="1">
      <alignment horizontal="center" vertical="center"/>
      <protection locked="0"/>
    </xf>
    <xf numFmtId="49" fontId="90" fillId="16" borderId="22" xfId="16" applyNumberFormat="1" applyFont="1" applyFill="1" applyBorder="1" applyAlignment="1" applyProtection="1">
      <alignment horizontal="center" vertical="center"/>
      <protection locked="0"/>
    </xf>
    <xf numFmtId="49" fontId="90" fillId="16" borderId="62" xfId="16" applyNumberFormat="1" applyFont="1" applyFill="1" applyBorder="1" applyAlignment="1" applyProtection="1">
      <alignment horizontal="center" vertical="center"/>
      <protection locked="0"/>
    </xf>
    <xf numFmtId="0" fontId="92" fillId="16" borderId="68" xfId="16" applyFont="1" applyFill="1" applyBorder="1" applyAlignment="1" applyProtection="1">
      <alignment horizontal="center"/>
      <protection locked="0"/>
    </xf>
    <xf numFmtId="0" fontId="92" fillId="16" borderId="24" xfId="16" applyFont="1" applyFill="1" applyBorder="1" applyAlignment="1" applyProtection="1">
      <alignment horizontal="center"/>
      <protection locked="0"/>
    </xf>
    <xf numFmtId="0" fontId="92" fillId="16" borderId="69" xfId="16" applyFont="1" applyFill="1" applyBorder="1" applyAlignment="1" applyProtection="1">
      <alignment horizontal="center"/>
      <protection locked="0"/>
    </xf>
    <xf numFmtId="0" fontId="92" fillId="16" borderId="33" xfId="16" applyFont="1" applyFill="1" applyBorder="1" applyAlignment="1" applyProtection="1">
      <alignment horizontal="center"/>
      <protection locked="0"/>
    </xf>
    <xf numFmtId="0" fontId="92" fillId="16" borderId="0" xfId="16" applyFont="1" applyFill="1" applyAlignment="1" applyProtection="1">
      <alignment horizontal="center"/>
      <protection locked="0"/>
    </xf>
    <xf numFmtId="0" fontId="92" fillId="16" borderId="36" xfId="16" applyFont="1" applyFill="1" applyBorder="1" applyAlignment="1" applyProtection="1">
      <alignment horizontal="center"/>
      <protection locked="0"/>
    </xf>
    <xf numFmtId="0" fontId="92" fillId="16" borderId="58" xfId="16" applyFont="1" applyFill="1" applyBorder="1" applyAlignment="1" applyProtection="1">
      <alignment horizontal="center"/>
      <protection locked="0"/>
    </xf>
    <xf numFmtId="0" fontId="92" fillId="16" borderId="65" xfId="16" applyFont="1" applyFill="1" applyBorder="1" applyAlignment="1" applyProtection="1">
      <alignment horizontal="center"/>
      <protection locked="0"/>
    </xf>
    <xf numFmtId="0" fontId="92" fillId="16" borderId="67" xfId="16" applyFont="1" applyFill="1" applyBorder="1" applyAlignment="1" applyProtection="1">
      <alignment horizontal="center"/>
      <protection locked="0"/>
    </xf>
    <xf numFmtId="0" fontId="90" fillId="16" borderId="18" xfId="16" applyFont="1" applyFill="1" applyBorder="1" applyAlignment="1">
      <alignment horizontal="center" vertical="center"/>
      <protection/>
    </xf>
    <xf numFmtId="0" fontId="90" fillId="16" borderId="0" xfId="16" applyFont="1" applyFill="1" applyAlignment="1">
      <alignment horizontal="center" vertical="center"/>
      <protection/>
    </xf>
    <xf numFmtId="0" fontId="0" fillId="0" borderId="31" xfId="0" applyBorder="1" applyAlignment="1">
      <alignment vertical="center"/>
    </xf>
    <xf numFmtId="0" fontId="90" fillId="16" borderId="7" xfId="16" applyFont="1" applyFill="1" applyBorder="1" applyAlignment="1" applyProtection="1">
      <alignment horizontal="left" vertical="center"/>
      <protection locked="0"/>
    </xf>
    <xf numFmtId="0" fontId="90" fillId="16" borderId="22" xfId="16" applyFont="1" applyFill="1" applyBorder="1" applyAlignment="1" applyProtection="1">
      <alignment horizontal="left" vertical="center"/>
      <protection locked="0"/>
    </xf>
    <xf numFmtId="0" fontId="46" fillId="0" borderId="22" xfId="0" applyFont="1" applyBorder="1" applyAlignment="1" applyProtection="1">
      <alignment vertical="center"/>
      <protection locked="0"/>
    </xf>
    <xf numFmtId="0" fontId="46" fillId="0" borderId="41" xfId="0" applyFont="1" applyBorder="1" applyAlignment="1" applyProtection="1">
      <alignment vertical="center"/>
      <protection locked="0"/>
    </xf>
    <xf numFmtId="0" fontId="74" fillId="16" borderId="39" xfId="16" applyFont="1" applyFill="1" applyBorder="1" applyAlignment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90" fillId="16" borderId="25" xfId="16" applyNumberFormat="1" applyFont="1" applyFill="1" applyBorder="1" applyAlignment="1" applyProtection="1">
      <alignment horizontal="center" vertical="center"/>
      <protection locked="0"/>
    </xf>
    <xf numFmtId="14" fontId="90" fillId="16" borderId="62" xfId="16" applyNumberFormat="1" applyFont="1" applyFill="1" applyBorder="1" applyAlignment="1" applyProtection="1">
      <alignment horizontal="center" vertical="center"/>
      <protection locked="0"/>
    </xf>
    <xf numFmtId="0" fontId="91" fillId="16" borderId="0" xfId="16" applyFont="1" applyFill="1" applyAlignment="1">
      <alignment horizontal="left" vertical="center"/>
      <protection/>
    </xf>
    <xf numFmtId="14" fontId="90" fillId="16" borderId="66" xfId="16" applyNumberFormat="1" applyFont="1" applyFill="1" applyBorder="1" applyAlignment="1" applyProtection="1">
      <alignment horizontal="center" vertical="center"/>
      <protection locked="0"/>
    </xf>
    <xf numFmtId="0" fontId="90" fillId="16" borderId="66" xfId="16" applyFont="1" applyFill="1" applyBorder="1" applyAlignment="1" applyProtection="1">
      <alignment horizontal="center" vertical="center"/>
      <protection locked="0"/>
    </xf>
    <xf numFmtId="0" fontId="74" fillId="16" borderId="65" xfId="16" applyFont="1" applyFill="1" applyBorder="1" applyAlignment="1">
      <alignment horizontal="left" vertical="center"/>
      <protection/>
    </xf>
    <xf numFmtId="0" fontId="74" fillId="16" borderId="65" xfId="16" applyFont="1" applyFill="1" applyBorder="1" applyAlignment="1">
      <alignment horizontal="left" vertical="center"/>
      <protection/>
    </xf>
    <xf numFmtId="167" fontId="90" fillId="16" borderId="25" xfId="16" applyNumberFormat="1" applyFont="1" applyFill="1" applyBorder="1" applyAlignment="1" applyProtection="1">
      <alignment horizontal="center" vertical="center"/>
      <protection locked="0"/>
    </xf>
    <xf numFmtId="167" fontId="90" fillId="16" borderId="62" xfId="16" applyNumberFormat="1" applyFont="1" applyFill="1" applyBorder="1" applyAlignment="1" applyProtection="1">
      <alignment horizontal="center" vertical="center"/>
      <protection locked="0"/>
    </xf>
    <xf numFmtId="0" fontId="90" fillId="0" borderId="107" xfId="16" applyFont="1" applyBorder="1" applyAlignment="1" applyProtection="1">
      <alignment horizontal="center" vertical="center"/>
      <protection locked="0"/>
    </xf>
    <xf numFmtId="0" fontId="90" fillId="0" borderId="108" xfId="16" applyFont="1" applyBorder="1" applyAlignment="1" applyProtection="1">
      <alignment horizontal="center" vertical="center"/>
      <protection locked="0"/>
    </xf>
    <xf numFmtId="0" fontId="90" fillId="0" borderId="109" xfId="16" applyFont="1" applyBorder="1" applyAlignment="1" applyProtection="1">
      <alignment horizontal="center" vertical="center"/>
      <protection locked="0"/>
    </xf>
    <xf numFmtId="49" fontId="90" fillId="16" borderId="7" xfId="16" applyNumberFormat="1" applyFont="1" applyFill="1" applyBorder="1" applyAlignment="1" applyProtection="1">
      <alignment horizontal="left" vertical="center"/>
      <protection locked="0"/>
    </xf>
    <xf numFmtId="49" fontId="90" fillId="16" borderId="22" xfId="16" applyNumberFormat="1" applyFont="1" applyFill="1" applyBorder="1" applyAlignment="1" applyProtection="1">
      <alignment horizontal="left" vertical="center"/>
      <protection locked="0"/>
    </xf>
    <xf numFmtId="49" fontId="90" fillId="16" borderId="41" xfId="16" applyNumberFormat="1" applyFont="1" applyFill="1" applyBorder="1" applyAlignment="1" applyProtection="1">
      <alignment horizontal="left" vertical="center"/>
      <protection locked="0"/>
    </xf>
    <xf numFmtId="0" fontId="89" fillId="16" borderId="0" xfId="16" applyFont="1" applyFill="1" applyAlignment="1">
      <alignment horizontal="center" vertical="center"/>
      <protection/>
    </xf>
    <xf numFmtId="49" fontId="91" fillId="16" borderId="7" xfId="16" applyNumberFormat="1" applyFont="1" applyFill="1" applyBorder="1" applyAlignment="1" applyProtection="1">
      <alignment horizontal="left" vertical="center"/>
      <protection locked="0"/>
    </xf>
    <xf numFmtId="49" fontId="91" fillId="16" borderId="22" xfId="16" applyNumberFormat="1" applyFont="1" applyFill="1" applyBorder="1" applyAlignment="1" applyProtection="1">
      <alignment horizontal="left" vertical="center"/>
      <protection locked="0"/>
    </xf>
    <xf numFmtId="49" fontId="91" fillId="16" borderId="41" xfId="16" applyNumberFormat="1" applyFont="1" applyFill="1" applyBorder="1" applyAlignment="1" applyProtection="1">
      <alignment horizontal="left" vertical="center"/>
      <protection locked="0"/>
    </xf>
    <xf numFmtId="0" fontId="74" fillId="16" borderId="74" xfId="16" applyFont="1" applyFill="1" applyBorder="1" applyAlignment="1">
      <alignment horizontal="left" vertical="center"/>
      <protection/>
    </xf>
    <xf numFmtId="0" fontId="74" fillId="16" borderId="75" xfId="16" applyFont="1" applyFill="1" applyBorder="1" applyAlignment="1">
      <alignment horizontal="left" vertical="center"/>
      <protection/>
    </xf>
    <xf numFmtId="0" fontId="0" fillId="0" borderId="76" xfId="0" applyBorder="1" applyAlignment="1">
      <alignment vertical="center"/>
    </xf>
    <xf numFmtId="0" fontId="74" fillId="16" borderId="18" xfId="16" applyFont="1" applyFill="1" applyBorder="1" applyAlignment="1">
      <alignment horizontal="left" vertical="center"/>
      <protection/>
    </xf>
    <xf numFmtId="0" fontId="74" fillId="16" borderId="31" xfId="16" applyFont="1" applyFill="1" applyBorder="1" applyAlignment="1">
      <alignment horizontal="left" vertical="center"/>
      <protection/>
    </xf>
    <xf numFmtId="0" fontId="88" fillId="16" borderId="0" xfId="16" applyFont="1" applyFill="1" applyAlignment="1">
      <alignment horizontal="center" vertical="center"/>
      <protection/>
    </xf>
    <xf numFmtId="0" fontId="74" fillId="16" borderId="0" xfId="16" applyFont="1" applyFill="1" applyAlignment="1">
      <alignment horizontal="left"/>
      <protection/>
    </xf>
    <xf numFmtId="0" fontId="74" fillId="16" borderId="14" xfId="16" applyFont="1" applyFill="1" applyBorder="1" applyAlignment="1">
      <alignment horizontal="left" vertical="center"/>
      <protection/>
    </xf>
    <xf numFmtId="0" fontId="0" fillId="0" borderId="24" xfId="0" applyBorder="1" applyAlignment="1">
      <alignment vertical="center"/>
    </xf>
    <xf numFmtId="0" fontId="46" fillId="0" borderId="22" xfId="0" applyFont="1" applyBorder="1" applyAlignment="1">
      <alignment vertical="center"/>
    </xf>
    <xf numFmtId="0" fontId="46" fillId="0" borderId="62" xfId="0" applyFont="1" applyBorder="1" applyAlignment="1">
      <alignment vertical="center"/>
    </xf>
    <xf numFmtId="49" fontId="90" fillId="16" borderId="77" xfId="16" applyNumberFormat="1" applyFont="1" applyFill="1" applyBorder="1" applyAlignment="1">
      <alignment horizontal="left" vertical="center"/>
      <protection/>
    </xf>
    <xf numFmtId="49" fontId="90" fillId="16" borderId="39" xfId="16" applyNumberFormat="1" applyFont="1" applyFill="1" applyBorder="1" applyAlignment="1">
      <alignment horizontal="left" vertical="center"/>
      <protection/>
    </xf>
    <xf numFmtId="0" fontId="0" fillId="0" borderId="78" xfId="0" applyBorder="1" applyAlignment="1">
      <alignment vertical="center"/>
    </xf>
    <xf numFmtId="0" fontId="74" fillId="16" borderId="0" xfId="16" applyFont="1" applyFill="1" applyAlignment="1">
      <alignment horizontal="left" vertical="center" wrapText="1"/>
      <protection/>
    </xf>
    <xf numFmtId="0" fontId="90" fillId="16" borderId="7" xfId="16" applyFont="1" applyFill="1" applyBorder="1" applyAlignment="1">
      <alignment horizontal="left" vertical="center"/>
      <protection/>
    </xf>
    <xf numFmtId="0" fontId="90" fillId="16" borderId="22" xfId="16" applyFont="1" applyFill="1" applyBorder="1" applyAlignment="1">
      <alignment horizontal="left" vertical="center"/>
      <protection/>
    </xf>
    <xf numFmtId="2" fontId="90" fillId="16" borderId="25" xfId="16" applyNumberFormat="1" applyFont="1" applyFill="1" applyBorder="1" applyAlignment="1">
      <alignment horizontal="left" vertical="center"/>
      <protection/>
    </xf>
    <xf numFmtId="0" fontId="0" fillId="0" borderId="41" xfId="0" applyBorder="1" applyAlignment="1">
      <alignment horizontal="left" vertical="center"/>
    </xf>
    <xf numFmtId="0" fontId="74" fillId="16" borderId="5" xfId="16" applyFont="1" applyFill="1" applyBorder="1" applyAlignment="1">
      <alignment horizontal="left" vertical="center"/>
      <protection/>
    </xf>
    <xf numFmtId="0" fontId="74" fillId="16" borderId="23" xfId="16" applyFont="1" applyFill="1" applyBorder="1" applyAlignment="1">
      <alignment horizontal="left" vertical="center"/>
      <protection/>
    </xf>
    <xf numFmtId="0" fontId="0" fillId="0" borderId="42" xfId="0" applyBorder="1" applyAlignment="1">
      <alignment vertical="center"/>
    </xf>
    <xf numFmtId="2" fontId="74" fillId="16" borderId="21" xfId="16" applyNumberFormat="1" applyFont="1" applyFill="1" applyBorder="1" applyAlignment="1">
      <alignment horizontal="left" vertical="center"/>
      <protection/>
    </xf>
    <xf numFmtId="2" fontId="74" fillId="16" borderId="6" xfId="16" applyNumberFormat="1" applyFont="1" applyFill="1" applyBorder="1" applyAlignment="1">
      <alignment horizontal="left" vertical="center"/>
      <protection/>
    </xf>
    <xf numFmtId="0" fontId="90" fillId="16" borderId="62" xfId="16" applyFont="1" applyFill="1" applyBorder="1" applyAlignment="1" applyProtection="1">
      <alignment horizontal="left" vertical="center"/>
      <protection locked="0"/>
    </xf>
    <xf numFmtId="0" fontId="74" fillId="16" borderId="24" xfId="16" applyFont="1" applyFill="1" applyBorder="1" applyAlignment="1">
      <alignment horizontal="left" vertical="center"/>
      <protection/>
    </xf>
    <xf numFmtId="0" fontId="90" fillId="16" borderId="25" xfId="16" applyFont="1" applyFill="1" applyBorder="1" applyAlignment="1" applyProtection="1">
      <alignment horizontal="left" vertical="center"/>
      <protection locked="0"/>
    </xf>
    <xf numFmtId="0" fontId="91" fillId="16" borderId="0" xfId="16" applyFont="1" applyFill="1" applyAlignment="1">
      <alignment horizontal="center" vertical="center"/>
      <protection/>
    </xf>
    <xf numFmtId="0" fontId="90" fillId="16" borderId="0" xfId="16" applyFont="1" applyFill="1" applyAlignment="1" applyProtection="1">
      <alignment horizontal="center" vertical="center"/>
      <protection locked="0"/>
    </xf>
    <xf numFmtId="0" fontId="2" fillId="16" borderId="0" xfId="16" applyFill="1" applyAlignment="1">
      <alignment horizontal="center" vertical="center"/>
      <protection/>
    </xf>
    <xf numFmtId="0" fontId="2" fillId="16" borderId="0" xfId="16" applyFill="1" applyAlignment="1">
      <alignment horizontal="center"/>
      <protection/>
    </xf>
    <xf numFmtId="0" fontId="0" fillId="3" borderId="0" xfId="0" applyFont="1" applyFill="1" applyAlignment="1">
      <alignment horizontal="center"/>
    </xf>
    <xf numFmtId="0" fontId="0" fillId="8" borderId="0" xfId="0" applyFont="1" applyFill="1">
      <alignment/>
    </xf>
    <xf numFmtId="0" fontId="54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0" fillId="8" borderId="65" xfId="0" applyFont="1" applyFill="1" applyBorder="1">
      <alignment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0" fontId="11" fillId="8" borderId="0" xfId="0" applyFont="1" applyFill="1" applyAlignment="1">
      <alignment vertical="center"/>
    </xf>
    <xf numFmtId="0" fontId="11" fillId="8" borderId="22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69" xfId="0" applyFont="1" applyBorder="1" applyAlignment="1">
      <alignment vertical="center"/>
    </xf>
    <xf numFmtId="0" fontId="0" fillId="8" borderId="36" xfId="0" applyFont="1" applyFill="1" applyBorder="1">
      <alignment/>
    </xf>
    <xf numFmtId="0" fontId="0" fillId="8" borderId="33" xfId="0" applyFont="1" applyFill="1" applyBorder="1">
      <alignment/>
    </xf>
    <xf numFmtId="0" fontId="0" fillId="3" borderId="0" xfId="0" applyFont="1" applyFill="1">
      <alignment/>
    </xf>
    <xf numFmtId="0" fontId="0" fillId="3" borderId="36" xfId="0" applyFont="1" applyFill="1" applyBorder="1">
      <alignment/>
    </xf>
    <xf numFmtId="0" fontId="39" fillId="3" borderId="33" xfId="0" applyFont="1" applyFill="1" applyBorder="1" applyAlignment="1">
      <alignment horizontal="right"/>
    </xf>
    <xf numFmtId="0" fontId="39" fillId="3" borderId="0" xfId="0" applyFont="1" applyFill="1" applyAlignment="1">
      <alignment horizontal="right"/>
    </xf>
    <xf numFmtId="0" fontId="39" fillId="8" borderId="65" xfId="0" applyFont="1" applyFill="1" applyBorder="1" applyAlignment="1">
      <alignment vertical="center"/>
    </xf>
    <xf numFmtId="0" fontId="39" fillId="8" borderId="110" xfId="0" applyFont="1" applyFill="1" applyBorder="1" applyAlignment="1">
      <alignment vertical="center"/>
    </xf>
    <xf numFmtId="0" fontId="3" fillId="3" borderId="110" xfId="0" applyFont="1" applyFill="1" applyBorder="1" applyAlignment="1">
      <alignment vertical="center"/>
    </xf>
    <xf numFmtId="0" fontId="3" fillId="0" borderId="110" xfId="0" applyFont="1" applyBorder="1" applyAlignment="1">
      <alignment vertical="center"/>
    </xf>
    <xf numFmtId="0" fontId="0" fillId="8" borderId="25" xfId="0" applyFont="1" applyFill="1" applyBorder="1" applyAlignment="1" applyProtection="1">
      <alignment horizontal="left" vertical="center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0" fillId="8" borderId="62" xfId="0" applyFont="1" applyFill="1" applyBorder="1" applyAlignment="1" applyProtection="1">
      <alignment horizontal="left" vertical="center"/>
      <protection locked="0"/>
    </xf>
    <xf numFmtId="1" fontId="3" fillId="8" borderId="111" xfId="0" applyNumberFormat="1" applyFont="1" applyFill="1" applyBorder="1" applyAlignment="1" applyProtection="1">
      <alignment horizontal="left" vertical="center"/>
      <protection locked="0"/>
    </xf>
    <xf numFmtId="1" fontId="3" fillId="8" borderId="112" xfId="0" applyNumberFormat="1" applyFont="1" applyFill="1" applyBorder="1" applyAlignment="1" applyProtection="1">
      <alignment horizontal="left" vertical="center"/>
      <protection locked="0"/>
    </xf>
    <xf numFmtId="1" fontId="3" fillId="3" borderId="112" xfId="0" applyNumberFormat="1" applyFont="1" applyFill="1" applyBorder="1" applyAlignment="1" applyProtection="1">
      <alignment horizontal="left" vertical="center"/>
      <protection locked="0"/>
    </xf>
    <xf numFmtId="1" fontId="3" fillId="0" borderId="112" xfId="0" applyNumberFormat="1" applyFont="1" applyBorder="1" applyAlignment="1" applyProtection="1">
      <alignment horizontal="left" vertical="center"/>
      <protection locked="0"/>
    </xf>
    <xf numFmtId="1" fontId="3" fillId="0" borderId="113" xfId="0" applyNumberFormat="1" applyFont="1" applyBorder="1" applyAlignment="1" applyProtection="1">
      <alignment horizontal="left" vertical="center"/>
      <protection locked="0"/>
    </xf>
    <xf numFmtId="166" fontId="0" fillId="8" borderId="25" xfId="0" applyNumberFormat="1" applyFont="1" applyFill="1" applyBorder="1" applyAlignment="1" applyProtection="1">
      <alignment horizontal="left" vertical="center"/>
      <protection locked="0"/>
    </xf>
    <xf numFmtId="166" fontId="0" fillId="0" borderId="62" xfId="0" applyNumberFormat="1" applyBorder="1" applyAlignment="1" applyProtection="1">
      <alignment horizontal="left" vertical="center"/>
      <protection locked="0"/>
    </xf>
    <xf numFmtId="0" fontId="0" fillId="8" borderId="25" xfId="0" applyFont="1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49" fontId="0" fillId="8" borderId="25" xfId="0" applyNumberFormat="1" applyFont="1" applyFill="1" applyBorder="1" applyAlignment="1">
      <alignment vertical="center"/>
    </xf>
    <xf numFmtId="0" fontId="11" fillId="8" borderId="25" xfId="0" applyFont="1" applyFill="1" applyBorder="1" applyAlignment="1">
      <alignment vertical="center"/>
    </xf>
    <xf numFmtId="0" fontId="11" fillId="8" borderId="65" xfId="0" applyFont="1" applyFill="1" applyBorder="1" applyAlignment="1">
      <alignment vertical="center"/>
    </xf>
    <xf numFmtId="0" fontId="0" fillId="0" borderId="65" xfId="0" applyBorder="1" applyAlignment="1">
      <alignment vertical="center"/>
    </xf>
    <xf numFmtId="0" fontId="11" fillId="8" borderId="24" xfId="0" applyFont="1" applyFill="1" applyBorder="1" applyAlignment="1">
      <alignment vertical="center"/>
    </xf>
    <xf numFmtId="49" fontId="3" fillId="8" borderId="25" xfId="0" applyNumberFormat="1" applyFont="1" applyFill="1" applyBorder="1" applyAlignment="1">
      <alignment vertical="center"/>
    </xf>
    <xf numFmtId="49" fontId="3" fillId="8" borderId="22" xfId="0" applyNumberFormat="1" applyFont="1" applyFill="1" applyBorder="1" applyAlignment="1">
      <alignment vertical="center"/>
    </xf>
    <xf numFmtId="0" fontId="3" fillId="8" borderId="62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0" fillId="8" borderId="25" xfId="0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3" borderId="25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left" vertical="center"/>
    </xf>
    <xf numFmtId="0" fontId="0" fillId="0" borderId="67" xfId="0" applyBorder="1" applyAlignment="1">
      <alignment vertical="center"/>
    </xf>
    <xf numFmtId="0" fontId="0" fillId="8" borderId="68" xfId="0" applyFont="1" applyFill="1" applyBorder="1" applyAlignment="1">
      <alignment vertical="center"/>
    </xf>
    <xf numFmtId="0" fontId="0" fillId="0" borderId="69" xfId="0" applyBorder="1" applyAlignment="1">
      <alignment vertical="center"/>
    </xf>
    <xf numFmtId="0" fontId="39" fillId="8" borderId="33" xfId="0" applyFont="1" applyFill="1" applyBorder="1" applyAlignment="1">
      <alignment vertical="center"/>
    </xf>
    <xf numFmtId="0" fontId="3" fillId="8" borderId="79" xfId="0" applyFont="1" applyFill="1" applyBorder="1" applyAlignment="1">
      <alignment vertical="center"/>
    </xf>
    <xf numFmtId="0" fontId="39" fillId="8" borderId="86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3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/>
    </xf>
    <xf numFmtId="49" fontId="39" fillId="8" borderId="0" xfId="0" applyNumberFormat="1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3" fontId="0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33" xfId="0" applyFont="1" applyFill="1" applyBorder="1" applyAlignment="1">
      <alignment vertical="center"/>
    </xf>
    <xf numFmtId="0" fontId="0" fillId="8" borderId="0" xfId="0" applyFont="1" applyFill="1" applyAlignment="1">
      <alignment vertical="center"/>
    </xf>
    <xf numFmtId="0" fontId="0" fillId="8" borderId="36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8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8" borderId="65" xfId="0" applyFont="1" applyFill="1" applyBorder="1" applyAlignment="1">
      <alignment vertical="center"/>
    </xf>
    <xf numFmtId="0" fontId="39" fillId="8" borderId="3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0" fillId="8" borderId="33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39" fillId="8" borderId="33" xfId="0" applyFont="1" applyFill="1" applyBorder="1" applyAlignment="1">
      <alignment vertical="center"/>
    </xf>
    <xf numFmtId="49" fontId="0" fillId="3" borderId="36" xfId="0" applyNumberFormat="1" applyFont="1" applyFill="1" applyBorder="1" applyAlignment="1">
      <alignment horizontal="center" vertical="center"/>
    </xf>
    <xf numFmtId="0" fontId="11" fillId="8" borderId="58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3" fontId="3" fillId="8" borderId="33" xfId="0" applyNumberFormat="1" applyFont="1" applyFill="1" applyBorder="1" applyAlignment="1">
      <alignment vertical="center"/>
    </xf>
    <xf numFmtId="0" fontId="39" fillId="0" borderId="33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0" fillId="3" borderId="0" xfId="0" applyFont="1" applyFill="1" applyAlignment="1">
      <alignment vertical="center" wrapText="1"/>
    </xf>
    <xf numFmtId="0" fontId="0" fillId="0" borderId="36" xfId="0" applyBorder="1" applyAlignment="1">
      <alignment vertical="center"/>
    </xf>
    <xf numFmtId="0" fontId="11" fillId="8" borderId="0" xfId="0" applyFont="1" applyFill="1" applyAlignment="1">
      <alignment horizontal="center" vertical="center"/>
    </xf>
    <xf numFmtId="0" fontId="0" fillId="16" borderId="33" xfId="0" applyFill="1" applyBorder="1" applyAlignment="1">
      <alignment vertical="center"/>
    </xf>
    <xf numFmtId="0" fontId="11" fillId="8" borderId="33" xfId="0" applyFont="1" applyFill="1" applyBorder="1" applyAlignment="1">
      <alignment horizontal="center" vertical="center"/>
    </xf>
    <xf numFmtId="0" fontId="0" fillId="16" borderId="0" xfId="0" applyFill="1" applyAlignment="1">
      <alignment vertical="center"/>
    </xf>
    <xf numFmtId="0" fontId="0" fillId="16" borderId="33" xfId="0" applyFont="1" applyFill="1" applyBorder="1" applyAlignment="1">
      <alignment vertical="center"/>
    </xf>
    <xf numFmtId="0" fontId="0" fillId="16" borderId="36" xfId="0" applyFill="1" applyBorder="1" applyAlignment="1">
      <alignment vertical="center"/>
    </xf>
    <xf numFmtId="4" fontId="0" fillId="0" borderId="25" xfId="0" applyNumberFormat="1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62" xfId="0" applyNumberFormat="1" applyBorder="1" applyAlignment="1">
      <alignment vertical="center"/>
    </xf>
    <xf numFmtId="4" fontId="0" fillId="3" borderId="25" xfId="0" applyNumberFormat="1" applyFont="1" applyFill="1" applyBorder="1" applyAlignment="1">
      <alignment vertical="center"/>
    </xf>
    <xf numFmtId="3" fontId="39" fillId="8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" fontId="39" fillId="8" borderId="65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3" fillId="8" borderId="33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0" fillId="0" borderId="62" xfId="0" applyBorder="1" applyAlignment="1">
      <alignment vertical="center"/>
    </xf>
    <xf numFmtId="3" fontId="11" fillId="8" borderId="114" xfId="0" applyNumberFormat="1" applyFont="1" applyFill="1" applyBorder="1" applyAlignment="1">
      <alignment vertical="center" wrapText="1"/>
    </xf>
    <xf numFmtId="0" fontId="0" fillId="0" borderId="115" xfId="0" applyBorder="1" applyAlignment="1">
      <alignment vertical="center" wrapText="1"/>
    </xf>
    <xf numFmtId="0" fontId="0" fillId="0" borderId="116" xfId="0" applyBorder="1" applyAlignment="1">
      <alignment vertical="center" wrapText="1"/>
    </xf>
    <xf numFmtId="0" fontId="0" fillId="0" borderId="117" xfId="0" applyBorder="1" applyAlignment="1">
      <alignment vertical="center" wrapText="1"/>
    </xf>
    <xf numFmtId="0" fontId="0" fillId="0" borderId="118" xfId="0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11" fillId="3" borderId="117" xfId="0" applyFont="1" applyFill="1" applyBorder="1" applyAlignment="1">
      <alignment vertical="center"/>
    </xf>
    <xf numFmtId="0" fontId="0" fillId="0" borderId="117" xfId="0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3" fontId="39" fillId="8" borderId="0" xfId="0" applyNumberFormat="1" applyFont="1" applyFill="1" applyAlignment="1">
      <alignment horizontal="center" vertical="center"/>
    </xf>
    <xf numFmtId="0" fontId="0" fillId="0" borderId="118" xfId="0" applyBorder="1" applyAlignment="1">
      <alignment vertical="center"/>
    </xf>
    <xf numFmtId="4" fontId="0" fillId="3" borderId="33" xfId="0" applyNumberFormat="1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4" fontId="0" fillId="8" borderId="25" xfId="0" applyNumberFormat="1" applyFont="1" applyFill="1" applyBorder="1" applyAlignment="1">
      <alignment vertical="center"/>
    </xf>
    <xf numFmtId="0" fontId="39" fillId="0" borderId="65" xfId="0" applyFont="1" applyBorder="1" applyAlignment="1">
      <alignment horizontal="right" vertical="center" wrapText="1"/>
    </xf>
    <xf numFmtId="0" fontId="0" fillId="0" borderId="67" xfId="0" applyBorder="1" applyAlignment="1">
      <alignment horizontal="right" vertical="center" wrapText="1"/>
    </xf>
    <xf numFmtId="0" fontId="3" fillId="8" borderId="68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0" fillId="16" borderId="65" xfId="0" applyFill="1" applyBorder="1" applyAlignment="1">
      <alignment vertical="center" wrapText="1"/>
    </xf>
    <xf numFmtId="0" fontId="11" fillId="8" borderId="58" xfId="0" applyFont="1" applyFill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27" fillId="0" borderId="24" xfId="0" applyFont="1" applyBorder="1" applyAlignment="1">
      <alignment horizontal="right"/>
    </xf>
    <xf numFmtId="0" fontId="27" fillId="0" borderId="69" xfId="0" applyFont="1" applyBorder="1" applyAlignment="1">
      <alignment horizontal="right"/>
    </xf>
    <xf numFmtId="0" fontId="11" fillId="8" borderId="36" xfId="0" applyFont="1" applyFill="1" applyBorder="1" applyAlignment="1">
      <alignment vertical="center"/>
    </xf>
    <xf numFmtId="4" fontId="0" fillId="8" borderId="22" xfId="0" applyNumberFormat="1" applyFont="1" applyFill="1" applyBorder="1" applyAlignment="1" applyProtection="1">
      <alignment vertical="center"/>
      <protection locked="0"/>
    </xf>
    <xf numFmtId="4" fontId="0" fillId="8" borderId="62" xfId="0" applyNumberFormat="1" applyFont="1" applyFill="1" applyBorder="1" applyAlignment="1" applyProtection="1">
      <alignment vertical="center"/>
      <protection locked="0"/>
    </xf>
    <xf numFmtId="3" fontId="3" fillId="8" borderId="0" xfId="0" applyNumberFormat="1" applyFont="1" applyFill="1" applyAlignment="1">
      <alignment vertical="center"/>
    </xf>
    <xf numFmtId="3" fontId="3" fillId="8" borderId="36" xfId="0" applyNumberFormat="1" applyFont="1" applyFill="1" applyBorder="1" applyAlignment="1">
      <alignment vertical="center"/>
    </xf>
    <xf numFmtId="4" fontId="0" fillId="3" borderId="22" xfId="0" applyNumberFormat="1" applyFont="1" applyFill="1" applyBorder="1" applyAlignment="1">
      <alignment vertical="center"/>
    </xf>
    <xf numFmtId="4" fontId="0" fillId="3" borderId="62" xfId="0" applyNumberFormat="1" applyFont="1" applyFill="1" applyBorder="1" applyAlignment="1">
      <alignment vertical="center"/>
    </xf>
    <xf numFmtId="0" fontId="22" fillId="8" borderId="33" xfId="0" applyFont="1" applyFill="1" applyBorder="1" applyAlignment="1">
      <alignment horizontal="center" vertical="center"/>
    </xf>
    <xf numFmtId="0" fontId="22" fillId="8" borderId="58" xfId="0" applyFont="1" applyFill="1" applyBorder="1" applyAlignment="1">
      <alignment horizontal="center" vertical="center"/>
    </xf>
    <xf numFmtId="0" fontId="31" fillId="8" borderId="65" xfId="0" applyFont="1" applyFill="1" applyBorder="1" applyAlignment="1">
      <alignment horizontal="right" vertical="center"/>
    </xf>
    <xf numFmtId="0" fontId="0" fillId="3" borderId="65" xfId="0" applyFont="1" applyFill="1" applyBorder="1" applyAlignment="1">
      <alignment horizontal="right" vertical="center"/>
    </xf>
    <xf numFmtId="0" fontId="0" fillId="3" borderId="67" xfId="0" applyFont="1" applyFill="1" applyBorder="1" applyAlignment="1">
      <alignment horizontal="right" vertical="center"/>
    </xf>
    <xf numFmtId="0" fontId="11" fillId="8" borderId="33" xfId="0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11" fillId="8" borderId="0" xfId="0" applyFont="1" applyFill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0" fillId="8" borderId="36" xfId="0" applyFont="1" applyFill="1" applyBorder="1" applyAlignment="1">
      <alignment vertical="center"/>
    </xf>
    <xf numFmtId="0" fontId="11" fillId="8" borderId="33" xfId="0" applyFont="1" applyFill="1" applyBorder="1" applyAlignment="1">
      <alignment vertical="center" wrapText="1"/>
    </xf>
    <xf numFmtId="0" fontId="11" fillId="8" borderId="36" xfId="0" applyFont="1" applyFill="1" applyBorder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11" fillId="8" borderId="65" xfId="0" applyFont="1" applyFill="1" applyBorder="1" applyAlignment="1">
      <alignment horizontal="left" vertical="center"/>
    </xf>
    <xf numFmtId="0" fontId="0" fillId="0" borderId="65" xfId="0" applyFont="1" applyBorder="1" applyAlignment="1">
      <alignment horizontal="left"/>
    </xf>
    <xf numFmtId="0" fontId="0" fillId="3" borderId="2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39" fillId="3" borderId="33" xfId="0" applyFont="1" applyFill="1" applyBorder="1" applyAlignment="1">
      <alignment horizontal="right"/>
    </xf>
    <xf numFmtId="0" fontId="39" fillId="0" borderId="0" xfId="0" applyFont="1" applyAlignment="1">
      <alignment horizontal="right"/>
    </xf>
    <xf numFmtId="0" fontId="11" fillId="8" borderId="33" xfId="0" applyFont="1" applyFill="1" applyBorder="1" applyAlignment="1">
      <alignment horizontal="left" vertical="center" wrapText="1"/>
    </xf>
    <xf numFmtId="0" fontId="11" fillId="8" borderId="33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36" xfId="0" applyFont="1" applyBorder="1" applyAlignment="1">
      <alignment horizontal="right" vertical="center"/>
    </xf>
    <xf numFmtId="0" fontId="0" fillId="8" borderId="68" xfId="0" applyFont="1" applyFill="1" applyBorder="1">
      <alignment/>
    </xf>
    <xf numFmtId="0" fontId="0" fillId="0" borderId="24" xfId="0" applyBorder="1">
      <alignment/>
    </xf>
    <xf numFmtId="0" fontId="0" fillId="0" borderId="69" xfId="0" applyBorder="1">
      <alignment/>
    </xf>
    <xf numFmtId="0" fontId="0" fillId="8" borderId="33" xfId="0" applyFont="1" applyFill="1" applyBorder="1" applyAlignment="1">
      <alignment vertical="center"/>
    </xf>
    <xf numFmtId="4" fontId="3" fillId="8" borderId="15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0" fontId="11" fillId="8" borderId="18" xfId="0" applyFont="1" applyFill="1" applyBorder="1" applyAlignment="1">
      <alignment horizontal="right" vertical="center"/>
    </xf>
    <xf numFmtId="0" fontId="54" fillId="8" borderId="33" xfId="0" applyFont="1" applyFill="1" applyBorder="1" applyAlignment="1">
      <alignment vertical="center"/>
    </xf>
    <xf numFmtId="4" fontId="0" fillId="8" borderId="25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0" fontId="0" fillId="0" borderId="36" xfId="0" applyBorder="1" applyAlignment="1">
      <alignment horizontal="center" vertical="center"/>
    </xf>
    <xf numFmtId="1" fontId="0" fillId="8" borderId="0" xfId="0" applyNumberFormat="1" applyFont="1" applyFill="1" applyAlignment="1">
      <alignment horizontal="center" vertical="center"/>
    </xf>
    <xf numFmtId="0" fontId="0" fillId="3" borderId="36" xfId="0" applyFont="1" applyFill="1" applyBorder="1" applyAlignment="1">
      <alignment vertical="center"/>
    </xf>
    <xf numFmtId="0" fontId="3" fillId="8" borderId="36" xfId="0" applyFont="1" applyFill="1" applyBorder="1" applyAlignment="1">
      <alignment vertical="center"/>
    </xf>
    <xf numFmtId="49" fontId="0" fillId="8" borderId="25" xfId="0" applyNumberFormat="1" applyFont="1" applyFill="1" applyBorder="1" applyAlignment="1" applyProtection="1">
      <alignment horizontal="center" vertical="center"/>
      <protection locked="0"/>
    </xf>
    <xf numFmtId="49" fontId="0" fillId="8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center" vertical="center"/>
      <protection locked="0"/>
    </xf>
    <xf numFmtId="49" fontId="0" fillId="3" borderId="62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36" xfId="0" applyFont="1" applyBorder="1" applyAlignment="1">
      <alignment vertical="center"/>
    </xf>
    <xf numFmtId="0" fontId="0" fillId="8" borderId="25" xfId="0" applyFont="1" applyFill="1" applyBorder="1" applyAlignment="1" applyProtection="1">
      <alignment horizontal="center" vertical="center"/>
      <protection locked="0"/>
    </xf>
    <xf numFmtId="0" fontId="0" fillId="3" borderId="25" xfId="0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8" borderId="22" xfId="0" applyFont="1" applyFill="1" applyBorder="1" applyAlignment="1" applyProtection="1">
      <alignment horizontal="center" vertical="center"/>
      <protection locked="0"/>
    </xf>
    <xf numFmtId="0" fontId="0" fillId="8" borderId="62" xfId="0" applyFont="1" applyFill="1" applyBorder="1" applyAlignment="1" applyProtection="1">
      <alignment horizontal="center" vertical="center"/>
      <protection locked="0"/>
    </xf>
    <xf numFmtId="0" fontId="0" fillId="8" borderId="25" xfId="0" applyFont="1" applyFill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8" borderId="22" xfId="0" applyFont="1" applyFill="1" applyBorder="1" applyAlignment="1" applyProtection="1">
      <alignment horizontal="left" vertical="center"/>
      <protection locked="0"/>
    </xf>
    <xf numFmtId="0" fontId="3" fillId="8" borderId="25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0" fillId="8" borderId="24" xfId="0" applyFont="1" applyFill="1" applyBorder="1" applyAlignment="1">
      <alignment vertical="center"/>
    </xf>
    <xf numFmtId="0" fontId="0" fillId="8" borderId="69" xfId="0" applyFont="1" applyFill="1" applyBorder="1" applyAlignment="1">
      <alignment vertical="center"/>
    </xf>
    <xf numFmtId="0" fontId="0" fillId="0" borderId="36" xfId="0" applyFont="1" applyBorder="1" applyAlignment="1">
      <alignment horizontal="right" vertical="center"/>
    </xf>
    <xf numFmtId="0" fontId="11" fillId="8" borderId="68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1" fillId="8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14" fontId="0" fillId="0" borderId="25" xfId="0" applyNumberFormat="1" applyBorder="1" applyAlignment="1" applyProtection="1">
      <alignment horizontal="center" vertical="center"/>
      <protection locked="0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3" fontId="0" fillId="8" borderId="25" xfId="0" applyNumberFormat="1" applyFont="1" applyFill="1" applyBorder="1" applyAlignment="1" applyProtection="1">
      <alignment horizontal="left" vertical="center"/>
      <protection locked="0"/>
    </xf>
    <xf numFmtId="3" fontId="0" fillId="8" borderId="22" xfId="0" applyNumberFormat="1" applyFont="1" applyFill="1" applyBorder="1" applyAlignment="1" applyProtection="1">
      <alignment horizontal="left" vertical="center"/>
      <protection locked="0"/>
    </xf>
    <xf numFmtId="3" fontId="0" fillId="8" borderId="62" xfId="0" applyNumberFormat="1" applyFont="1" applyFill="1" applyBorder="1" applyAlignment="1" applyProtection="1">
      <alignment horizontal="left" vertical="center"/>
      <protection locked="0"/>
    </xf>
    <xf numFmtId="0" fontId="11" fillId="8" borderId="68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36" xfId="0" applyFont="1" applyBorder="1" applyAlignment="1">
      <alignment wrapText="1"/>
    </xf>
    <xf numFmtId="0" fontId="3" fillId="8" borderId="36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left" vertical="center"/>
    </xf>
    <xf numFmtId="0" fontId="11" fillId="8" borderId="36" xfId="0" applyFont="1" applyFill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62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0" fontId="0" fillId="3" borderId="62" xfId="0" applyFont="1" applyFill="1" applyBorder="1" applyAlignment="1" applyProtection="1">
      <alignment horizontal="center" vertical="center"/>
      <protection locked="0"/>
    </xf>
    <xf numFmtId="0" fontId="22" fillId="8" borderId="58" xfId="0" applyFont="1" applyFill="1" applyBorder="1" applyAlignment="1">
      <alignment horizontal="center"/>
    </xf>
    <xf numFmtId="0" fontId="22" fillId="8" borderId="65" xfId="0" applyFont="1" applyFill="1" applyBorder="1" applyAlignment="1">
      <alignment horizontal="center"/>
    </xf>
    <xf numFmtId="0" fontId="31" fillId="8" borderId="65" xfId="0" applyFont="1" applyFill="1" applyBorder="1" applyAlignment="1">
      <alignment horizontal="left" vertical="center"/>
    </xf>
    <xf numFmtId="0" fontId="0" fillId="3" borderId="65" xfId="0" applyFont="1" applyFill="1" applyBorder="1" applyAlignment="1">
      <alignment horizontal="left" vertical="center"/>
    </xf>
    <xf numFmtId="0" fontId="0" fillId="3" borderId="67" xfId="0" applyFont="1" applyFill="1" applyBorder="1">
      <alignment/>
    </xf>
    <xf numFmtId="0" fontId="11" fillId="8" borderId="69" xfId="0" applyFont="1" applyFill="1" applyBorder="1" applyAlignment="1">
      <alignment horizontal="left" vertical="center"/>
    </xf>
    <xf numFmtId="0" fontId="0" fillId="8" borderId="25" xfId="0" applyFont="1" applyFill="1" applyBorder="1" applyAlignment="1">
      <alignment horizontal="center" vertical="center"/>
    </xf>
    <xf numFmtId="0" fontId="0" fillId="8" borderId="22" xfId="0" applyFont="1" applyFill="1" applyBorder="1" applyAlignment="1">
      <alignment horizontal="center" vertical="center"/>
    </xf>
    <xf numFmtId="0" fontId="0" fillId="8" borderId="62" xfId="0" applyFont="1" applyFill="1" applyBorder="1" applyAlignment="1">
      <alignment horizontal="center" vertical="center"/>
    </xf>
    <xf numFmtId="0" fontId="11" fillId="3" borderId="67" xfId="0" applyFont="1" applyFill="1" applyBorder="1" applyAlignment="1">
      <alignment horizontal="left" vertical="center"/>
    </xf>
    <xf numFmtId="14" fontId="0" fillId="8" borderId="25" xfId="0" applyNumberFormat="1" applyFont="1" applyFill="1" applyBorder="1" applyAlignment="1" applyProtection="1">
      <alignment horizontal="center" vertical="center"/>
      <protection locked="0"/>
    </xf>
    <xf numFmtId="0" fontId="0" fillId="8" borderId="62" xfId="0" applyFont="1" applyFill="1" applyBorder="1" applyAlignment="1" applyProtection="1">
      <alignment horizontal="center" vertical="center"/>
      <protection locked="0"/>
    </xf>
    <xf numFmtId="0" fontId="11" fillId="8" borderId="68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69" xfId="0" applyFont="1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36" xfId="0" applyFont="1" applyFill="1" applyBorder="1" applyAlignment="1">
      <alignment horizontal="center"/>
    </xf>
    <xf numFmtId="0" fontId="11" fillId="8" borderId="58" xfId="0" applyFont="1" applyFill="1" applyBorder="1" applyAlignment="1">
      <alignment horizontal="center"/>
    </xf>
    <xf numFmtId="0" fontId="11" fillId="8" borderId="65" xfId="0" applyFont="1" applyFill="1" applyBorder="1" applyAlignment="1">
      <alignment horizontal="center"/>
    </xf>
    <xf numFmtId="0" fontId="11" fillId="8" borderId="67" xfId="0" applyFont="1" applyFill="1" applyBorder="1" applyAlignment="1">
      <alignment horizontal="center"/>
    </xf>
    <xf numFmtId="14" fontId="0" fillId="8" borderId="25" xfId="0" applyNumberFormat="1" applyFont="1" applyFill="1" applyBorder="1" applyAlignment="1">
      <alignment horizontal="center" vertical="center"/>
    </xf>
    <xf numFmtId="0" fontId="27" fillId="8" borderId="0" xfId="0" applyFont="1" applyFill="1" applyAlignment="1">
      <alignment horizontal="right" vertical="center"/>
    </xf>
    <xf numFmtId="0" fontId="27" fillId="0" borderId="36" xfId="0" applyFont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0" fillId="3" borderId="24" xfId="0" applyFont="1" applyFill="1" applyBorder="1" applyAlignment="1">
      <alignment vertical="center"/>
    </xf>
    <xf numFmtId="0" fontId="3" fillId="8" borderId="33" xfId="0" applyFont="1" applyFill="1" applyBorder="1" applyAlignment="1">
      <alignment vertical="center"/>
    </xf>
    <xf numFmtId="0" fontId="3" fillId="16" borderId="24" xfId="0" applyFont="1" applyFill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16" borderId="58" xfId="0" applyFill="1" applyBorder="1" applyAlignment="1">
      <alignment vertical="center"/>
    </xf>
    <xf numFmtId="0" fontId="11" fillId="16" borderId="65" xfId="0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27" fillId="16" borderId="0" xfId="0" applyFont="1" applyFill="1" applyAlignment="1">
      <alignment vertical="center"/>
    </xf>
    <xf numFmtId="0" fontId="3" fillId="16" borderId="68" xfId="0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14" fontId="0" fillId="16" borderId="66" xfId="0" applyNumberFormat="1" applyFill="1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16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6" xfId="0" applyBorder="1" applyAlignment="1" applyProtection="1">
      <alignment vertical="center"/>
      <protection locked="0"/>
    </xf>
    <xf numFmtId="0" fontId="27" fillId="16" borderId="115" xfId="0" applyFont="1" applyFill="1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0" fillId="16" borderId="33" xfId="0" applyFill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49" fontId="39" fillId="16" borderId="0" xfId="0" applyNumberFormat="1" applyFont="1" applyFill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16" borderId="25" xfId="0" applyFont="1" applyFill="1" applyBorder="1" applyAlignment="1">
      <alignment vertical="center"/>
    </xf>
    <xf numFmtId="0" fontId="27" fillId="16" borderId="65" xfId="0" applyFont="1" applyFill="1" applyBorder="1" applyAlignment="1">
      <alignment vertical="center"/>
    </xf>
    <xf numFmtId="0" fontId="27" fillId="0" borderId="65" xfId="0" applyFont="1" applyBorder="1" applyAlignment="1">
      <alignment vertical="center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62" xfId="0" applyBorder="1" applyAlignment="1" applyProtection="1">
      <alignment vertical="center"/>
      <protection locked="0"/>
    </xf>
    <xf numFmtId="14" fontId="0" fillId="16" borderId="25" xfId="0" applyNumberForma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16" borderId="25" xfId="0" applyFill="1" applyBorder="1" applyAlignment="1">
      <alignment horizontal="center" vertical="center"/>
    </xf>
    <xf numFmtId="0" fontId="0" fillId="16" borderId="25" xfId="0" applyFill="1" applyBorder="1" applyAlignment="1" applyProtection="1">
      <alignment vertical="center"/>
      <protection locked="0"/>
    </xf>
    <xf numFmtId="0" fontId="54" fillId="16" borderId="0" xfId="0" applyFont="1" applyFill="1" applyAlignment="1">
      <alignment wrapText="1"/>
    </xf>
    <xf numFmtId="0" fontId="54" fillId="0" borderId="0" xfId="0" applyFont="1" applyAlignment="1">
      <alignment wrapText="1"/>
    </xf>
    <xf numFmtId="0" fontId="0" fillId="16" borderId="25" xfId="0" applyFill="1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16" borderId="68" xfId="0" applyFill="1" applyBorder="1" applyAlignment="1">
      <alignment vertical="center"/>
    </xf>
    <xf numFmtId="0" fontId="0" fillId="0" borderId="58" xfId="0" applyBorder="1" applyAlignment="1">
      <alignment vertical="center"/>
    </xf>
    <xf numFmtId="0" fontId="54" fillId="16" borderId="65" xfId="0" applyFont="1" applyFill="1" applyBorder="1" applyAlignment="1">
      <alignment horizontal="center"/>
    </xf>
    <xf numFmtId="0" fontId="54" fillId="0" borderId="65" xfId="0" applyFont="1" applyBorder="1" applyAlignment="1">
      <alignment horizontal="center"/>
    </xf>
    <xf numFmtId="1" fontId="0" fillId="16" borderId="25" xfId="0" applyNumberFormat="1" applyFill="1" applyBorder="1" applyAlignment="1">
      <alignment horizontal="center" vertical="center"/>
    </xf>
    <xf numFmtId="0" fontId="54" fillId="16" borderId="65" xfId="0" applyFont="1" applyFill="1" applyBorder="1" applyAlignment="1">
      <alignment wrapText="1"/>
    </xf>
    <xf numFmtId="0" fontId="54" fillId="0" borderId="65" xfId="0" applyFont="1" applyBorder="1" applyAlignment="1">
      <alignment wrapText="1"/>
    </xf>
    <xf numFmtId="0" fontId="11" fillId="16" borderId="121" xfId="0" applyFont="1" applyFill="1" applyBorder="1" applyAlignment="1">
      <alignment horizontal="center" vertical="center"/>
    </xf>
    <xf numFmtId="0" fontId="11" fillId="16" borderId="122" xfId="0" applyFont="1" applyFill="1" applyBorder="1" applyAlignment="1">
      <alignment horizontal="center" vertical="center"/>
    </xf>
    <xf numFmtId="0" fontId="49" fillId="16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" fillId="16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33" xfId="0" applyFont="1" applyBorder="1" applyAlignment="1">
      <alignment horizontal="left" vertical="center"/>
    </xf>
    <xf numFmtId="14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>
      <alignment vertical="center"/>
    </xf>
    <xf numFmtId="0" fontId="59" fillId="16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99" fillId="16" borderId="0" xfId="16" applyFont="1" applyFill="1" applyAlignment="1">
      <alignment horizontal="center" vertical="top"/>
      <protection/>
    </xf>
    <xf numFmtId="0" fontId="27" fillId="16" borderId="0" xfId="16" applyFont="1" applyFill="1" applyAlignment="1">
      <alignment horizontal="center"/>
      <protection/>
    </xf>
    <xf numFmtId="0" fontId="50" fillId="16" borderId="66" xfId="16" applyFont="1" applyFill="1" applyBorder="1" applyAlignment="1" applyProtection="1">
      <alignment horizontal="left" vertical="center"/>
      <protection locked="0"/>
    </xf>
    <xf numFmtId="0" fontId="50" fillId="0" borderId="66" xfId="15" applyFont="1" applyBorder="1" applyAlignment="1" applyProtection="1">
      <alignment horizontal="left" vertical="center"/>
      <protection locked="0"/>
    </xf>
    <xf numFmtId="0" fontId="11" fillId="16" borderId="0" xfId="16" applyFont="1" applyFill="1" applyAlignment="1">
      <alignment horizontal="center" vertical="top"/>
      <protection/>
    </xf>
    <xf numFmtId="0" fontId="50" fillId="16" borderId="66" xfId="16" applyFont="1" applyFill="1" applyBorder="1" applyAlignment="1" applyProtection="1">
      <alignment vertical="center"/>
      <protection locked="0"/>
    </xf>
    <xf numFmtId="0" fontId="50" fillId="0" borderId="66" xfId="15" applyFont="1" applyBorder="1" applyAlignment="1" applyProtection="1">
      <alignment vertical="center"/>
      <protection locked="0"/>
    </xf>
    <xf numFmtId="0" fontId="27" fillId="16" borderId="36" xfId="16" applyFont="1" applyFill="1" applyBorder="1" applyAlignment="1">
      <alignment horizontal="center"/>
      <protection/>
    </xf>
    <xf numFmtId="49" fontId="3" fillId="16" borderId="25" xfId="16" applyNumberFormat="1" applyFont="1" applyFill="1" applyBorder="1" applyAlignment="1" applyProtection="1">
      <alignment horizontal="center" vertical="center"/>
      <protection locked="0"/>
    </xf>
    <xf numFmtId="49" fontId="3" fillId="16" borderId="62" xfId="16" applyNumberFormat="1" applyFont="1" applyFill="1" applyBorder="1" applyAlignment="1" applyProtection="1">
      <alignment horizontal="center" vertical="center"/>
      <protection locked="0"/>
    </xf>
    <xf numFmtId="0" fontId="27" fillId="16" borderId="0" xfId="16" applyFont="1" applyFill="1" applyAlignment="1" applyProtection="1">
      <alignment horizontal="left" vertical="center"/>
      <protection locked="0"/>
    </xf>
    <xf numFmtId="0" fontId="27" fillId="16" borderId="0" xfId="16" applyFont="1" applyFill="1" applyAlignment="1">
      <alignment horizontal="center" vertical="center"/>
      <protection/>
    </xf>
    <xf numFmtId="0" fontId="27" fillId="16" borderId="0" xfId="16" applyFont="1" applyFill="1" applyAlignment="1">
      <alignment horizontal="left" vertical="center"/>
      <protection/>
    </xf>
    <xf numFmtId="0" fontId="3" fillId="16" borderId="66" xfId="16" applyFont="1" applyFill="1" applyBorder="1" applyAlignment="1">
      <alignment horizontal="center" vertical="center"/>
      <protection/>
    </xf>
    <xf numFmtId="0" fontId="0" fillId="0" borderId="66" xfId="15" applyBorder="1" applyAlignment="1">
      <alignment vertical="center"/>
      <protection/>
    </xf>
    <xf numFmtId="0" fontId="3" fillId="16" borderId="25" xfId="16" applyFont="1" applyFill="1" applyBorder="1" applyAlignment="1">
      <alignment horizontal="center" vertical="center"/>
      <protection/>
    </xf>
    <xf numFmtId="0" fontId="3" fillId="16" borderId="62" xfId="16" applyFont="1" applyFill="1" applyBorder="1" applyAlignment="1">
      <alignment horizontal="center" vertical="center"/>
      <protection/>
    </xf>
    <xf numFmtId="0" fontId="11" fillId="16" borderId="115" xfId="16" applyFont="1" applyFill="1" applyBorder="1" applyAlignment="1">
      <alignment horizontal="center"/>
      <protection/>
    </xf>
    <xf numFmtId="0" fontId="0" fillId="0" borderId="115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3" fillId="16" borderId="66" xfId="16" applyFont="1" applyFill="1" applyBorder="1" applyAlignment="1" applyProtection="1">
      <alignment horizontal="center" vertical="center"/>
      <protection locked="0"/>
    </xf>
    <xf numFmtId="1" fontId="49" fillId="16" borderId="66" xfId="16" applyNumberFormat="1" applyFont="1" applyFill="1" applyBorder="1" applyAlignment="1">
      <alignment horizontal="center" vertical="center"/>
      <protection/>
    </xf>
    <xf numFmtId="4" fontId="3" fillId="16" borderId="66" xfId="16" applyNumberFormat="1" applyFont="1" applyFill="1" applyBorder="1" applyAlignment="1" applyProtection="1">
      <alignment horizontal="center" vertical="center"/>
      <protection locked="0"/>
    </xf>
    <xf numFmtId="4" fontId="27" fillId="16" borderId="0" xfId="16" applyNumberFormat="1" applyFont="1" applyFill="1" applyAlignment="1">
      <alignment horizontal="center" vertical="center"/>
      <protection/>
    </xf>
    <xf numFmtId="3" fontId="27" fillId="16" borderId="0" xfId="16" applyNumberFormat="1" applyFont="1" applyFill="1" applyAlignment="1">
      <alignment horizontal="center"/>
      <protection/>
    </xf>
    <xf numFmtId="14" fontId="54" fillId="16" borderId="66" xfId="16" applyNumberFormat="1" applyFont="1" applyFill="1" applyBorder="1" applyAlignment="1" applyProtection="1">
      <alignment horizontal="center" vertical="center"/>
      <protection locked="0"/>
    </xf>
    <xf numFmtId="0" fontId="54" fillId="16" borderId="66" xfId="16" applyFont="1" applyFill="1" applyBorder="1" applyAlignment="1">
      <alignment horizontal="center" vertical="center"/>
      <protection/>
    </xf>
    <xf numFmtId="0" fontId="11" fillId="16" borderId="0" xfId="16" applyFont="1" applyFill="1" applyAlignment="1">
      <alignment horizontal="left" wrapText="1"/>
      <protection/>
    </xf>
    <xf numFmtId="0" fontId="11" fillId="16" borderId="0" xfId="16" applyFont="1" applyFill="1" applyAlignment="1">
      <alignment horizontal="center"/>
      <protection/>
    </xf>
    <xf numFmtId="49" fontId="3" fillId="16" borderId="66" xfId="16" applyNumberFormat="1" applyFont="1" applyFill="1" applyBorder="1" applyAlignment="1" applyProtection="1">
      <alignment horizontal="center" vertical="center"/>
      <protection locked="0"/>
    </xf>
    <xf numFmtId="167" fontId="3" fillId="16" borderId="66" xfId="16" applyNumberFormat="1" applyFont="1" applyFill="1" applyBorder="1" applyAlignment="1" applyProtection="1">
      <alignment horizontal="center" vertical="center"/>
      <protection locked="0"/>
    </xf>
    <xf numFmtId="0" fontId="0" fillId="29" borderId="123" xfId="0" applyFill="1" applyBorder="1">
      <alignment/>
    </xf>
    <xf numFmtId="0" fontId="0" fillId="14" borderId="124" xfId="0" applyFill="1" applyBorder="1">
      <alignment/>
    </xf>
    <xf numFmtId="0" fontId="0" fillId="14" borderId="125" xfId="0" applyFill="1" applyBorder="1">
      <alignment/>
    </xf>
    <xf numFmtId="0" fontId="0" fillId="29" borderId="124" xfId="0" applyFill="1" applyBorder="1" applyAlignment="1">
      <alignment vertical="center"/>
    </xf>
    <xf numFmtId="0" fontId="0" fillId="14" borderId="124" xfId="0" applyFill="1" applyBorder="1" applyAlignment="1">
      <alignment vertical="center"/>
    </xf>
    <xf numFmtId="0" fontId="0" fillId="14" borderId="125" xfId="0" applyFill="1" applyBorder="1" applyAlignment="1">
      <alignment vertical="center"/>
    </xf>
    <xf numFmtId="0" fontId="115" fillId="33" borderId="126" xfId="0" applyFont="1" applyFill="1" applyBorder="1" applyAlignment="1">
      <alignment vertical="center"/>
    </xf>
    <xf numFmtId="0" fontId="117" fillId="34" borderId="127" xfId="0" applyFont="1" applyFill="1" applyBorder="1" applyAlignment="1">
      <alignment vertical="center"/>
    </xf>
    <xf numFmtId="0" fontId="117" fillId="34" borderId="128" xfId="0" applyFont="1" applyFill="1" applyBorder="1" applyAlignment="1">
      <alignment vertical="center"/>
    </xf>
    <xf numFmtId="0" fontId="61" fillId="26" borderId="123" xfId="0" applyFont="1" applyFill="1" applyBorder="1" applyAlignment="1">
      <alignment horizontal="center"/>
    </xf>
    <xf numFmtId="0" fontId="0" fillId="27" borderId="124" xfId="0" applyFill="1" applyBorder="1">
      <alignment/>
    </xf>
    <xf numFmtId="0" fontId="0" fillId="27" borderId="125" xfId="0" applyFill="1" applyBorder="1">
      <alignment/>
    </xf>
    <xf numFmtId="0" fontId="61" fillId="26" borderId="0" xfId="0" applyFont="1" applyFill="1" applyAlignment="1">
      <alignment horizontal="center"/>
    </xf>
    <xf numFmtId="0" fontId="0" fillId="27" borderId="0" xfId="0" applyFill="1">
      <alignment/>
    </xf>
    <xf numFmtId="0" fontId="114" fillId="26" borderId="82" xfId="0" applyFont="1" applyFill="1" applyBorder="1" applyAlignment="1">
      <alignment vertical="center" wrapText="1"/>
    </xf>
    <xf numFmtId="0" fontId="78" fillId="27" borderId="0" xfId="0" applyFont="1" applyFill="1">
      <alignment/>
    </xf>
    <xf numFmtId="0" fontId="78" fillId="27" borderId="82" xfId="0" applyFont="1" applyFill="1" applyBorder="1">
      <alignment/>
    </xf>
    <xf numFmtId="0" fontId="114" fillId="8" borderId="83" xfId="0" applyFont="1" applyFill="1" applyBorder="1" applyAlignment="1" applyProtection="1">
      <alignment horizontal="center"/>
      <protection locked="0"/>
    </xf>
    <xf numFmtId="0" fontId="114" fillId="8" borderId="84" xfId="0" applyFont="1" applyFill="1" applyBorder="1" applyAlignment="1" applyProtection="1">
      <alignment horizontal="center"/>
      <protection locked="0"/>
    </xf>
    <xf numFmtId="0" fontId="114" fillId="8" borderId="129" xfId="0" applyFont="1" applyFill="1" applyBorder="1" applyAlignment="1" applyProtection="1">
      <alignment horizontal="center"/>
      <protection locked="0"/>
    </xf>
    <xf numFmtId="0" fontId="114" fillId="8" borderId="82" xfId="0" applyFont="1" applyFill="1" applyBorder="1" applyAlignment="1" applyProtection="1">
      <alignment horizontal="center"/>
      <protection locked="0"/>
    </xf>
    <xf numFmtId="0" fontId="114" fillId="8" borderId="0" xfId="0" applyFont="1" applyFill="1" applyAlignment="1" applyProtection="1">
      <alignment horizontal="center"/>
      <protection locked="0"/>
    </xf>
    <xf numFmtId="0" fontId="114" fillId="8" borderId="85" xfId="0" applyFont="1" applyFill="1" applyBorder="1" applyAlignment="1" applyProtection="1">
      <alignment horizontal="center"/>
      <protection locked="0"/>
    </xf>
    <xf numFmtId="0" fontId="114" fillId="8" borderId="123" xfId="0" applyFont="1" applyFill="1" applyBorder="1" applyAlignment="1" applyProtection="1">
      <alignment horizontal="center"/>
      <protection locked="0"/>
    </xf>
    <xf numFmtId="0" fontId="114" fillId="8" borderId="124" xfId="0" applyFont="1" applyFill="1" applyBorder="1" applyAlignment="1" applyProtection="1">
      <alignment horizontal="center"/>
      <protection locked="0"/>
    </xf>
    <xf numFmtId="0" fontId="114" fillId="8" borderId="125" xfId="0" applyFont="1" applyFill="1" applyBorder="1" applyAlignment="1" applyProtection="1">
      <alignment horizontal="center"/>
      <protection locked="0"/>
    </xf>
    <xf numFmtId="0" fontId="0" fillId="26" borderId="0" xfId="0" applyFill="1">
      <alignment/>
    </xf>
    <xf numFmtId="0" fontId="0" fillId="26" borderId="85" xfId="0" applyFill="1" applyBorder="1">
      <alignment/>
    </xf>
    <xf numFmtId="0" fontId="116" fillId="26" borderId="0" xfId="0" applyFont="1" applyFill="1" applyAlignment="1">
      <alignment horizontal="center"/>
    </xf>
    <xf numFmtId="0" fontId="112" fillId="26" borderId="0" xfId="0" applyFont="1" applyFill="1">
      <alignment/>
    </xf>
    <xf numFmtId="14" fontId="62" fillId="8" borderId="83" xfId="0" applyNumberFormat="1" applyFont="1" applyFill="1" applyBorder="1" applyAlignment="1" applyProtection="1">
      <alignment horizontal="center" vertical="center"/>
      <protection locked="0"/>
    </xf>
    <xf numFmtId="0" fontId="0" fillId="0" borderId="84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23" xfId="0" applyBorder="1">
      <alignment/>
    </xf>
    <xf numFmtId="0" fontId="0" fillId="0" borderId="124" xfId="0" applyBorder="1">
      <alignment/>
    </xf>
    <xf numFmtId="0" fontId="0" fillId="0" borderId="125" xfId="0" applyBorder="1">
      <alignment/>
    </xf>
    <xf numFmtId="0" fontId="61" fillId="26" borderId="82" xfId="0" applyFont="1" applyFill="1" applyBorder="1" applyAlignment="1">
      <alignment horizontal="center"/>
    </xf>
    <xf numFmtId="0" fontId="115" fillId="33" borderId="130" xfId="0" applyFont="1" applyFill="1" applyBorder="1" applyAlignment="1">
      <alignment vertical="center"/>
    </xf>
    <xf numFmtId="0" fontId="117" fillId="34" borderId="130" xfId="0" applyFont="1" applyFill="1" applyBorder="1" applyAlignment="1">
      <alignment vertical="center"/>
    </xf>
    <xf numFmtId="0" fontId="117" fillId="34" borderId="131" xfId="0" applyFont="1" applyFill="1" applyBorder="1" applyAlignment="1">
      <alignment vertical="center"/>
    </xf>
    <xf numFmtId="0" fontId="113" fillId="26" borderId="82" xfId="0" applyFont="1" applyFill="1" applyBorder="1" applyAlignment="1">
      <alignment horizontal="right" vertical="center"/>
    </xf>
    <xf numFmtId="0" fontId="78" fillId="27" borderId="0" xfId="0" applyFont="1" applyFill="1" applyAlignment="1">
      <alignment vertical="center"/>
    </xf>
    <xf numFmtId="0" fontId="78" fillId="27" borderId="85" xfId="0" applyFont="1" applyFill="1" applyBorder="1" applyAlignment="1">
      <alignment vertical="center"/>
    </xf>
    <xf numFmtId="0" fontId="119" fillId="26" borderId="0" xfId="0" applyFont="1" applyFill="1" applyAlignment="1">
      <alignment vertical="center"/>
    </xf>
    <xf numFmtId="0" fontId="120" fillId="27" borderId="0" xfId="0" applyFont="1" applyFill="1" applyAlignment="1">
      <alignment vertical="center"/>
    </xf>
    <xf numFmtId="4" fontId="62" fillId="35" borderId="126" xfId="0" applyNumberFormat="1" applyFont="1" applyFill="1" applyBorder="1" applyAlignment="1">
      <alignment vertical="center"/>
    </xf>
    <xf numFmtId="4" fontId="62" fillId="35" borderId="127" xfId="0" applyNumberFormat="1" applyFont="1" applyFill="1" applyBorder="1" applyAlignment="1">
      <alignment vertical="center"/>
    </xf>
    <xf numFmtId="4" fontId="62" fillId="35" borderId="128" xfId="0" applyNumberFormat="1" applyFont="1" applyFill="1" applyBorder="1" applyAlignment="1">
      <alignment vertical="center"/>
    </xf>
    <xf numFmtId="0" fontId="86" fillId="26" borderId="0" xfId="0" applyFont="1" applyFill="1" applyAlignment="1">
      <alignment vertical="center"/>
    </xf>
    <xf numFmtId="0" fontId="113" fillId="29" borderId="0" xfId="0" applyFont="1" applyFill="1" applyAlignment="1">
      <alignment horizontal="right" vertical="center"/>
    </xf>
    <xf numFmtId="0" fontId="113" fillId="29" borderId="85" xfId="0" applyFont="1" applyFill="1" applyBorder="1" applyAlignment="1">
      <alignment horizontal="right" vertical="center"/>
    </xf>
    <xf numFmtId="0" fontId="0" fillId="26" borderId="82" xfId="0" applyFill="1" applyBorder="1" applyAlignment="1">
      <alignment vertical="center"/>
    </xf>
    <xf numFmtId="0" fontId="0" fillId="27" borderId="0" xfId="0" applyFill="1" applyAlignment="1">
      <alignment vertical="center"/>
    </xf>
    <xf numFmtId="0" fontId="0" fillId="27" borderId="85" xfId="0" applyFill="1" applyBorder="1" applyAlignment="1">
      <alignment vertical="center"/>
    </xf>
    <xf numFmtId="0" fontId="119" fillId="29" borderId="0" xfId="0" applyFont="1" applyFill="1" applyAlignment="1">
      <alignment vertical="center"/>
    </xf>
    <xf numFmtId="0" fontId="120" fillId="29" borderId="0" xfId="0" applyFont="1" applyFill="1" applyAlignment="1">
      <alignment vertical="center"/>
    </xf>
    <xf numFmtId="0" fontId="120" fillId="29" borderId="79" xfId="0" applyFont="1" applyFill="1" applyBorder="1" applyAlignment="1">
      <alignment vertical="center"/>
    </xf>
    <xf numFmtId="0" fontId="120" fillId="29" borderId="85" xfId="0" applyFont="1" applyFill="1" applyBorder="1" applyAlignment="1">
      <alignment vertical="center"/>
    </xf>
    <xf numFmtId="3" fontId="62" fillId="35" borderId="126" xfId="0" applyNumberFormat="1" applyFont="1" applyFill="1" applyBorder="1" applyAlignment="1">
      <alignment vertical="center"/>
    </xf>
    <xf numFmtId="3" fontId="62" fillId="35" borderId="127" xfId="0" applyNumberFormat="1" applyFont="1" applyFill="1" applyBorder="1" applyAlignment="1">
      <alignment vertical="center"/>
    </xf>
    <xf numFmtId="3" fontId="62" fillId="35" borderId="128" xfId="0" applyNumberFormat="1" applyFont="1" applyFill="1" applyBorder="1" applyAlignment="1">
      <alignment vertical="center"/>
    </xf>
    <xf numFmtId="0" fontId="86" fillId="29" borderId="82" xfId="0" applyFont="1" applyFill="1" applyBorder="1" applyAlignment="1">
      <alignment vertical="center"/>
    </xf>
    <xf numFmtId="0" fontId="78" fillId="29" borderId="0" xfId="0" applyFont="1" applyFill="1" applyAlignment="1">
      <alignment vertical="center"/>
    </xf>
    <xf numFmtId="0" fontId="78" fillId="29" borderId="85" xfId="0" applyFont="1" applyFill="1" applyBorder="1" applyAlignment="1">
      <alignment vertical="center"/>
    </xf>
    <xf numFmtId="0" fontId="3" fillId="26" borderId="0" xfId="0" applyFont="1" applyFill="1" applyAlignment="1">
      <alignment vertical="center"/>
    </xf>
    <xf numFmtId="0" fontId="113" fillId="26" borderId="0" xfId="0" applyFont="1" applyFill="1" applyAlignment="1">
      <alignment horizontal="left" vertical="center"/>
    </xf>
    <xf numFmtId="0" fontId="0" fillId="26" borderId="0" xfId="0" applyFill="1" applyAlignment="1">
      <alignment vertical="center"/>
    </xf>
    <xf numFmtId="0" fontId="0" fillId="36" borderId="127" xfId="0" applyFill="1" applyBorder="1" applyAlignment="1">
      <alignment vertical="center"/>
    </xf>
    <xf numFmtId="0" fontId="0" fillId="36" borderId="128" xfId="0" applyFill="1" applyBorder="1" applyAlignment="1">
      <alignment vertical="center"/>
    </xf>
    <xf numFmtId="0" fontId="116" fillId="26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85" xfId="0" applyFont="1" applyBorder="1" applyAlignment="1">
      <alignment vertical="center"/>
    </xf>
    <xf numFmtId="0" fontId="116" fillId="26" borderId="82" xfId="0" applyFont="1" applyFill="1" applyBorder="1" applyAlignment="1">
      <alignment vertical="center"/>
    </xf>
    <xf numFmtId="0" fontId="0" fillId="0" borderId="85" xfId="0" applyBorder="1" applyAlignment="1">
      <alignment vertical="center"/>
    </xf>
    <xf numFmtId="0" fontId="62" fillId="8" borderId="126" xfId="0" applyFont="1" applyFill="1" applyBorder="1" applyAlignment="1" applyProtection="1">
      <alignment horizontal="center" vertical="center"/>
      <protection locked="0"/>
    </xf>
    <xf numFmtId="0" fontId="62" fillId="8" borderId="128" xfId="0" applyFont="1" applyFill="1" applyBorder="1" applyAlignment="1" applyProtection="1">
      <alignment horizontal="center" vertical="center"/>
      <protection locked="0"/>
    </xf>
    <xf numFmtId="0" fontId="86" fillId="26" borderId="85" xfId="0" applyFont="1" applyFill="1" applyBorder="1" applyAlignment="1">
      <alignment vertical="center"/>
    </xf>
    <xf numFmtId="0" fontId="113" fillId="26" borderId="0" xfId="0" applyFont="1" applyFill="1" applyAlignment="1">
      <alignment horizontal="right"/>
    </xf>
    <xf numFmtId="0" fontId="108" fillId="27" borderId="0" xfId="0" applyFont="1" applyFill="1" applyAlignment="1">
      <alignment horizontal="right"/>
    </xf>
    <xf numFmtId="0" fontId="108" fillId="27" borderId="85" xfId="0" applyFont="1" applyFill="1" applyBorder="1" applyAlignment="1">
      <alignment horizontal="right"/>
    </xf>
    <xf numFmtId="0" fontId="112" fillId="26" borderId="0" xfId="0" applyFont="1" applyFill="1" applyAlignment="1">
      <alignment vertical="center"/>
    </xf>
    <xf numFmtId="0" fontId="112" fillId="26" borderId="85" xfId="0" applyFont="1" applyFill="1" applyBorder="1" applyAlignment="1">
      <alignment vertical="center"/>
    </xf>
    <xf numFmtId="3" fontId="62" fillId="8" borderId="126" xfId="0" applyNumberFormat="1" applyFont="1" applyFill="1" applyBorder="1" applyAlignment="1" applyProtection="1">
      <alignment vertical="center"/>
      <protection locked="0"/>
    </xf>
    <xf numFmtId="0" fontId="62" fillId="8" borderId="127" xfId="0" applyFont="1" applyFill="1" applyBorder="1" applyAlignment="1" applyProtection="1">
      <alignment vertical="center"/>
      <protection locked="0"/>
    </xf>
    <xf numFmtId="0" fontId="62" fillId="8" borderId="128" xfId="0" applyFont="1" applyFill="1" applyBorder="1" applyAlignment="1" applyProtection="1">
      <alignment vertical="center"/>
      <protection locked="0"/>
    </xf>
    <xf numFmtId="0" fontId="116" fillId="26" borderId="0" xfId="0" applyFont="1" applyFill="1">
      <alignment/>
    </xf>
    <xf numFmtId="0" fontId="0" fillId="0" borderId="85" xfId="0" applyBorder="1">
      <alignment/>
    </xf>
    <xf numFmtId="0" fontId="113" fillId="26" borderId="0" xfId="0" applyFont="1" applyFill="1" applyAlignment="1">
      <alignment horizontal="right" vertical="center"/>
    </xf>
    <xf numFmtId="0" fontId="108" fillId="27" borderId="0" xfId="0" applyFont="1" applyFill="1" applyAlignment="1">
      <alignment horizontal="right" vertical="center"/>
    </xf>
    <xf numFmtId="0" fontId="108" fillId="27" borderId="85" xfId="0" applyFont="1" applyFill="1" applyBorder="1" applyAlignment="1">
      <alignment horizontal="right" vertical="center"/>
    </xf>
    <xf numFmtId="0" fontId="113" fillId="26" borderId="85" xfId="0" applyFont="1" applyFill="1" applyBorder="1" applyAlignment="1">
      <alignment horizontal="right"/>
    </xf>
    <xf numFmtId="0" fontId="0" fillId="27" borderId="82" xfId="0" applyFill="1" applyBorder="1">
      <alignment/>
    </xf>
    <xf numFmtId="0" fontId="0" fillId="0" borderId="82" xfId="0" applyBorder="1">
      <alignment/>
    </xf>
    <xf numFmtId="0" fontId="78" fillId="27" borderId="82" xfId="0" applyFont="1" applyFill="1" applyBorder="1" applyAlignment="1">
      <alignment vertical="center"/>
    </xf>
    <xf numFmtId="0" fontId="112" fillId="26" borderId="0" xfId="0" applyFont="1" applyFill="1" applyAlignment="1">
      <alignment horizontal="right"/>
    </xf>
    <xf numFmtId="0" fontId="78" fillId="27" borderId="0" xfId="0" applyFont="1" applyFill="1" applyAlignment="1">
      <alignment horizontal="right"/>
    </xf>
    <xf numFmtId="0" fontId="0" fillId="26" borderId="82" xfId="0" applyFill="1" applyBorder="1">
      <alignment/>
    </xf>
    <xf numFmtId="0" fontId="113" fillId="27" borderId="82" xfId="0" applyFont="1" applyFill="1" applyBorder="1" applyAlignment="1">
      <alignment vertical="center"/>
    </xf>
    <xf numFmtId="0" fontId="113" fillId="0" borderId="0" xfId="0" applyFont="1" applyAlignment="1">
      <alignment vertical="center"/>
    </xf>
    <xf numFmtId="0" fontId="113" fillId="0" borderId="85" xfId="0" applyFont="1" applyBorder="1" applyAlignment="1">
      <alignment vertical="center"/>
    </xf>
    <xf numFmtId="0" fontId="112" fillId="26" borderId="82" xfId="0" applyFont="1" applyFill="1" applyBorder="1" applyAlignment="1">
      <alignment vertical="center"/>
    </xf>
    <xf numFmtId="0" fontId="78" fillId="26" borderId="0" xfId="0" applyFont="1" applyFill="1">
      <alignment/>
    </xf>
    <xf numFmtId="0" fontId="0" fillId="26" borderId="123" xfId="0" applyFill="1" applyBorder="1">
      <alignment/>
    </xf>
    <xf numFmtId="0" fontId="86" fillId="20" borderId="0" xfId="0" applyFont="1" applyFill="1" applyAlignment="1">
      <alignment horizontal="center" vertical="center"/>
    </xf>
    <xf numFmtId="0" fontId="86" fillId="16" borderId="0" xfId="0" applyFont="1" applyFill="1" applyAlignment="1">
      <alignment horizontal="center" vertical="center"/>
    </xf>
    <xf numFmtId="0" fontId="113" fillId="27" borderId="0" xfId="0" applyFont="1" applyFill="1" applyAlignment="1">
      <alignment vertical="center"/>
    </xf>
    <xf numFmtId="0" fontId="113" fillId="26" borderId="0" xfId="0" applyFont="1" applyFill="1" applyAlignment="1">
      <alignment vertical="center"/>
    </xf>
    <xf numFmtId="0" fontId="113" fillId="29" borderId="0" xfId="0" applyFont="1" applyFill="1" applyAlignment="1">
      <alignment horizontal="center" vertical="center"/>
    </xf>
    <xf numFmtId="0" fontId="108" fillId="29" borderId="0" xfId="0" applyFont="1" applyFill="1" applyAlignment="1">
      <alignment horizontal="center" vertical="center"/>
    </xf>
    <xf numFmtId="0" fontId="108" fillId="29" borderId="85" xfId="0" applyFont="1" applyFill="1" applyBorder="1" applyAlignment="1">
      <alignment horizontal="center" vertical="center"/>
    </xf>
    <xf numFmtId="0" fontId="62" fillId="0" borderId="126" xfId="0" applyFont="1" applyBorder="1" applyAlignment="1">
      <alignment vertical="center"/>
    </xf>
    <xf numFmtId="0" fontId="62" fillId="0" borderId="127" xfId="0" applyFont="1" applyBorder="1" applyAlignment="1">
      <alignment vertical="center"/>
    </xf>
    <xf numFmtId="0" fontId="62" fillId="0" borderId="128" xfId="0" applyFont="1" applyBorder="1" applyAlignment="1">
      <alignment vertical="center"/>
    </xf>
    <xf numFmtId="0" fontId="62" fillId="8" borderId="126" xfId="0" applyFont="1" applyFill="1" applyBorder="1" applyAlignment="1">
      <alignment horizontal="center" vertical="center"/>
    </xf>
    <xf numFmtId="0" fontId="62" fillId="8" borderId="127" xfId="0" applyFont="1" applyFill="1" applyBorder="1" applyAlignment="1">
      <alignment horizontal="center" vertical="center"/>
    </xf>
    <xf numFmtId="0" fontId="62" fillId="0" borderId="127" xfId="0" applyFont="1" applyBorder="1" applyAlignment="1">
      <alignment horizontal="center" vertical="center"/>
    </xf>
    <xf numFmtId="0" fontId="62" fillId="0" borderId="128" xfId="0" applyFont="1" applyBorder="1" applyAlignment="1">
      <alignment horizontal="center" vertical="center"/>
    </xf>
    <xf numFmtId="3" fontId="63" fillId="8" borderId="126" xfId="0" applyNumberFormat="1" applyFont="1" applyFill="1" applyBorder="1" applyAlignment="1">
      <alignment horizontal="center" vertical="center"/>
    </xf>
    <xf numFmtId="3" fontId="63" fillId="8" borderId="127" xfId="0" applyNumberFormat="1" applyFont="1" applyFill="1" applyBorder="1" applyAlignment="1">
      <alignment horizontal="center" vertical="center"/>
    </xf>
    <xf numFmtId="0" fontId="63" fillId="0" borderId="127" xfId="0" applyFont="1" applyBorder="1" applyAlignment="1">
      <alignment horizontal="center" vertical="center"/>
    </xf>
    <xf numFmtId="0" fontId="63" fillId="0" borderId="128" xfId="0" applyFont="1" applyBorder="1" applyAlignment="1">
      <alignment horizontal="center" vertical="center"/>
    </xf>
    <xf numFmtId="0" fontId="113" fillId="27" borderId="85" xfId="0" applyFont="1" applyFill="1" applyBorder="1" applyAlignment="1">
      <alignment vertical="center"/>
    </xf>
    <xf numFmtId="0" fontId="62" fillId="0" borderId="126" xfId="0" applyFont="1" applyBorder="1" applyAlignment="1" applyProtection="1">
      <alignment vertical="center"/>
      <protection locked="0"/>
    </xf>
    <xf numFmtId="0" fontId="62" fillId="0" borderId="127" xfId="0" applyFont="1" applyBorder="1" applyAlignment="1" applyProtection="1">
      <alignment vertical="center"/>
      <protection locked="0"/>
    </xf>
    <xf numFmtId="0" fontId="62" fillId="0" borderId="128" xfId="0" applyFont="1" applyBorder="1" applyAlignment="1" applyProtection="1">
      <alignment vertical="center"/>
      <protection locked="0"/>
    </xf>
    <xf numFmtId="0" fontId="112" fillId="8" borderId="0" xfId="0" applyFont="1" applyFill="1" applyAlignment="1">
      <alignment horizontal="center" vertical="center"/>
    </xf>
    <xf numFmtId="0" fontId="113" fillId="3" borderId="0" xfId="0" applyFont="1" applyFill="1" applyAlignment="1">
      <alignment vertical="top" wrapText="1"/>
    </xf>
    <xf numFmtId="0" fontId="108" fillId="8" borderId="0" xfId="0" applyFont="1" applyFill="1" applyAlignment="1">
      <alignment vertical="top"/>
    </xf>
    <xf numFmtId="0" fontId="113" fillId="8" borderId="0" xfId="0" applyFont="1" applyFill="1" applyAlignment="1">
      <alignment horizontal="right" vertical="center"/>
    </xf>
    <xf numFmtId="0" fontId="78" fillId="0" borderId="0" xfId="0" applyFont="1">
      <alignment/>
    </xf>
    <xf numFmtId="0" fontId="113" fillId="8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114" fillId="8" borderId="0" xfId="0" applyFont="1" applyFill="1" applyAlignment="1">
      <alignment horizontal="center" vertical="center"/>
    </xf>
    <xf numFmtId="0" fontId="115" fillId="33" borderId="127" xfId="0" applyFont="1" applyFill="1" applyBorder="1" applyAlignment="1">
      <alignment vertical="center"/>
    </xf>
    <xf numFmtId="0" fontId="115" fillId="33" borderId="128" xfId="0" applyFont="1" applyFill="1" applyBorder="1" applyAlignment="1">
      <alignment vertical="center"/>
    </xf>
    <xf numFmtId="0" fontId="106" fillId="8" borderId="83" xfId="0" applyFont="1" applyFill="1" applyBorder="1" applyAlignment="1">
      <alignment horizontal="center" vertical="center"/>
    </xf>
    <xf numFmtId="0" fontId="78" fillId="0" borderId="84" xfId="0" applyFont="1" applyBorder="1">
      <alignment/>
    </xf>
    <xf numFmtId="0" fontId="78" fillId="0" borderId="129" xfId="0" applyFont="1" applyBorder="1">
      <alignment/>
    </xf>
    <xf numFmtId="0" fontId="107" fillId="8" borderId="83" xfId="0" applyFont="1" applyFill="1" applyBorder="1" applyAlignment="1">
      <alignment horizontal="center"/>
    </xf>
    <xf numFmtId="0" fontId="108" fillId="0" borderId="84" xfId="0" applyFont="1" applyBorder="1" applyAlignment="1">
      <alignment horizontal="center"/>
    </xf>
    <xf numFmtId="0" fontId="108" fillId="0" borderId="129" xfId="0" applyFont="1" applyBorder="1" applyAlignment="1">
      <alignment horizontal="center"/>
    </xf>
    <xf numFmtId="0" fontId="108" fillId="0" borderId="82" xfId="0" applyFont="1" applyBorder="1" applyAlignment="1">
      <alignment horizontal="center"/>
    </xf>
    <xf numFmtId="0" fontId="108" fillId="0" borderId="0" xfId="0" applyFont="1" applyAlignment="1">
      <alignment horizontal="center"/>
    </xf>
    <xf numFmtId="0" fontId="108" fillId="0" borderId="85" xfId="0" applyFont="1" applyBorder="1" applyAlignment="1">
      <alignment horizontal="center"/>
    </xf>
    <xf numFmtId="0" fontId="108" fillId="0" borderId="82" xfId="0" applyFont="1" applyBorder="1">
      <alignment/>
    </xf>
    <xf numFmtId="0" fontId="108" fillId="0" borderId="0" xfId="0" applyFont="1">
      <alignment/>
    </xf>
    <xf numFmtId="0" fontId="108" fillId="0" borderId="85" xfId="0" applyFont="1" applyBorder="1">
      <alignment/>
    </xf>
    <xf numFmtId="0" fontId="108" fillId="0" borderId="123" xfId="0" applyFont="1" applyBorder="1">
      <alignment/>
    </xf>
    <xf numFmtId="0" fontId="108" fillId="0" borderId="124" xfId="0" applyFont="1" applyBorder="1">
      <alignment/>
    </xf>
    <xf numFmtId="0" fontId="108" fillId="0" borderId="125" xfId="0" applyFont="1" applyBorder="1">
      <alignment/>
    </xf>
    <xf numFmtId="0" fontId="106" fillId="8" borderId="82" xfId="0" applyFont="1" applyFill="1" applyBorder="1" applyAlignment="1">
      <alignment horizontal="center" vertical="center"/>
    </xf>
    <xf numFmtId="0" fontId="78" fillId="0" borderId="85" xfId="0" applyFont="1" applyBorder="1">
      <alignment/>
    </xf>
    <xf numFmtId="0" fontId="86" fillId="8" borderId="82" xfId="0" applyFont="1" applyFill="1" applyBorder="1" applyAlignment="1">
      <alignment horizontal="center" vertical="center"/>
    </xf>
    <xf numFmtId="0" fontId="52" fillId="8" borderId="0" xfId="0" applyFont="1" applyFill="1" applyAlignment="1">
      <alignment horizontal="center" vertical="center"/>
    </xf>
    <xf numFmtId="0" fontId="109" fillId="8" borderId="0" xfId="0" applyFont="1" applyFill="1" applyAlignment="1">
      <alignment horizontal="left" vertical="center"/>
    </xf>
    <xf numFmtId="0" fontId="110" fillId="0" borderId="0" xfId="0" applyFont="1" applyAlignment="1">
      <alignment horizontal="left"/>
    </xf>
    <xf numFmtId="0" fontId="111" fillId="8" borderId="123" xfId="0" applyFont="1" applyFill="1" applyBorder="1" applyAlignment="1">
      <alignment horizontal="center" vertical="center"/>
    </xf>
    <xf numFmtId="0" fontId="78" fillId="0" borderId="124" xfId="0" applyFont="1" applyBorder="1">
      <alignment/>
    </xf>
    <xf numFmtId="0" fontId="78" fillId="0" borderId="125" xfId="0" applyFont="1" applyBorder="1">
      <alignment/>
    </xf>
    <xf numFmtId="0" fontId="109" fillId="3" borderId="0" xfId="0" applyFont="1" applyFill="1" applyAlignment="1">
      <alignment vertical="center" wrapText="1"/>
    </xf>
    <xf numFmtId="0" fontId="116" fillId="26" borderId="84" xfId="0" applyFont="1" applyFill="1" applyBorder="1" applyAlignment="1">
      <alignment wrapText="1"/>
    </xf>
    <xf numFmtId="0" fontId="0" fillId="0" borderId="84" xfId="0" applyBorder="1" applyAlignment="1">
      <alignment wrapText="1"/>
    </xf>
    <xf numFmtId="49" fontId="125" fillId="8" borderId="126" xfId="0" applyNumberFormat="1" applyFont="1" applyFill="1" applyBorder="1" applyAlignment="1" applyProtection="1">
      <alignment horizontal="center" vertical="center"/>
      <protection locked="0"/>
    </xf>
    <xf numFmtId="0" fontId="0" fillId="0" borderId="127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113" fillId="26" borderId="123" xfId="0" applyFont="1" applyFill="1" applyBorder="1" applyAlignment="1">
      <alignment vertical="center"/>
    </xf>
    <xf numFmtId="0" fontId="108" fillId="27" borderId="124" xfId="0" applyFont="1" applyFill="1" applyBorder="1" applyAlignment="1">
      <alignment vertical="center"/>
    </xf>
    <xf numFmtId="0" fontId="0" fillId="0" borderId="124" xfId="0" applyBorder="1" applyAlignment="1">
      <alignment vertical="center"/>
    </xf>
    <xf numFmtId="0" fontId="62" fillId="8" borderId="126" xfId="0" applyFont="1" applyFill="1" applyBorder="1" applyAlignment="1" applyProtection="1">
      <alignment horizontal="left" vertical="center"/>
      <protection locked="0"/>
    </xf>
    <xf numFmtId="0" fontId="62" fillId="0" borderId="127" xfId="0" applyFont="1" applyBorder="1" applyAlignment="1" applyProtection="1">
      <alignment horizontal="left" vertical="center"/>
      <protection locked="0"/>
    </xf>
    <xf numFmtId="0" fontId="62" fillId="0" borderId="128" xfId="0" applyFont="1" applyBorder="1" applyAlignment="1" applyProtection="1">
      <alignment horizontal="left" vertical="center"/>
      <protection locked="0"/>
    </xf>
    <xf numFmtId="0" fontId="113" fillId="26" borderId="82" xfId="0" applyFont="1" applyFill="1" applyBorder="1" applyAlignment="1">
      <alignment vertical="center"/>
    </xf>
    <xf numFmtId="0" fontId="113" fillId="26" borderId="85" xfId="0" applyFont="1" applyFill="1" applyBorder="1" applyAlignment="1">
      <alignment vertical="center"/>
    </xf>
    <xf numFmtId="0" fontId="62" fillId="8" borderId="126" xfId="0" applyFont="1" applyFill="1" applyBorder="1" applyAlignment="1" applyProtection="1">
      <alignment vertical="center"/>
      <protection locked="0"/>
    </xf>
    <xf numFmtId="0" fontId="112" fillId="26" borderId="83" xfId="0" applyFont="1" applyFill="1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129" xfId="0" applyBorder="1" applyAlignment="1">
      <alignment vertical="center"/>
    </xf>
    <xf numFmtId="0" fontId="78" fillId="27" borderId="83" xfId="0" applyFont="1" applyFill="1" applyBorder="1" applyAlignment="1">
      <alignment vertical="center"/>
    </xf>
    <xf numFmtId="0" fontId="0" fillId="0" borderId="84" xfId="0" applyBorder="1">
      <alignment/>
    </xf>
    <xf numFmtId="0" fontId="0" fillId="0" borderId="129" xfId="0" applyBorder="1">
      <alignment/>
    </xf>
    <xf numFmtId="49" fontId="112" fillId="26" borderId="0" xfId="0" applyNumberFormat="1" applyFont="1" applyFill="1" applyAlignment="1">
      <alignment horizontal="right"/>
    </xf>
    <xf numFmtId="0" fontId="112" fillId="27" borderId="0" xfId="0" applyFont="1" applyFill="1" applyAlignment="1">
      <alignment horizontal="right"/>
    </xf>
    <xf numFmtId="49" fontId="62" fillId="8" borderId="126" xfId="0" applyNumberFormat="1" applyFont="1" applyFill="1" applyBorder="1" applyAlignment="1" applyProtection="1">
      <alignment horizontal="left" vertical="center"/>
      <protection locked="0"/>
    </xf>
    <xf numFmtId="49" fontId="62" fillId="8" borderId="127" xfId="0" applyNumberFormat="1" applyFont="1" applyFill="1" applyBorder="1" applyAlignment="1" applyProtection="1">
      <alignment horizontal="left" vertical="center"/>
      <protection locked="0"/>
    </xf>
    <xf numFmtId="49" fontId="62" fillId="8" borderId="128" xfId="0" applyNumberFormat="1" applyFont="1" applyFill="1" applyBorder="1" applyAlignment="1" applyProtection="1">
      <alignment horizontal="left" vertical="center"/>
      <protection locked="0"/>
    </xf>
    <xf numFmtId="0" fontId="113" fillId="26" borderId="0" xfId="0" applyFont="1" applyFill="1" applyAlignment="1">
      <alignment horizontal="center" vertical="center"/>
    </xf>
    <xf numFmtId="0" fontId="113" fillId="26" borderId="85" xfId="0" applyFont="1" applyFill="1" applyBorder="1" applyAlignment="1">
      <alignment horizontal="center" vertical="center"/>
    </xf>
    <xf numFmtId="0" fontId="62" fillId="8" borderId="126" xfId="0" applyFont="1" applyFill="1" applyBorder="1" applyAlignment="1">
      <alignment vertical="center"/>
    </xf>
    <xf numFmtId="0" fontId="62" fillId="8" borderId="127" xfId="0" applyFont="1" applyFill="1" applyBorder="1" applyAlignment="1">
      <alignment vertical="center"/>
    </xf>
    <xf numFmtId="0" fontId="62" fillId="8" borderId="128" xfId="0" applyFont="1" applyFill="1" applyBorder="1" applyAlignment="1">
      <alignment vertical="center"/>
    </xf>
    <xf numFmtId="49" fontId="62" fillId="8" borderId="126" xfId="0" applyNumberFormat="1" applyFont="1" applyFill="1" applyBorder="1" applyAlignment="1">
      <alignment horizontal="center" vertical="center"/>
    </xf>
    <xf numFmtId="49" fontId="62" fillId="8" borderId="127" xfId="0" applyNumberFormat="1" applyFont="1" applyFill="1" applyBorder="1" applyAlignment="1">
      <alignment horizontal="center" vertical="center"/>
    </xf>
    <xf numFmtId="49" fontId="62" fillId="8" borderId="128" xfId="0" applyNumberFormat="1" applyFont="1" applyFill="1" applyBorder="1" applyAlignment="1">
      <alignment horizontal="center" vertical="center"/>
    </xf>
    <xf numFmtId="0" fontId="113" fillId="29" borderId="84" xfId="0" applyFont="1" applyFill="1" applyBorder="1" applyAlignment="1">
      <alignment horizontal="right" vertical="center"/>
    </xf>
    <xf numFmtId="0" fontId="78" fillId="14" borderId="84" xfId="0" applyFont="1" applyFill="1" applyBorder="1" applyAlignment="1">
      <alignment vertical="center"/>
    </xf>
    <xf numFmtId="0" fontId="78" fillId="14" borderId="129" xfId="0" applyFont="1" applyFill="1" applyBorder="1" applyAlignment="1">
      <alignment vertical="center"/>
    </xf>
    <xf numFmtId="0" fontId="120" fillId="14" borderId="0" xfId="0" applyFont="1" applyFill="1" applyAlignment="1">
      <alignment vertical="center"/>
    </xf>
    <xf numFmtId="0" fontId="86" fillId="29" borderId="0" xfId="0" applyFont="1" applyFill="1" applyAlignment="1">
      <alignment vertical="center"/>
    </xf>
    <xf numFmtId="0" fontId="78" fillId="14" borderId="0" xfId="0" applyFont="1" applyFill="1" applyAlignment="1">
      <alignment vertical="center"/>
    </xf>
    <xf numFmtId="0" fontId="78" fillId="14" borderId="85" xfId="0" applyFont="1" applyFill="1" applyBorder="1" applyAlignment="1">
      <alignment vertical="center"/>
    </xf>
    <xf numFmtId="0" fontId="112" fillId="29" borderId="0" xfId="0" applyFont="1" applyFill="1" applyAlignment="1">
      <alignment vertical="center"/>
    </xf>
    <xf numFmtId="3" fontId="62" fillId="35" borderId="126" xfId="0" applyNumberFormat="1" applyFont="1" applyFill="1" applyBorder="1" applyAlignment="1" applyProtection="1">
      <alignment vertical="center"/>
      <protection locked="0"/>
    </xf>
    <xf numFmtId="3" fontId="62" fillId="35" borderId="127" xfId="0" applyNumberFormat="1" applyFont="1" applyFill="1" applyBorder="1" applyAlignment="1" applyProtection="1">
      <alignment vertical="center"/>
      <protection locked="0"/>
    </xf>
    <xf numFmtId="3" fontId="62" fillId="35" borderId="128" xfId="0" applyNumberFormat="1" applyFont="1" applyFill="1" applyBorder="1" applyAlignment="1" applyProtection="1">
      <alignment vertical="center"/>
      <protection locked="0"/>
    </xf>
    <xf numFmtId="0" fontId="115" fillId="33" borderId="80" xfId="0" applyFont="1" applyFill="1" applyBorder="1" applyAlignment="1">
      <alignment vertical="center"/>
    </xf>
    <xf numFmtId="0" fontId="117" fillId="34" borderId="80" xfId="0" applyFont="1" applyFill="1" applyBorder="1" applyAlignment="1">
      <alignment vertical="center"/>
    </xf>
    <xf numFmtId="0" fontId="3" fillId="26" borderId="0" xfId="0" applyFont="1" applyFill="1">
      <alignment/>
    </xf>
    <xf numFmtId="0" fontId="113" fillId="26" borderId="0" xfId="0" applyFont="1" applyFill="1">
      <alignment/>
    </xf>
    <xf numFmtId="0" fontId="0" fillId="27" borderId="85" xfId="0" applyFill="1" applyBorder="1">
      <alignment/>
    </xf>
    <xf numFmtId="4" fontId="62" fillId="8" borderId="126" xfId="0" applyNumberFormat="1" applyFont="1" applyFill="1" applyBorder="1" applyAlignment="1" applyProtection="1">
      <alignment vertical="center"/>
      <protection locked="0"/>
    </xf>
    <xf numFmtId="4" fontId="62" fillId="8" borderId="127" xfId="0" applyNumberFormat="1" applyFont="1" applyFill="1" applyBorder="1" applyAlignment="1" applyProtection="1">
      <alignment vertical="center"/>
      <protection locked="0"/>
    </xf>
    <xf numFmtId="4" fontId="62" fillId="8" borderId="128" xfId="0" applyNumberFormat="1" applyFont="1" applyFill="1" applyBorder="1" applyAlignment="1" applyProtection="1">
      <alignment vertical="center"/>
      <protection locked="0"/>
    </xf>
    <xf numFmtId="3" fontId="62" fillId="8" borderId="127" xfId="0" applyNumberFormat="1" applyFont="1" applyFill="1" applyBorder="1" applyAlignment="1" applyProtection="1">
      <alignment vertical="center"/>
      <protection locked="0"/>
    </xf>
    <xf numFmtId="3" fontId="62" fillId="8" borderId="128" xfId="0" applyNumberFormat="1" applyFont="1" applyFill="1" applyBorder="1" applyAlignment="1" applyProtection="1">
      <alignment vertical="center"/>
      <protection locked="0"/>
    </xf>
    <xf numFmtId="0" fontId="0" fillId="20" borderId="0" xfId="0" applyFont="1" applyFill="1">
      <alignment/>
    </xf>
    <xf numFmtId="0" fontId="121" fillId="16" borderId="82" xfId="0" applyFont="1" applyFill="1" applyBorder="1" applyAlignment="1">
      <alignment vertical="center"/>
    </xf>
    <xf numFmtId="0" fontId="121" fillId="16" borderId="0" xfId="0" applyFont="1" applyFill="1" applyAlignment="1">
      <alignment vertical="center"/>
    </xf>
    <xf numFmtId="0" fontId="121" fillId="16" borderId="79" xfId="0" applyFont="1" applyFill="1" applyBorder="1" applyAlignment="1">
      <alignment vertical="center"/>
    </xf>
    <xf numFmtId="0" fontId="78" fillId="16" borderId="33" xfId="0" applyFont="1" applyFill="1" applyBorder="1" applyAlignment="1">
      <alignment vertical="center"/>
    </xf>
    <xf numFmtId="0" fontId="0" fillId="0" borderId="79" xfId="0" applyBorder="1">
      <alignment/>
    </xf>
    <xf numFmtId="0" fontId="0" fillId="0" borderId="33" xfId="0" applyBorder="1">
      <alignment/>
    </xf>
    <xf numFmtId="0" fontId="0" fillId="0" borderId="58" xfId="0" applyBorder="1">
      <alignment/>
    </xf>
    <xf numFmtId="0" fontId="0" fillId="0" borderId="65" xfId="0" applyBorder="1">
      <alignment/>
    </xf>
    <xf numFmtId="0" fontId="0" fillId="0" borderId="132" xfId="0" applyBorder="1">
      <alignment/>
    </xf>
    <xf numFmtId="0" fontId="11" fillId="20" borderId="0" xfId="0" applyFont="1" applyFill="1">
      <alignment/>
    </xf>
    <xf numFmtId="0" fontId="0" fillId="16" borderId="0" xfId="0" applyFont="1" applyFill="1">
      <alignment/>
    </xf>
    <xf numFmtId="0" fontId="0" fillId="16" borderId="85" xfId="0" applyFont="1" applyFill="1" applyBorder="1">
      <alignment/>
    </xf>
    <xf numFmtId="0" fontId="78" fillId="16" borderId="0" xfId="0" applyFont="1" applyFill="1" applyAlignment="1">
      <alignment vertical="center"/>
    </xf>
    <xf numFmtId="0" fontId="78" fillId="16" borderId="79" xfId="0" applyFont="1" applyFill="1" applyBorder="1" applyAlignment="1">
      <alignment vertical="center"/>
    </xf>
    <xf numFmtId="0" fontId="39" fillId="20" borderId="0" xfId="0" applyFont="1" applyFill="1" applyAlignment="1">
      <alignment horizontal="right"/>
    </xf>
    <xf numFmtId="0" fontId="0" fillId="16" borderId="0" xfId="0" applyFont="1" applyFill="1" applyAlignment="1">
      <alignment horizontal="right"/>
    </xf>
    <xf numFmtId="0" fontId="0" fillId="20" borderId="0" xfId="0" applyFill="1">
      <alignment/>
    </xf>
    <xf numFmtId="0" fontId="0" fillId="20" borderId="82" xfId="0" applyFill="1" applyBorder="1">
      <alignment/>
    </xf>
    <xf numFmtId="0" fontId="0" fillId="16" borderId="0" xfId="0" applyFill="1">
      <alignment/>
    </xf>
    <xf numFmtId="0" fontId="0" fillId="16" borderId="85" xfId="0" applyFill="1" applyBorder="1">
      <alignment/>
    </xf>
    <xf numFmtId="0" fontId="39" fillId="20" borderId="82" xfId="0" applyFont="1" applyFill="1" applyBorder="1" applyAlignment="1">
      <alignment vertical="center"/>
    </xf>
    <xf numFmtId="0" fontId="0" fillId="16" borderId="0" xfId="0" applyFont="1" applyFill="1" applyAlignment="1">
      <alignment vertical="center"/>
    </xf>
    <xf numFmtId="0" fontId="0" fillId="16" borderId="85" xfId="0" applyFont="1" applyFill="1" applyBorder="1" applyAlignment="1">
      <alignment vertical="center"/>
    </xf>
    <xf numFmtId="49" fontId="125" fillId="8" borderId="25" xfId="0" applyNumberFormat="1" applyFont="1" applyFill="1" applyBorder="1" applyAlignment="1" applyProtection="1">
      <alignment horizontal="center" vertical="center"/>
      <protection locked="0"/>
    </xf>
    <xf numFmtId="49" fontId="62" fillId="0" borderId="22" xfId="0" applyNumberFormat="1" applyFont="1" applyBorder="1" applyAlignment="1" applyProtection="1">
      <alignment horizontal="center" vertical="center"/>
      <protection locked="0"/>
    </xf>
    <xf numFmtId="49" fontId="62" fillId="0" borderId="62" xfId="0" applyNumberFormat="1" applyFont="1" applyBorder="1" applyAlignment="1" applyProtection="1">
      <alignment horizontal="center" vertical="center"/>
      <protection locked="0"/>
    </xf>
    <xf numFmtId="0" fontId="0" fillId="8" borderId="133" xfId="0" applyFill="1" applyBorder="1">
      <alignment/>
    </xf>
    <xf numFmtId="49" fontId="39" fillId="20" borderId="0" xfId="0" applyNumberFormat="1" applyFont="1" applyFill="1" applyAlignment="1">
      <alignment horizontal="right"/>
    </xf>
    <xf numFmtId="0" fontId="39" fillId="16" borderId="0" xfId="0" applyFont="1" applyFill="1" applyAlignment="1">
      <alignment horizontal="right"/>
    </xf>
    <xf numFmtId="0" fontId="61" fillId="8" borderId="0" xfId="0" applyFont="1" applyFill="1" applyAlignment="1">
      <alignment horizontal="center"/>
    </xf>
    <xf numFmtId="0" fontId="52" fillId="37" borderId="134" xfId="0" applyFont="1" applyFill="1" applyBorder="1" applyAlignment="1">
      <alignment vertical="center"/>
    </xf>
    <xf numFmtId="0" fontId="0" fillId="0" borderId="130" xfId="0" applyBorder="1" applyAlignment="1">
      <alignment vertical="center"/>
    </xf>
    <xf numFmtId="0" fontId="0" fillId="0" borderId="135" xfId="0" applyBorder="1" applyAlignment="1">
      <alignment vertical="center"/>
    </xf>
    <xf numFmtId="0" fontId="0" fillId="0" borderId="136" xfId="0" applyBorder="1" applyAlignment="1">
      <alignment vertical="center"/>
    </xf>
    <xf numFmtId="0" fontId="53" fillId="8" borderId="86" xfId="0" applyFont="1" applyFill="1" applyBorder="1" applyAlignment="1">
      <alignment vertical="center" wrapText="1"/>
    </xf>
    <xf numFmtId="0" fontId="0" fillId="0" borderId="86" xfId="0" applyBorder="1">
      <alignment/>
    </xf>
    <xf numFmtId="0" fontId="53" fillId="8" borderId="88" xfId="0" applyFont="1" applyFill="1" applyBorder="1" applyAlignment="1" applyProtection="1">
      <alignment horizontal="center"/>
      <protection locked="0"/>
    </xf>
    <xf numFmtId="0" fontId="53" fillId="8" borderId="87" xfId="0" applyFont="1" applyFill="1" applyBorder="1" applyAlignment="1" applyProtection="1">
      <alignment horizontal="center"/>
      <protection locked="0"/>
    </xf>
    <xf numFmtId="0" fontId="53" fillId="8" borderId="137" xfId="0" applyFont="1" applyFill="1" applyBorder="1" applyAlignment="1" applyProtection="1">
      <alignment horizontal="center"/>
      <protection locked="0"/>
    </xf>
    <xf numFmtId="0" fontId="53" fillId="8" borderId="86" xfId="0" applyFont="1" applyFill="1" applyBorder="1" applyAlignment="1" applyProtection="1">
      <alignment horizontal="center"/>
      <protection locked="0"/>
    </xf>
    <xf numFmtId="0" fontId="53" fillId="8" borderId="0" xfId="0" applyFont="1" applyFill="1" applyAlignment="1" applyProtection="1">
      <alignment horizontal="center"/>
      <protection locked="0"/>
    </xf>
    <xf numFmtId="0" fontId="53" fillId="8" borderId="79" xfId="0" applyFont="1" applyFill="1" applyBorder="1" applyAlignment="1" applyProtection="1">
      <alignment horizontal="center"/>
      <protection locked="0"/>
    </xf>
    <xf numFmtId="0" fontId="53" fillId="8" borderId="138" xfId="0" applyFont="1" applyFill="1" applyBorder="1" applyAlignment="1" applyProtection="1">
      <alignment horizontal="center"/>
      <protection locked="0"/>
    </xf>
    <xf numFmtId="0" fontId="53" fillId="8" borderId="135" xfId="0" applyFont="1" applyFill="1" applyBorder="1" applyAlignment="1" applyProtection="1">
      <alignment horizontal="center"/>
      <protection locked="0"/>
    </xf>
    <xf numFmtId="0" fontId="53" fillId="8" borderId="136" xfId="0" applyFont="1" applyFill="1" applyBorder="1" applyAlignment="1" applyProtection="1">
      <alignment horizontal="center"/>
      <protection locked="0"/>
    </xf>
    <xf numFmtId="0" fontId="0" fillId="8" borderId="86" xfId="0" applyFill="1" applyBorder="1">
      <alignment/>
    </xf>
    <xf numFmtId="0" fontId="0" fillId="8" borderId="79" xfId="0" applyFill="1" applyBorder="1">
      <alignment/>
    </xf>
    <xf numFmtId="0" fontId="42" fillId="8" borderId="0" xfId="0" applyFont="1" applyFill="1" applyAlignment="1">
      <alignment horizontal="center"/>
    </xf>
    <xf numFmtId="0" fontId="121" fillId="20" borderId="87" xfId="0" applyFont="1" applyFill="1" applyBorder="1" applyAlignment="1">
      <alignment horizontal="right" vertical="center"/>
    </xf>
    <xf numFmtId="0" fontId="0" fillId="16" borderId="87" xfId="0" applyFont="1" applyFill="1" applyBorder="1" applyAlignment="1">
      <alignment vertical="center"/>
    </xf>
    <xf numFmtId="0" fontId="0" fillId="16" borderId="139" xfId="0" applyFont="1" applyFill="1" applyBorder="1" applyAlignment="1">
      <alignment vertical="center"/>
    </xf>
    <xf numFmtId="0" fontId="50" fillId="20" borderId="0" xfId="0" applyFont="1" applyFill="1" applyAlignment="1">
      <alignment vertical="center"/>
    </xf>
    <xf numFmtId="0" fontId="66" fillId="16" borderId="0" xfId="0" applyFont="1" applyFill="1" applyAlignment="1">
      <alignment vertical="center"/>
    </xf>
    <xf numFmtId="4" fontId="62" fillId="20" borderId="25" xfId="0" applyNumberFormat="1" applyFont="1" applyFill="1" applyBorder="1" applyAlignment="1">
      <alignment vertical="center"/>
    </xf>
    <xf numFmtId="4" fontId="62" fillId="20" borderId="22" xfId="0" applyNumberFormat="1" applyFont="1" applyFill="1" applyBorder="1" applyAlignment="1">
      <alignment vertical="center"/>
    </xf>
    <xf numFmtId="4" fontId="62" fillId="20" borderId="62" xfId="0" applyNumberFormat="1" applyFont="1" applyFill="1" applyBorder="1" applyAlignment="1">
      <alignment vertical="center"/>
    </xf>
    <xf numFmtId="0" fontId="3" fillId="20" borderId="0" xfId="0" applyFont="1" applyFill="1" applyAlignment="1">
      <alignment vertical="center"/>
    </xf>
    <xf numFmtId="14" fontId="62" fillId="8" borderId="88" xfId="0" applyNumberFormat="1" applyFont="1" applyFill="1" applyBorder="1" applyAlignment="1" applyProtection="1">
      <alignment horizontal="center" vertical="center"/>
      <protection locked="0"/>
    </xf>
    <xf numFmtId="0" fontId="0" fillId="0" borderId="87" xfId="0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0" fontId="0" fillId="0" borderId="138" xfId="0" applyBorder="1">
      <alignment/>
    </xf>
    <xf numFmtId="0" fontId="0" fillId="0" borderId="135" xfId="0" applyBorder="1">
      <alignment/>
    </xf>
    <xf numFmtId="0" fontId="0" fillId="0" borderId="136" xfId="0" applyBorder="1">
      <alignment/>
    </xf>
    <xf numFmtId="0" fontId="61" fillId="8" borderId="138" xfId="0" applyFont="1" applyFill="1" applyBorder="1" applyAlignment="1">
      <alignment horizontal="center"/>
    </xf>
    <xf numFmtId="0" fontId="61" fillId="8" borderId="87" xfId="0" applyFont="1" applyFill="1" applyBorder="1" applyAlignment="1">
      <alignment horizontal="center"/>
    </xf>
    <xf numFmtId="0" fontId="0" fillId="0" borderId="87" xfId="0" applyBorder="1">
      <alignment/>
    </xf>
    <xf numFmtId="0" fontId="39" fillId="20" borderId="0" xfId="0" applyFont="1" applyFill="1" applyAlignment="1">
      <alignment vertical="center"/>
    </xf>
    <xf numFmtId="0" fontId="0" fillId="20" borderId="0" xfId="0" applyFont="1" applyFill="1" applyAlignment="1">
      <alignment vertical="center"/>
    </xf>
    <xf numFmtId="3" fontId="62" fillId="20" borderId="25" xfId="0" applyNumberFormat="1" applyFont="1" applyFill="1" applyBorder="1" applyAlignment="1" applyProtection="1">
      <alignment vertical="center"/>
      <protection locked="0"/>
    </xf>
    <xf numFmtId="3" fontId="62" fillId="20" borderId="22" xfId="0" applyNumberFormat="1" applyFont="1" applyFill="1" applyBorder="1" applyAlignment="1" applyProtection="1">
      <alignment vertical="center"/>
      <protection locked="0"/>
    </xf>
    <xf numFmtId="3" fontId="62" fillId="20" borderId="62" xfId="0" applyNumberFormat="1" applyFont="1" applyFill="1" applyBorder="1" applyAlignment="1" applyProtection="1">
      <alignment vertical="center"/>
      <protection locked="0"/>
    </xf>
    <xf numFmtId="0" fontId="0" fillId="20" borderId="79" xfId="0" applyFont="1" applyFill="1" applyBorder="1" applyAlignment="1">
      <alignment vertical="center"/>
    </xf>
    <xf numFmtId="0" fontId="0" fillId="20" borderId="86" xfId="0" applyFont="1" applyFill="1" applyBorder="1">
      <alignment/>
    </xf>
    <xf numFmtId="0" fontId="0" fillId="20" borderId="58" xfId="0" applyFill="1" applyBorder="1" applyAlignment="1">
      <alignment vertical="center"/>
    </xf>
    <xf numFmtId="0" fontId="0" fillId="16" borderId="65" xfId="0" applyFill="1" applyBorder="1" applyAlignment="1">
      <alignment vertical="center"/>
    </xf>
    <xf numFmtId="0" fontId="0" fillId="16" borderId="132" xfId="0" applyFill="1" applyBorder="1" applyAlignment="1">
      <alignment vertical="center"/>
    </xf>
    <xf numFmtId="0" fontId="121" fillId="20" borderId="86" xfId="0" applyFont="1" applyFill="1" applyBorder="1" applyAlignment="1">
      <alignment horizontal="right" vertical="center"/>
    </xf>
    <xf numFmtId="0" fontId="121" fillId="20" borderId="33" xfId="0" applyFont="1" applyFill="1" applyBorder="1" applyAlignment="1">
      <alignment horizontal="right" vertical="center"/>
    </xf>
    <xf numFmtId="0" fontId="121" fillId="20" borderId="0" xfId="0" applyFont="1" applyFill="1" applyAlignment="1">
      <alignment horizontal="right" vertical="center"/>
    </xf>
    <xf numFmtId="0" fontId="121" fillId="20" borderId="79" xfId="0" applyFont="1" applyFill="1" applyBorder="1" applyAlignment="1">
      <alignment horizontal="right" vertical="center"/>
    </xf>
    <xf numFmtId="0" fontId="3" fillId="38" borderId="140" xfId="0" applyFont="1" applyFill="1" applyBorder="1" applyAlignment="1">
      <alignment vertical="center"/>
    </xf>
    <xf numFmtId="0" fontId="3" fillId="38" borderId="130" xfId="0" applyFont="1" applyFill="1" applyBorder="1" applyAlignment="1">
      <alignment vertical="center"/>
    </xf>
    <xf numFmtId="0" fontId="3" fillId="38" borderId="135" xfId="0" applyFont="1" applyFill="1" applyBorder="1" applyAlignment="1">
      <alignment vertical="center"/>
    </xf>
    <xf numFmtId="0" fontId="0" fillId="17" borderId="130" xfId="0" applyFont="1" applyFill="1" applyBorder="1" applyAlignment="1">
      <alignment vertical="center"/>
    </xf>
    <xf numFmtId="0" fontId="0" fillId="17" borderId="141" xfId="0" applyFont="1" applyFill="1" applyBorder="1" applyAlignment="1">
      <alignment vertical="center"/>
    </xf>
    <xf numFmtId="0" fontId="0" fillId="20" borderId="86" xfId="0" applyFill="1" applyBorder="1" applyAlignment="1">
      <alignment vertical="center"/>
    </xf>
    <xf numFmtId="0" fontId="66" fillId="20" borderId="0" xfId="0" applyFont="1" applyFill="1" applyAlignment="1">
      <alignment vertical="center"/>
    </xf>
    <xf numFmtId="0" fontId="66" fillId="20" borderId="79" xfId="0" applyFont="1" applyFill="1" applyBorder="1" applyAlignment="1">
      <alignment vertical="center"/>
    </xf>
    <xf numFmtId="3" fontId="62" fillId="20" borderId="25" xfId="0" applyNumberFormat="1" applyFont="1" applyFill="1" applyBorder="1" applyAlignment="1">
      <alignment vertical="center"/>
    </xf>
    <xf numFmtId="3" fontId="62" fillId="20" borderId="22" xfId="0" applyNumberFormat="1" applyFont="1" applyFill="1" applyBorder="1" applyAlignment="1">
      <alignment vertical="center"/>
    </xf>
    <xf numFmtId="3" fontId="62" fillId="20" borderId="62" xfId="0" applyNumberFormat="1" applyFont="1" applyFill="1" applyBorder="1" applyAlignment="1">
      <alignment vertical="center"/>
    </xf>
    <xf numFmtId="0" fontId="121" fillId="20" borderId="0" xfId="0" applyFont="1" applyFill="1" applyAlignment="1">
      <alignment horizontal="left" vertical="center"/>
    </xf>
    <xf numFmtId="4" fontId="62" fillId="20" borderId="25" xfId="0" applyNumberFormat="1" applyFont="1" applyFill="1" applyBorder="1" applyAlignment="1">
      <alignment vertical="center"/>
    </xf>
    <xf numFmtId="0" fontId="0" fillId="16" borderId="22" xfId="0" applyFill="1" applyBorder="1" applyAlignment="1">
      <alignment vertical="center"/>
    </xf>
    <xf numFmtId="0" fontId="0" fillId="16" borderId="62" xfId="0" applyFill="1" applyBorder="1" applyAlignment="1">
      <alignment vertical="center"/>
    </xf>
    <xf numFmtId="0" fontId="0" fillId="20" borderId="33" xfId="0" applyFont="1" applyFill="1" applyBorder="1" applyAlignment="1">
      <alignment vertical="center"/>
    </xf>
    <xf numFmtId="0" fontId="11" fillId="20" borderId="0" xfId="0" applyFont="1" applyFill="1" applyAlignment="1">
      <alignment vertical="center"/>
    </xf>
    <xf numFmtId="0" fontId="0" fillId="16" borderId="79" xfId="0" applyFont="1" applyFill="1" applyBorder="1" applyAlignment="1">
      <alignment vertical="center"/>
    </xf>
    <xf numFmtId="0" fontId="62" fillId="8" borderId="25" xfId="0" applyFont="1" applyFill="1" applyBorder="1" applyAlignment="1" applyProtection="1">
      <alignment horizontal="center" vertical="center"/>
      <protection locked="0"/>
    </xf>
    <xf numFmtId="0" fontId="62" fillId="8" borderId="62" xfId="0" applyFont="1" applyFill="1" applyBorder="1" applyAlignment="1" applyProtection="1">
      <alignment horizontal="center" vertical="center"/>
      <protection locked="0"/>
    </xf>
    <xf numFmtId="0" fontId="0" fillId="20" borderId="0" xfId="0" applyFill="1" applyAlignment="1">
      <alignment vertical="center"/>
    </xf>
    <xf numFmtId="0" fontId="3" fillId="20" borderId="79" xfId="0" applyFont="1" applyFill="1" applyBorder="1" applyAlignment="1">
      <alignment vertical="center"/>
    </xf>
    <xf numFmtId="0" fontId="121" fillId="20" borderId="0" xfId="0" applyFont="1" applyFill="1" applyAlignment="1">
      <alignment horizontal="right"/>
    </xf>
    <xf numFmtId="0" fontId="19" fillId="16" borderId="0" xfId="0" applyFont="1" applyFill="1" applyAlignment="1">
      <alignment horizontal="right"/>
    </xf>
    <xf numFmtId="0" fontId="39" fillId="20" borderId="79" xfId="0" applyFont="1" applyFill="1" applyBorder="1" applyAlignment="1">
      <alignment vertical="center"/>
    </xf>
    <xf numFmtId="0" fontId="62" fillId="8" borderId="62" xfId="0" applyFont="1" applyFill="1" applyBorder="1" applyAlignment="1" applyProtection="1">
      <alignment horizontal="center" vertical="center"/>
      <protection locked="0"/>
    </xf>
    <xf numFmtId="3" fontId="62" fillId="8" borderId="25" xfId="0" applyNumberFormat="1" applyFont="1" applyFill="1" applyBorder="1" applyAlignment="1" applyProtection="1">
      <alignment vertical="center"/>
      <protection locked="0"/>
    </xf>
    <xf numFmtId="0" fontId="62" fillId="8" borderId="22" xfId="0" applyFont="1" applyFill="1" applyBorder="1" applyAlignment="1" applyProtection="1">
      <alignment vertical="center"/>
      <protection locked="0"/>
    </xf>
    <xf numFmtId="0" fontId="62" fillId="8" borderId="62" xfId="0" applyFont="1" applyFill="1" applyBorder="1" applyAlignment="1" applyProtection="1">
      <alignment vertical="center"/>
      <protection locked="0"/>
    </xf>
    <xf numFmtId="0" fontId="19" fillId="16" borderId="0" xfId="0" applyFont="1" applyFill="1" applyAlignment="1">
      <alignment horizontal="right" vertical="center"/>
    </xf>
    <xf numFmtId="0" fontId="121" fillId="20" borderId="33" xfId="0" applyFont="1" applyFill="1" applyBorder="1" applyAlignment="1">
      <alignment horizontal="right"/>
    </xf>
    <xf numFmtId="0" fontId="121" fillId="20" borderId="79" xfId="0" applyFont="1" applyFill="1" applyBorder="1" applyAlignment="1">
      <alignment horizontal="right"/>
    </xf>
    <xf numFmtId="3" fontId="62" fillId="8" borderId="22" xfId="0" applyNumberFormat="1" applyFont="1" applyFill="1" applyBorder="1" applyAlignment="1" applyProtection="1">
      <alignment vertical="center"/>
      <protection locked="0"/>
    </xf>
    <xf numFmtId="3" fontId="62" fillId="8" borderId="62" xfId="0" applyNumberFormat="1" applyFont="1" applyFill="1" applyBorder="1" applyAlignment="1" applyProtection="1">
      <alignment vertical="center"/>
      <protection locked="0"/>
    </xf>
    <xf numFmtId="0" fontId="3" fillId="38" borderId="142" xfId="0" applyFont="1" applyFill="1" applyBorder="1" applyAlignment="1">
      <alignment vertical="center"/>
    </xf>
    <xf numFmtId="0" fontId="0" fillId="17" borderId="2" xfId="0" applyFont="1" applyFill="1" applyBorder="1" applyAlignment="1">
      <alignment vertical="center"/>
    </xf>
    <xf numFmtId="0" fontId="3" fillId="38" borderId="2" xfId="0" applyFont="1" applyFill="1" applyBorder="1" applyAlignment="1">
      <alignment vertical="center"/>
    </xf>
    <xf numFmtId="0" fontId="0" fillId="17" borderId="143" xfId="0" applyFont="1" applyFill="1" applyBorder="1" applyAlignment="1">
      <alignment vertical="center"/>
    </xf>
    <xf numFmtId="0" fontId="121" fillId="20" borderId="68" xfId="0" applyFont="1" applyFill="1" applyBorder="1" applyAlignment="1">
      <alignment horizontal="right"/>
    </xf>
    <xf numFmtId="0" fontId="121" fillId="20" borderId="24" xfId="0" applyFont="1" applyFill="1" applyBorder="1" applyAlignment="1">
      <alignment horizontal="right"/>
    </xf>
    <xf numFmtId="0" fontId="121" fillId="20" borderId="144" xfId="0" applyFont="1" applyFill="1" applyBorder="1" applyAlignment="1">
      <alignment horizontal="right"/>
    </xf>
    <xf numFmtId="0" fontId="3" fillId="20" borderId="0" xfId="0" applyFont="1" applyFill="1">
      <alignment/>
    </xf>
    <xf numFmtId="0" fontId="121" fillId="20" borderId="0" xfId="0" applyFont="1" applyFill="1">
      <alignment/>
    </xf>
    <xf numFmtId="4" fontId="62" fillId="8" borderId="25" xfId="0" applyNumberFormat="1" applyFont="1" applyFill="1" applyBorder="1" applyAlignment="1" applyProtection="1">
      <alignment vertical="center"/>
      <protection locked="0"/>
    </xf>
    <xf numFmtId="4" fontId="62" fillId="8" borderId="22" xfId="0" applyNumberFormat="1" applyFont="1" applyFill="1" applyBorder="1" applyAlignment="1" applyProtection="1">
      <alignment vertical="center"/>
      <protection locked="0"/>
    </xf>
    <xf numFmtId="4" fontId="62" fillId="8" borderId="62" xfId="0" applyNumberFormat="1" applyFont="1" applyFill="1" applyBorder="1" applyAlignment="1" applyProtection="1">
      <alignment vertical="center"/>
      <protection locked="0"/>
    </xf>
    <xf numFmtId="0" fontId="60" fillId="8" borderId="88" xfId="0" applyFont="1" applyFill="1" applyBorder="1" applyAlignment="1">
      <alignment vertical="center"/>
    </xf>
    <xf numFmtId="0" fontId="60" fillId="8" borderId="87" xfId="0" applyFont="1" applyFill="1" applyBorder="1" applyAlignment="1">
      <alignment vertical="center"/>
    </xf>
    <xf numFmtId="0" fontId="60" fillId="8" borderId="135" xfId="0" applyFont="1" applyFill="1" applyBorder="1" applyAlignment="1">
      <alignment vertical="center"/>
    </xf>
    <xf numFmtId="0" fontId="60" fillId="8" borderId="135" xfId="0" applyFont="1" applyFill="1" applyBorder="1" applyAlignment="1">
      <alignment horizontal="center" vertical="center"/>
    </xf>
    <xf numFmtId="0" fontId="60" fillId="8" borderId="136" xfId="0" applyFont="1" applyFill="1" applyBorder="1" applyAlignment="1">
      <alignment horizontal="center" vertical="center"/>
    </xf>
    <xf numFmtId="0" fontId="62" fillId="8" borderId="134" xfId="0" applyFont="1" applyFill="1" applyBorder="1" applyAlignment="1">
      <alignment horizontal="center" vertical="center"/>
    </xf>
    <xf numFmtId="0" fontId="62" fillId="0" borderId="130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8" borderId="134" xfId="0" applyFont="1" applyFill="1" applyBorder="1" applyAlignment="1">
      <alignment vertical="center"/>
    </xf>
    <xf numFmtId="0" fontId="62" fillId="8" borderId="130" xfId="0" applyFont="1" applyFill="1" applyBorder="1" applyAlignment="1">
      <alignment vertical="center"/>
    </xf>
    <xf numFmtId="0" fontId="62" fillId="8" borderId="141" xfId="0" applyFont="1" applyFill="1" applyBorder="1" applyAlignment="1">
      <alignment vertical="center"/>
    </xf>
    <xf numFmtId="49" fontId="62" fillId="8" borderId="134" xfId="0" applyNumberFormat="1" applyFont="1" applyFill="1" applyBorder="1" applyAlignment="1">
      <alignment horizontal="center" vertical="center"/>
    </xf>
    <xf numFmtId="49" fontId="62" fillId="8" borderId="130" xfId="0" applyNumberFormat="1" applyFont="1" applyFill="1" applyBorder="1" applyAlignment="1">
      <alignment horizontal="center" vertical="center"/>
    </xf>
    <xf numFmtId="49" fontId="62" fillId="8" borderId="141" xfId="0" applyNumberFormat="1" applyFont="1" applyFill="1" applyBorder="1" applyAlignment="1">
      <alignment horizontal="center" vertical="center"/>
    </xf>
    <xf numFmtId="0" fontId="60" fillId="8" borderId="86" xfId="0" applyFont="1" applyFill="1" applyBorder="1" applyAlignment="1">
      <alignment vertical="center"/>
    </xf>
    <xf numFmtId="0" fontId="60" fillId="8" borderId="0" xfId="0" applyFont="1" applyFill="1" applyAlignment="1">
      <alignment vertical="center"/>
    </xf>
    <xf numFmtId="0" fontId="60" fillId="8" borderId="79" xfId="0" applyFont="1" applyFill="1" applyBorder="1" applyAlignment="1">
      <alignment vertical="center"/>
    </xf>
    <xf numFmtId="0" fontId="62" fillId="8" borderId="134" xfId="0" applyFont="1" applyFill="1" applyBorder="1" applyAlignment="1" applyProtection="1">
      <alignment vertical="center"/>
      <protection locked="0"/>
    </xf>
    <xf numFmtId="0" fontId="62" fillId="0" borderId="130" xfId="0" applyFont="1" applyBorder="1" applyAlignment="1" applyProtection="1">
      <alignment vertical="center"/>
      <protection locked="0"/>
    </xf>
    <xf numFmtId="0" fontId="62" fillId="0" borderId="141" xfId="0" applyFont="1" applyBorder="1" applyAlignment="1" applyProtection="1">
      <alignment vertical="center"/>
      <protection locked="0"/>
    </xf>
    <xf numFmtId="0" fontId="0" fillId="8" borderId="88" xfId="0" applyFill="1" applyBorder="1">
      <alignment/>
    </xf>
    <xf numFmtId="0" fontId="0" fillId="8" borderId="87" xfId="0" applyFill="1" applyBorder="1">
      <alignment/>
    </xf>
    <xf numFmtId="0" fontId="0" fillId="8" borderId="137" xfId="0" applyFill="1" applyBorder="1">
      <alignment/>
    </xf>
    <xf numFmtId="0" fontId="52" fillId="37" borderId="130" xfId="0" applyFont="1" applyFill="1" applyBorder="1" applyAlignment="1">
      <alignment vertical="center"/>
    </xf>
    <xf numFmtId="0" fontId="0" fillId="0" borderId="141" xfId="0" applyBorder="1" applyAlignment="1">
      <alignment vertical="center"/>
    </xf>
    <xf numFmtId="0" fontId="39" fillId="20" borderId="84" xfId="0" applyFont="1" applyFill="1" applyBorder="1" applyAlignment="1">
      <alignment vertical="center"/>
    </xf>
    <xf numFmtId="0" fontId="0" fillId="16" borderId="84" xfId="0" applyFont="1" applyFill="1" applyBorder="1" applyAlignment="1">
      <alignment vertical="center"/>
    </xf>
    <xf numFmtId="0" fontId="0" fillId="16" borderId="129" xfId="0" applyFont="1" applyFill="1" applyBorder="1" applyAlignment="1">
      <alignment vertical="center"/>
    </xf>
    <xf numFmtId="0" fontId="78" fillId="16" borderId="145" xfId="0" applyFont="1" applyFill="1" applyBorder="1" applyAlignment="1">
      <alignment vertical="center"/>
    </xf>
    <xf numFmtId="0" fontId="0" fillId="16" borderId="87" xfId="0" applyFill="1" applyBorder="1">
      <alignment/>
    </xf>
    <xf numFmtId="0" fontId="0" fillId="16" borderId="137" xfId="0" applyFill="1" applyBorder="1">
      <alignment/>
    </xf>
    <xf numFmtId="0" fontId="121" fillId="20" borderId="82" xfId="0" applyFont="1" applyFill="1" applyBorder="1" applyAlignment="1">
      <alignment vertical="center"/>
    </xf>
    <xf numFmtId="0" fontId="19" fillId="16" borderId="0" xfId="0" applyFont="1" applyFill="1" applyAlignment="1">
      <alignment vertical="center"/>
    </xf>
    <xf numFmtId="0" fontId="62" fillId="8" borderId="25" xfId="0" applyFont="1" applyFill="1" applyBorder="1" applyAlignment="1" applyProtection="1">
      <alignment horizontal="left" vertical="center"/>
      <protection locked="0"/>
    </xf>
    <xf numFmtId="0" fontId="62" fillId="0" borderId="22" xfId="0" applyFont="1" applyBorder="1" applyAlignment="1" applyProtection="1">
      <alignment horizontal="left" vertical="center"/>
      <protection locked="0"/>
    </xf>
    <xf numFmtId="0" fontId="62" fillId="0" borderId="62" xfId="0" applyFont="1" applyBorder="1" applyAlignment="1" applyProtection="1">
      <alignment horizontal="left" vertical="center"/>
      <protection locked="0"/>
    </xf>
    <xf numFmtId="0" fontId="78" fillId="20" borderId="0" xfId="0" applyFont="1" applyFill="1">
      <alignment/>
    </xf>
    <xf numFmtId="0" fontId="60" fillId="8" borderId="136" xfId="0" applyFont="1" applyFill="1" applyBorder="1" applyAlignment="1">
      <alignment vertical="center"/>
    </xf>
    <xf numFmtId="49" fontId="62" fillId="8" borderId="134" xfId="0" applyNumberFormat="1" applyFont="1" applyFill="1" applyBorder="1" applyAlignment="1" applyProtection="1">
      <alignment horizontal="left" vertical="center"/>
      <protection locked="0"/>
    </xf>
    <xf numFmtId="49" fontId="62" fillId="8" borderId="130" xfId="0" applyNumberFormat="1" applyFont="1" applyFill="1" applyBorder="1" applyAlignment="1" applyProtection="1">
      <alignment horizontal="left" vertical="center"/>
      <protection locked="0"/>
    </xf>
    <xf numFmtId="49" fontId="62" fillId="8" borderId="141" xfId="0" applyNumberFormat="1" applyFont="1" applyFill="1" applyBorder="1" applyAlignment="1" applyProtection="1">
      <alignment horizontal="left" vertical="center"/>
      <protection locked="0"/>
    </xf>
    <xf numFmtId="0" fontId="62" fillId="0" borderId="134" xfId="0" applyFont="1" applyBorder="1" applyAlignment="1">
      <alignment vertical="center"/>
    </xf>
    <xf numFmtId="0" fontId="62" fillId="0" borderId="130" xfId="0" applyFont="1" applyBorder="1" applyAlignment="1">
      <alignment vertical="center"/>
    </xf>
    <xf numFmtId="0" fontId="62" fillId="0" borderId="141" xfId="0" applyFont="1" applyBorder="1" applyAlignment="1">
      <alignment vertical="center"/>
    </xf>
    <xf numFmtId="0" fontId="62" fillId="8" borderId="130" xfId="0" applyFont="1" applyFill="1" applyBorder="1" applyAlignment="1">
      <alignment horizontal="center" vertical="center"/>
    </xf>
    <xf numFmtId="3" fontId="63" fillId="8" borderId="134" xfId="0" applyNumberFormat="1" applyFont="1" applyFill="1" applyBorder="1" applyAlignment="1">
      <alignment horizontal="center" vertical="center"/>
    </xf>
    <xf numFmtId="3" fontId="63" fillId="8" borderId="130" xfId="0" applyNumberFormat="1" applyFont="1" applyFill="1" applyBorder="1" applyAlignment="1">
      <alignment horizontal="center" vertical="center"/>
    </xf>
    <xf numFmtId="0" fontId="63" fillId="0" borderId="130" xfId="0" applyFont="1" applyBorder="1" applyAlignment="1">
      <alignment horizontal="center" vertical="center"/>
    </xf>
    <xf numFmtId="0" fontId="63" fillId="0" borderId="141" xfId="0" applyFont="1" applyBorder="1" applyAlignment="1">
      <alignment horizontal="center" vertical="center"/>
    </xf>
    <xf numFmtId="0" fontId="60" fillId="0" borderId="86" xfId="0" applyFont="1" applyBorder="1" applyAlignment="1">
      <alignment vertical="center"/>
    </xf>
    <xf numFmtId="0" fontId="60" fillId="0" borderId="0" xfId="0" applyFont="1" applyAlignment="1">
      <alignment vertical="center"/>
    </xf>
    <xf numFmtId="0" fontId="60" fillId="0" borderId="79" xfId="0" applyFont="1" applyBorder="1" applyAlignment="1">
      <alignment vertical="center"/>
    </xf>
    <xf numFmtId="0" fontId="62" fillId="0" borderId="134" xfId="0" applyFont="1" applyBorder="1" applyAlignment="1" applyProtection="1">
      <alignment vertical="center"/>
      <protection locked="0"/>
    </xf>
    <xf numFmtId="0" fontId="11" fillId="20" borderId="0" xfId="0" applyFont="1" applyFill="1" applyAlignment="1">
      <alignment wrapText="1"/>
    </xf>
    <xf numFmtId="0" fontId="64" fillId="8" borderId="33" xfId="0" applyFont="1" applyFill="1" applyBorder="1" applyAlignment="1">
      <alignment horizontal="center" vertical="center"/>
    </xf>
    <xf numFmtId="0" fontId="52" fillId="8" borderId="33" xfId="0" applyFont="1" applyFill="1" applyBorder="1" applyAlignment="1">
      <alignment horizontal="center" vertical="center"/>
    </xf>
    <xf numFmtId="0" fontId="65" fillId="8" borderId="58" xfId="0" applyFont="1" applyFill="1" applyBorder="1" applyAlignment="1">
      <alignment horizontal="center" vertical="center"/>
    </xf>
    <xf numFmtId="0" fontId="0" fillId="0" borderId="67" xfId="0" applyBorder="1">
      <alignment/>
    </xf>
    <xf numFmtId="0" fontId="54" fillId="3" borderId="0" xfId="0" applyFont="1" applyFill="1" applyAlignment="1">
      <alignment vertical="center" wrapText="1"/>
    </xf>
    <xf numFmtId="0" fontId="0" fillId="8" borderId="24" xfId="0" applyFill="1" applyBorder="1">
      <alignment/>
    </xf>
    <xf numFmtId="0" fontId="43" fillId="8" borderId="0" xfId="0" applyFont="1" applyFill="1" applyAlignment="1">
      <alignment horizontal="center" vertical="center"/>
    </xf>
    <xf numFmtId="0" fontId="60" fillId="3" borderId="0" xfId="0" applyFont="1" applyFill="1" applyAlignment="1">
      <alignment vertical="top" wrapText="1"/>
    </xf>
    <xf numFmtId="0" fontId="19" fillId="8" borderId="0" xfId="0" applyFont="1" applyFill="1" applyAlignment="1">
      <alignment vertical="top"/>
    </xf>
    <xf numFmtId="0" fontId="60" fillId="8" borderId="0" xfId="0" applyFont="1" applyFill="1" applyAlignment="1">
      <alignment horizontal="right" vertical="center"/>
    </xf>
    <xf numFmtId="0" fontId="60" fillId="8" borderId="86" xfId="0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53" fillId="8" borderId="135" xfId="0" applyFont="1" applyFill="1" applyBorder="1" applyAlignment="1">
      <alignment horizontal="center" vertical="center"/>
    </xf>
    <xf numFmtId="0" fontId="52" fillId="37" borderId="141" xfId="0" applyFont="1" applyFill="1" applyBorder="1" applyAlignment="1">
      <alignment vertical="center"/>
    </xf>
    <xf numFmtId="0" fontId="22" fillId="8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alignment/>
      <protection locked="0"/>
    </xf>
    <xf numFmtId="0" fontId="64" fillId="8" borderId="68" xfId="0" applyFont="1" applyFill="1" applyBorder="1" applyAlignment="1">
      <alignment horizontal="center" vertical="center"/>
    </xf>
    <xf numFmtId="0" fontId="104" fillId="8" borderId="88" xfId="0" applyFont="1" applyFill="1" applyBorder="1" applyAlignment="1">
      <alignment horizontal="center"/>
    </xf>
    <xf numFmtId="0" fontId="19" fillId="0" borderId="87" xfId="0" applyFont="1" applyBorder="1" applyAlignment="1">
      <alignment horizontal="center"/>
    </xf>
    <xf numFmtId="0" fontId="19" fillId="0" borderId="137" xfId="0" applyFont="1" applyBorder="1" applyAlignment="1">
      <alignment horizontal="center"/>
    </xf>
    <xf numFmtId="0" fontId="19" fillId="0" borderId="8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79" xfId="0" applyFont="1" applyBorder="1" applyAlignment="1">
      <alignment horizontal="center"/>
    </xf>
    <xf numFmtId="0" fontId="19" fillId="0" borderId="86" xfId="0" applyFont="1" applyBorder="1">
      <alignment/>
    </xf>
    <xf numFmtId="0" fontId="19" fillId="0" borderId="0" xfId="0" applyFont="1">
      <alignment/>
    </xf>
    <xf numFmtId="0" fontId="19" fillId="0" borderId="79" xfId="0" applyFont="1" applyBorder="1">
      <alignment/>
    </xf>
    <xf numFmtId="0" fontId="19" fillId="0" borderId="138" xfId="0" applyFont="1" applyBorder="1">
      <alignment/>
    </xf>
    <xf numFmtId="0" fontId="19" fillId="0" borderId="135" xfId="0" applyFont="1" applyBorder="1">
      <alignment/>
    </xf>
    <xf numFmtId="0" fontId="19" fillId="0" borderId="136" xfId="0" applyFont="1" applyBorder="1">
      <alignment/>
    </xf>
    <xf numFmtId="0" fontId="69" fillId="8" borderId="87" xfId="0" applyFont="1" applyFill="1" applyBorder="1" applyAlignment="1">
      <alignment vertical="center"/>
    </xf>
    <xf numFmtId="0" fontId="19" fillId="0" borderId="87" xfId="0" applyFont="1" applyBorder="1" applyAlignment="1">
      <alignment vertical="center"/>
    </xf>
    <xf numFmtId="0" fontId="60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8" borderId="79" xfId="0" applyFont="1" applyFill="1" applyBorder="1" applyAlignment="1">
      <alignment horizontal="center" vertical="center"/>
    </xf>
    <xf numFmtId="0" fontId="124" fillId="4" borderId="0" xfId="15" applyFont="1" applyFill="1" applyAlignment="1">
      <alignment vertical="center" wrapText="1"/>
      <protection/>
    </xf>
    <xf numFmtId="0" fontId="54" fillId="0" borderId="0" xfId="15" applyFont="1" applyAlignment="1">
      <alignment vertical="center" wrapText="1"/>
      <protection/>
    </xf>
    <xf numFmtId="165" fontId="12" fillId="19" borderId="0" xfId="15" applyNumberFormat="1" applyFont="1" applyFill="1" applyAlignment="1">
      <alignment horizontal="center" vertical="center"/>
      <protection/>
    </xf>
    <xf numFmtId="0" fontId="22" fillId="19" borderId="0" xfId="15" applyFont="1" applyFill="1" applyAlignment="1">
      <alignment horizontal="center" vertical="center"/>
      <protection/>
    </xf>
    <xf numFmtId="0" fontId="12" fillId="4" borderId="0" xfId="15" applyFont="1" applyFill="1" applyAlignment="1">
      <alignment vertical="center" wrapText="1"/>
      <protection/>
    </xf>
    <xf numFmtId="0" fontId="11" fillId="0" borderId="0" xfId="15" applyFont="1" applyAlignment="1">
      <alignment vertical="center" wrapText="1"/>
      <protection/>
    </xf>
    <xf numFmtId="0" fontId="12" fillId="19" borderId="0" xfId="15" applyFont="1" applyFill="1" applyAlignment="1">
      <alignment horizontal="left" vertical="center" wrapText="1"/>
      <protection/>
    </xf>
    <xf numFmtId="0" fontId="11" fillId="0" borderId="0" xfId="15" applyFont="1" applyAlignment="1">
      <alignment horizontal="left" vertical="center" wrapText="1"/>
      <protection/>
    </xf>
    <xf numFmtId="0" fontId="5" fillId="4" borderId="9" xfId="15" applyFont="1" applyFill="1" applyBorder="1" applyAlignment="1">
      <alignment vertical="center"/>
      <protection/>
    </xf>
    <xf numFmtId="0" fontId="0" fillId="0" borderId="2" xfId="15" applyBorder="1" applyAlignment="1">
      <alignment vertical="center"/>
      <protection/>
    </xf>
    <xf numFmtId="168" fontId="5" fillId="4" borderId="2" xfId="15" applyNumberFormat="1" applyFont="1" applyFill="1" applyBorder="1" applyAlignment="1">
      <alignment horizontal="center" vertical="center"/>
      <protection/>
    </xf>
    <xf numFmtId="0" fontId="0" fillId="0" borderId="1" xfId="15" applyBorder="1" applyAlignment="1">
      <alignment vertical="center"/>
      <protection/>
    </xf>
    <xf numFmtId="0" fontId="5" fillId="4" borderId="10" xfId="15" applyFont="1" applyFill="1" applyBorder="1" applyAlignment="1">
      <alignment vertical="center"/>
      <protection/>
    </xf>
    <xf numFmtId="0" fontId="0" fillId="0" borderId="3" xfId="15" applyBorder="1" applyAlignment="1">
      <alignment vertical="center"/>
      <protection/>
    </xf>
    <xf numFmtId="14" fontId="5" fillId="3" borderId="3" xfId="15" applyNumberFormat="1" applyFont="1" applyFill="1" applyBorder="1" applyAlignment="1" applyProtection="1">
      <alignment horizontal="center" vertical="center"/>
      <protection locked="0"/>
    </xf>
    <xf numFmtId="14" fontId="0" fillId="0" borderId="3" xfId="15" applyNumberFormat="1" applyBorder="1" applyAlignment="1">
      <alignment vertical="center"/>
      <protection/>
    </xf>
    <xf numFmtId="14" fontId="0" fillId="0" borderId="8" xfId="15" applyNumberFormat="1" applyBorder="1" applyAlignment="1">
      <alignment vertical="center"/>
      <protection/>
    </xf>
    <xf numFmtId="0" fontId="46" fillId="32" borderId="0" xfId="15" applyFont="1" applyFill="1" applyAlignment="1">
      <alignment horizontal="center" vertical="center" wrapText="1"/>
      <protection/>
    </xf>
    <xf numFmtId="0" fontId="0" fillId="0" borderId="0" xfId="15" applyAlignment="1">
      <alignment horizontal="center" vertical="center" wrapText="1"/>
      <protection/>
    </xf>
    <xf numFmtId="0" fontId="21" fillId="19" borderId="0" xfId="15" applyFont="1" applyFill="1" applyAlignment="1">
      <alignment horizontal="center" vertical="center"/>
      <protection/>
    </xf>
    <xf numFmtId="0" fontId="0" fillId="19" borderId="0" xfId="15" applyFill="1" applyAlignment="1">
      <alignment horizontal="center" vertical="center"/>
      <protection/>
    </xf>
    <xf numFmtId="0" fontId="6" fillId="4" borderId="27" xfId="15" applyFont="1" applyFill="1" applyBorder="1" applyAlignment="1">
      <alignment vertical="center"/>
      <protection/>
    </xf>
    <xf numFmtId="0" fontId="0" fillId="0" borderId="26" xfId="15" applyBorder="1" applyAlignment="1">
      <alignment vertical="center"/>
      <protection/>
    </xf>
    <xf numFmtId="0" fontId="6" fillId="4" borderId="26" xfId="15" applyFont="1" applyFill="1" applyBorder="1" applyAlignment="1">
      <alignment horizontal="center" vertical="center"/>
      <protection/>
    </xf>
    <xf numFmtId="0" fontId="3" fillId="0" borderId="26" xfId="15" applyFont="1" applyBorder="1" applyAlignment="1">
      <alignment vertical="center"/>
      <protection/>
    </xf>
    <xf numFmtId="0" fontId="3" fillId="0" borderId="35" xfId="15" applyFont="1" applyBorder="1" applyAlignment="1">
      <alignment vertical="center"/>
      <protection/>
    </xf>
    <xf numFmtId="168" fontId="0" fillId="4" borderId="2" xfId="15" applyNumberFormat="1" applyFill="1" applyBorder="1" applyAlignment="1">
      <alignment horizontal="center" vertical="center"/>
      <protection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40" Type="http://schemas.openxmlformats.org/officeDocument/2006/relationships/externalLink" Target="externalLinks/externalLink6.xml" /><Relationship Id="rId20" Type="http://schemas.openxmlformats.org/officeDocument/2006/relationships/worksheet" Target="worksheets/sheet18.xml" /><Relationship Id="rId42" Type="http://schemas.openxmlformats.org/officeDocument/2006/relationships/externalLink" Target="externalLinks/externalLink8.xml" /><Relationship Id="rId41" Type="http://schemas.openxmlformats.org/officeDocument/2006/relationships/externalLink" Target="externalLinks/externalLink7.xml" /><Relationship Id="rId22" Type="http://schemas.openxmlformats.org/officeDocument/2006/relationships/worksheet" Target="worksheets/sheet20.xml" /><Relationship Id="rId44" Type="http://schemas.openxmlformats.org/officeDocument/2006/relationships/externalLink" Target="externalLinks/externalLink10.xml" /><Relationship Id="rId21" Type="http://schemas.openxmlformats.org/officeDocument/2006/relationships/worksheet" Target="worksheets/sheet19.xml" /><Relationship Id="rId43" Type="http://schemas.openxmlformats.org/officeDocument/2006/relationships/externalLink" Target="externalLinks/externalLink9.xml" /><Relationship Id="rId24" Type="http://schemas.openxmlformats.org/officeDocument/2006/relationships/worksheet" Target="worksheets/sheet22.xml" /><Relationship Id="rId46" Type="http://schemas.openxmlformats.org/officeDocument/2006/relationships/calcChain" Target="calcChain.xml" /><Relationship Id="rId23" Type="http://schemas.openxmlformats.org/officeDocument/2006/relationships/worksheet" Target="worksheets/sheet21.xml" /><Relationship Id="rId45" Type="http://schemas.openxmlformats.org/officeDocument/2006/relationships/xmlMaps" Target="xmlMap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worksheet" Target="worksheets/sheet24.xml" /><Relationship Id="rId25" Type="http://schemas.openxmlformats.org/officeDocument/2006/relationships/worksheet" Target="worksheets/sheet23.xml" /><Relationship Id="rId28" Type="http://schemas.openxmlformats.org/officeDocument/2006/relationships/worksheet" Target="worksheets/sheet26.xml" /><Relationship Id="rId27" Type="http://schemas.openxmlformats.org/officeDocument/2006/relationships/worksheet" Target="worksheets/sheet25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worksheet" Target="worksheets/sheet27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worksheet" Target="worksheets/sheet29.xml" /><Relationship Id="rId30" Type="http://schemas.openxmlformats.org/officeDocument/2006/relationships/worksheet" Target="worksheets/sheet28.xml" /><Relationship Id="rId11" Type="http://schemas.openxmlformats.org/officeDocument/2006/relationships/worksheet" Target="worksheets/sheet9.xml" /><Relationship Id="rId33" Type="http://schemas.openxmlformats.org/officeDocument/2006/relationships/worksheet" Target="worksheets/sheet31.xml" /><Relationship Id="rId10" Type="http://schemas.openxmlformats.org/officeDocument/2006/relationships/worksheet" Target="worksheets/sheet8.xml" /><Relationship Id="rId32" Type="http://schemas.openxmlformats.org/officeDocument/2006/relationships/worksheet" Target="worksheets/sheet30.xml" /><Relationship Id="rId13" Type="http://schemas.openxmlformats.org/officeDocument/2006/relationships/worksheet" Target="worksheets/sheet11.xml" /><Relationship Id="rId35" Type="http://schemas.openxmlformats.org/officeDocument/2006/relationships/externalLink" Target="externalLinks/externalLink1.xml" /><Relationship Id="rId12" Type="http://schemas.openxmlformats.org/officeDocument/2006/relationships/worksheet" Target="worksheets/sheet10.xml" /><Relationship Id="rId34" Type="http://schemas.openxmlformats.org/officeDocument/2006/relationships/sharedStrings" Target="sharedStrings.xml" /><Relationship Id="rId15" Type="http://schemas.openxmlformats.org/officeDocument/2006/relationships/worksheet" Target="worksheets/sheet13.xml" /><Relationship Id="rId37" Type="http://schemas.openxmlformats.org/officeDocument/2006/relationships/externalLink" Target="externalLinks/externalLink3.xml" /><Relationship Id="rId14" Type="http://schemas.openxmlformats.org/officeDocument/2006/relationships/worksheet" Target="worksheets/sheet12.xml" /><Relationship Id="rId36" Type="http://schemas.openxmlformats.org/officeDocument/2006/relationships/externalLink" Target="externalLinks/externalLink2.xml" /><Relationship Id="rId17" Type="http://schemas.openxmlformats.org/officeDocument/2006/relationships/worksheet" Target="worksheets/sheet15.xml" /><Relationship Id="rId39" Type="http://schemas.openxmlformats.org/officeDocument/2006/relationships/externalLink" Target="externalLinks/externalLink5.xml" /><Relationship Id="rId16" Type="http://schemas.openxmlformats.org/officeDocument/2006/relationships/worksheet" Target="worksheets/sheet14.xml" /><Relationship Id="rId38" Type="http://schemas.openxmlformats.org/officeDocument/2006/relationships/externalLink" Target="externalLinks/externalLink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3.jpe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Relationship Id="rId2" Type="http://schemas.openxmlformats.org/officeDocument/2006/relationships/image" Target="../media/image4.jpe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emf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emf" /><Relationship Id="rId2" Type="http://schemas.openxmlformats.org/officeDocument/2006/relationships/image" Target="../media/image5.jpeg" 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5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48613976-d730-4db5-acc7-decfcd02f9b5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0621e017-22aa-41b0-b86f-07eb59ac1631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1aca10-51d0-417d-be5c-41ac7638de47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29</xdr:col>
      <xdr:colOff>0</xdr:colOff>
      <xdr:row>0</xdr:row>
      <xdr:rowOff>28575</xdr:rowOff>
    </xdr:from>
    <xdr:to>
      <xdr:col>31</xdr:col>
      <xdr:colOff>142875</xdr:colOff>
      <xdr:row>3</xdr:row>
      <xdr:rowOff>101099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b8d8a8b-3f73-4f63-8dc2-0a89fd871ac7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581900" y="28575"/>
          <a:ext cx="628650" cy="628650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67</xdr:row>
      <xdr:rowOff>28575</xdr:rowOff>
    </xdr:from>
    <xdr:to>
      <xdr:col>0</xdr:col>
      <xdr:colOff>1381125</xdr:colOff>
      <xdr:row>68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cd0b5e4-c70d-49ce-9b21-2737d1843433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10801350"/>
          <a:ext cx="1304925" cy="533400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37</xdr:col>
      <xdr:colOff>92281</xdr:colOff>
      <xdr:row>0</xdr:row>
      <xdr:rowOff>38100</xdr:rowOff>
    </xdr:from>
    <xdr:to>
      <xdr:col>40</xdr:col>
      <xdr:colOff>114300</xdr:colOff>
      <xdr:row>2</xdr:row>
      <xdr:rowOff>152400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e72b28f-190f-4dbd-a6a1-cd5272d2d4f6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038975" y="38100"/>
          <a:ext cx="504825" cy="5048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58</xdr:row>
      <xdr:rowOff>114300</xdr:rowOff>
    </xdr:from>
    <xdr:to>
      <xdr:col>2</xdr:col>
      <xdr:colOff>1019175</xdr:colOff>
      <xdr:row>59</xdr:row>
      <xdr:rowOff>133350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96fd648-56b1-473b-bb1f-7015ce8a2a7a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629775"/>
          <a:ext cx="1276350" cy="495300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28</xdr:col>
      <xdr:colOff>57149</xdr:colOff>
      <xdr:row>0</xdr:row>
      <xdr:rowOff>28575</xdr:rowOff>
    </xdr:from>
    <xdr:to>
      <xdr:col>30</xdr:col>
      <xdr:colOff>180974</xdr:colOff>
      <xdr:row>0</xdr:row>
      <xdr:rowOff>568325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7858125" y="28575"/>
          <a:ext cx="542925" cy="5429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114300</xdr:rowOff>
    </xdr:from>
    <xdr:to>
      <xdr:col>15</xdr:col>
      <xdr:colOff>0</xdr:colOff>
      <xdr:row>3</xdr:row>
      <xdr:rowOff>38100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07d222a-18a3-4adb-9bf9-4f658b9618f8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0" y="114300"/>
          <a:ext cx="2752725" cy="6096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</xdr:colOff>
      <xdr:row>55</xdr:row>
      <xdr:rowOff>152400</xdr:rowOff>
    </xdr:from>
    <xdr:to>
      <xdr:col>12</xdr:col>
      <xdr:colOff>85725</xdr:colOff>
      <xdr:row>58</xdr:row>
      <xdr:rowOff>45508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5594146-50ca-4daf-9e19-f2df8bf71a8b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0575" y="10963275"/>
          <a:ext cx="1466850" cy="409575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4</xdr:col>
      <xdr:colOff>57150</xdr:colOff>
      <xdr:row>56</xdr:row>
      <xdr:rowOff>9525</xdr:rowOff>
    </xdr:from>
    <xdr:to>
      <xdr:col>12</xdr:col>
      <xdr:colOff>76200</xdr:colOff>
      <xdr:row>58</xdr:row>
      <xdr:rowOff>64558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e77398a-07a9-473c-bff4-893ae6d8ef0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050" y="11315700"/>
          <a:ext cx="1466850" cy="40957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DzPVZP21_xml.xlsx" TargetMode="External" /></Relationships>
</file>

<file path=xl/externalLinks/_rels/externalLink10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DzPFOB21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kochman\Desktop\2018_01%20formulare\DzPUCZ17_xml.xlsx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PO14_xml.xlsx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8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9.xml.rels><?xml version="1.0" encoding="UTF-8" standalone="yes"?><Relationships xmlns="http://schemas.openxmlformats.org/package/2006/relationships"><Relationship Id="rId1" Type="http://schemas.openxmlformats.org/officeDocument/2006/relationships/externalLinkPath" Target="DzPUCZ22_xml.xlsx" TargetMode="External" /><Relationship Id="rId3" Type="http://schemas.openxmlformats.org/officeDocument/2006/relationships/externalLinkPath" Target="file:///D:\DATA\PRIZNANI\TODO\NAHRANI\DzPUCZ22_xml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T3" t="str">
            <v>Abertamy</v>
          </cell>
        </row>
        <row r="4">
          <cell r="T4" t="str">
            <v>Adamov</v>
          </cell>
        </row>
        <row r="5">
          <cell r="T5" t="str">
            <v>Adamov</v>
          </cell>
        </row>
        <row r="6">
          <cell r="T6" t="str">
            <v>Adamov</v>
          </cell>
        </row>
        <row r="7">
          <cell r="T7" t="str">
            <v>Adršpach</v>
          </cell>
        </row>
        <row r="8">
          <cell r="T8" t="str">
            <v>Albrechtice</v>
          </cell>
        </row>
        <row r="9">
          <cell r="T9" t="str">
            <v>Albrechtice</v>
          </cell>
        </row>
        <row r="10">
          <cell r="T10" t="str">
            <v>Albrechtice nad Orlicí</v>
          </cell>
        </row>
        <row r="11">
          <cell r="T11" t="str">
            <v>Albrechtice nad Vltavou</v>
          </cell>
        </row>
        <row r="12">
          <cell r="T12" t="str">
            <v>Albrechtice v Jizerských horách</v>
          </cell>
        </row>
        <row r="13">
          <cell r="T13" t="str">
            <v>Albrechtičky</v>
          </cell>
        </row>
        <row r="14">
          <cell r="T14" t="str">
            <v>Alojzov</v>
          </cell>
        </row>
        <row r="15">
          <cell r="T15" t="str">
            <v>Andělská Hora</v>
          </cell>
        </row>
        <row r="16">
          <cell r="T16" t="str">
            <v>Andělská Hora</v>
          </cell>
        </row>
        <row r="17">
          <cell r="T17" t="str">
            <v>Anenská Studánka</v>
          </cell>
        </row>
        <row r="18">
          <cell r="T18" t="str">
            <v>Archlebov</v>
          </cell>
        </row>
        <row r="19">
          <cell r="T19" t="str">
            <v>Arneštovice</v>
          </cell>
        </row>
        <row r="20">
          <cell r="T20" t="str">
            <v>Arnolec</v>
          </cell>
        </row>
        <row r="21">
          <cell r="T21" t="str">
            <v>Arnoltice</v>
          </cell>
        </row>
        <row r="22">
          <cell r="T22" t="str">
            <v>Aš</v>
          </cell>
        </row>
        <row r="23">
          <cell r="T23" t="str">
            <v>Babice</v>
          </cell>
        </row>
        <row r="24">
          <cell r="T24" t="str">
            <v>Babice</v>
          </cell>
        </row>
        <row r="25">
          <cell r="T25" t="str">
            <v>Babice</v>
          </cell>
        </row>
        <row r="26">
          <cell r="T26" t="str">
            <v>Babice</v>
          </cell>
        </row>
        <row r="27">
          <cell r="T27" t="str">
            <v>Babice</v>
          </cell>
        </row>
        <row r="28">
          <cell r="T28" t="str">
            <v>Babice</v>
          </cell>
        </row>
        <row r="29">
          <cell r="T29" t="str">
            <v>Babice nad Svitavou</v>
          </cell>
        </row>
        <row r="30">
          <cell r="T30" t="str">
            <v>Babice u Rosic</v>
          </cell>
        </row>
        <row r="31">
          <cell r="T31" t="str">
            <v>Babylon</v>
          </cell>
        </row>
        <row r="32">
          <cell r="T32" t="str">
            <v>Bácovice</v>
          </cell>
        </row>
        <row r="33">
          <cell r="T33" t="str">
            <v>Bačalky</v>
          </cell>
        </row>
        <row r="34">
          <cell r="T34" t="str">
            <v>Bačetín</v>
          </cell>
        </row>
        <row r="35">
          <cell r="T35" t="str">
            <v>Bačice</v>
          </cell>
        </row>
        <row r="36">
          <cell r="T36" t="str">
            <v>Bačkov</v>
          </cell>
        </row>
        <row r="37">
          <cell r="T37" t="str">
            <v>Bačkovice</v>
          </cell>
        </row>
        <row r="38">
          <cell r="T38" t="str">
            <v>Bakov nad Jizerou</v>
          </cell>
        </row>
        <row r="39">
          <cell r="T39" t="str">
            <v>Baliny</v>
          </cell>
        </row>
        <row r="40">
          <cell r="T40" t="str">
            <v>Balkova Lhota</v>
          </cell>
        </row>
        <row r="41">
          <cell r="T41" t="str">
            <v>Banín</v>
          </cell>
        </row>
        <row r="42">
          <cell r="T42" t="str">
            <v>Bánov</v>
          </cell>
        </row>
        <row r="43">
          <cell r="T43" t="str">
            <v>Báňovice</v>
          </cell>
        </row>
        <row r="44">
          <cell r="T44" t="str">
            <v>Bantice</v>
          </cell>
        </row>
        <row r="45">
          <cell r="T45" t="str">
            <v>Barchov</v>
          </cell>
        </row>
        <row r="46">
          <cell r="T46" t="str">
            <v>Barchov</v>
          </cell>
        </row>
        <row r="47">
          <cell r="T47" t="str">
            <v>Barchovice</v>
          </cell>
        </row>
        <row r="48">
          <cell r="T48" t="str">
            <v>Bartošovice</v>
          </cell>
        </row>
        <row r="49">
          <cell r="T49" t="str">
            <v>Bartošovice v Orlických horách</v>
          </cell>
        </row>
        <row r="50">
          <cell r="T50" t="str">
            <v>Bartoušov</v>
          </cell>
        </row>
        <row r="51">
          <cell r="T51" t="str">
            <v>Bařice-Velké Těšany</v>
          </cell>
        </row>
        <row r="52">
          <cell r="T52" t="str">
            <v>Baška</v>
          </cell>
        </row>
        <row r="53">
          <cell r="T53" t="str">
            <v>Bašnice</v>
          </cell>
        </row>
        <row r="54">
          <cell r="T54" t="str">
            <v>Bašť</v>
          </cell>
        </row>
        <row r="55">
          <cell r="T55" t="str">
            <v>Batelov</v>
          </cell>
        </row>
        <row r="56">
          <cell r="T56" t="str">
            <v>Batňovice</v>
          </cell>
        </row>
        <row r="57">
          <cell r="T57" t="str">
            <v>Bavorov</v>
          </cell>
        </row>
        <row r="58">
          <cell r="T58" t="str">
            <v>Bavory</v>
          </cell>
        </row>
        <row r="59">
          <cell r="T59" t="str">
            <v>Bavoryně</v>
          </cell>
        </row>
        <row r="60">
          <cell r="T60" t="str">
            <v>Bdeněves</v>
          </cell>
        </row>
        <row r="61">
          <cell r="T61" t="str">
            <v>Bdín</v>
          </cell>
        </row>
        <row r="62">
          <cell r="T62" t="str">
            <v>Bečice</v>
          </cell>
        </row>
        <row r="63">
          <cell r="T63" t="str">
            <v>Bečice</v>
          </cell>
        </row>
        <row r="64">
          <cell r="T64" t="str">
            <v>Bečov</v>
          </cell>
        </row>
        <row r="65">
          <cell r="T65" t="str">
            <v>Bečov nad Teplou</v>
          </cell>
        </row>
        <row r="66">
          <cell r="T66" t="str">
            <v>Bečváry</v>
          </cell>
        </row>
        <row r="67">
          <cell r="T67" t="str">
            <v>Bedihošť</v>
          </cell>
        </row>
        <row r="68">
          <cell r="T68" t="str">
            <v>Bednárec</v>
          </cell>
        </row>
        <row r="69">
          <cell r="T69" t="str">
            <v>Bednáreček</v>
          </cell>
        </row>
        <row r="70">
          <cell r="T70" t="str">
            <v>Bedřichov</v>
          </cell>
        </row>
        <row r="71">
          <cell r="T71" t="str">
            <v>Bedřichov</v>
          </cell>
        </row>
        <row r="72">
          <cell r="T72" t="str">
            <v>Běhařov</v>
          </cell>
        </row>
        <row r="73">
          <cell r="T73" t="str">
            <v>Běhařovice</v>
          </cell>
        </row>
        <row r="74">
          <cell r="T74" t="str">
            <v>Běchary</v>
          </cell>
        </row>
        <row r="75">
          <cell r="T75" t="str">
            <v>Bechlín</v>
          </cell>
        </row>
        <row r="76">
          <cell r="T76" t="str">
            <v>Bechyně</v>
          </cell>
        </row>
        <row r="77">
          <cell r="T77" t="str">
            <v>Bělá</v>
          </cell>
        </row>
        <row r="78">
          <cell r="T78" t="str">
            <v>Bělá</v>
          </cell>
        </row>
        <row r="79">
          <cell r="T79" t="str">
            <v>Bělá</v>
          </cell>
        </row>
        <row r="80">
          <cell r="T80" t="str">
            <v>Bělá</v>
          </cell>
        </row>
        <row r="81">
          <cell r="T81" t="str">
            <v>Bělá nad Radbuzou</v>
          </cell>
        </row>
        <row r="82">
          <cell r="T82" t="str">
            <v>Bělá nad Svitavou</v>
          </cell>
        </row>
        <row r="83">
          <cell r="T83" t="str">
            <v>Bělá pod Bezdězem</v>
          </cell>
        </row>
        <row r="84">
          <cell r="T84" t="str">
            <v>Bělá pod Pradědem</v>
          </cell>
        </row>
        <row r="85">
          <cell r="T85" t="str">
            <v>Bělá u Jevíčka</v>
          </cell>
        </row>
        <row r="86">
          <cell r="T86" t="str">
            <v>Bělčice</v>
          </cell>
        </row>
        <row r="87">
          <cell r="T87" t="str">
            <v>Běleč</v>
          </cell>
        </row>
        <row r="88">
          <cell r="T88" t="str">
            <v>Běleč</v>
          </cell>
        </row>
        <row r="89">
          <cell r="T89" t="str">
            <v>Běleč</v>
          </cell>
        </row>
        <row r="90">
          <cell r="T90" t="str">
            <v>Běleč nad Orlicí</v>
          </cell>
        </row>
        <row r="91">
          <cell r="T91" t="str">
            <v>Bělkovice-Lašťany</v>
          </cell>
        </row>
        <row r="92">
          <cell r="T92" t="str">
            <v>Běloky</v>
          </cell>
        </row>
        <row r="93">
          <cell r="T93" t="str">
            <v>Bělotín</v>
          </cell>
        </row>
        <row r="94">
          <cell r="T94" t="str">
            <v>Bělov</v>
          </cell>
        </row>
        <row r="95">
          <cell r="T95" t="str">
            <v>Bělušice</v>
          </cell>
        </row>
        <row r="96">
          <cell r="T96" t="str">
            <v>Bělušice</v>
          </cell>
        </row>
        <row r="97">
          <cell r="T97" t="str">
            <v>Benátky</v>
          </cell>
        </row>
        <row r="98">
          <cell r="T98" t="str">
            <v>Benátky</v>
          </cell>
        </row>
        <row r="99">
          <cell r="T99" t="str">
            <v>Benátky nad Jizerou</v>
          </cell>
        </row>
        <row r="100">
          <cell r="T100" t="str">
            <v>Benecko</v>
          </cell>
        </row>
        <row r="101">
          <cell r="T101" t="str">
            <v>Benešov</v>
          </cell>
        </row>
        <row r="102">
          <cell r="T102" t="str">
            <v>Benešov</v>
          </cell>
        </row>
        <row r="103">
          <cell r="T103" t="str">
            <v>Benešov nad Černou</v>
          </cell>
        </row>
        <row r="104">
          <cell r="T104" t="str">
            <v>Benešov nad Ploučnicí</v>
          </cell>
        </row>
        <row r="105">
          <cell r="T105" t="str">
            <v>Benešov u Semil</v>
          </cell>
        </row>
        <row r="106">
          <cell r="T106" t="str">
            <v>Benešovice</v>
          </cell>
        </row>
        <row r="107">
          <cell r="T107" t="str">
            <v>Benetice</v>
          </cell>
        </row>
        <row r="108">
          <cell r="T108" t="str">
            <v>Beňov</v>
          </cell>
        </row>
        <row r="109">
          <cell r="T109" t="str">
            <v>Bernardov</v>
          </cell>
        </row>
        <row r="110">
          <cell r="T110" t="str">
            <v>Bernartice</v>
          </cell>
        </row>
        <row r="111">
          <cell r="T111" t="str">
            <v>Bernartice</v>
          </cell>
        </row>
        <row r="112">
          <cell r="T112" t="str">
            <v>Bernartice</v>
          </cell>
        </row>
        <row r="113">
          <cell r="T113" t="str">
            <v>Bernartice</v>
          </cell>
        </row>
        <row r="114">
          <cell r="T114" t="str">
            <v>Bernartice nad Odrou</v>
          </cell>
        </row>
        <row r="115">
          <cell r="T115" t="str">
            <v>Beroun</v>
          </cell>
        </row>
        <row r="116">
          <cell r="T116" t="str">
            <v>Běrunice</v>
          </cell>
        </row>
        <row r="117">
          <cell r="T117" t="str">
            <v>Beřovice</v>
          </cell>
        </row>
        <row r="118">
          <cell r="T118" t="str">
            <v>Besednice</v>
          </cell>
        </row>
        <row r="119">
          <cell r="T119" t="str">
            <v>Běstovice</v>
          </cell>
        </row>
        <row r="120">
          <cell r="T120" t="str">
            <v>Běstvina</v>
          </cell>
        </row>
        <row r="121">
          <cell r="T121" t="str">
            <v>Běšiny</v>
          </cell>
        </row>
        <row r="122">
          <cell r="T122" t="str">
            <v>Běštín</v>
          </cell>
        </row>
        <row r="123">
          <cell r="T123" t="str">
            <v>Bezděčí u Trnávky</v>
          </cell>
        </row>
        <row r="124">
          <cell r="T124" t="str">
            <v>Bezdědovice</v>
          </cell>
        </row>
        <row r="125">
          <cell r="T125" t="str">
            <v>Bezděkov</v>
          </cell>
        </row>
        <row r="126">
          <cell r="T126" t="str">
            <v>Bezděkov</v>
          </cell>
        </row>
        <row r="127">
          <cell r="T127" t="str">
            <v>Bezděkov</v>
          </cell>
        </row>
        <row r="128">
          <cell r="T128" t="str">
            <v>Bezděkov</v>
          </cell>
        </row>
        <row r="129">
          <cell r="T129" t="str">
            <v>Bezděkov nad Metují</v>
          </cell>
        </row>
        <row r="130">
          <cell r="T130" t="str">
            <v>Bezděkov pod Třemšínem</v>
          </cell>
        </row>
        <row r="131">
          <cell r="T131" t="str">
            <v>Bezděz</v>
          </cell>
        </row>
        <row r="132">
          <cell r="T132" t="str">
            <v>Bezdružice</v>
          </cell>
        </row>
        <row r="133">
          <cell r="T133" t="str">
            <v>Bezkov</v>
          </cell>
        </row>
        <row r="134">
          <cell r="T134" t="str">
            <v>Bezměrov</v>
          </cell>
        </row>
        <row r="135">
          <cell r="T135" t="str">
            <v>Bezno</v>
          </cell>
        </row>
        <row r="136">
          <cell r="T136" t="str">
            <v>Bezuchov</v>
          </cell>
        </row>
        <row r="137">
          <cell r="T137" t="str">
            <v>Bezvěrov</v>
          </cell>
        </row>
        <row r="138">
          <cell r="T138" t="str">
            <v>Bílá</v>
          </cell>
        </row>
        <row r="139">
          <cell r="T139" t="str">
            <v>Bílá</v>
          </cell>
        </row>
        <row r="140">
          <cell r="T140" t="str">
            <v>Bílá Hlína</v>
          </cell>
        </row>
        <row r="141">
          <cell r="T141" t="str">
            <v>Bílá Lhota</v>
          </cell>
        </row>
        <row r="142">
          <cell r="T142" t="str">
            <v>Bílá Třemešná</v>
          </cell>
        </row>
        <row r="143">
          <cell r="T143" t="str">
            <v>Bílá Voda</v>
          </cell>
        </row>
        <row r="144">
          <cell r="T144" t="str">
            <v>Bílčice</v>
          </cell>
        </row>
        <row r="145">
          <cell r="T145" t="str">
            <v>Bílé Podolí</v>
          </cell>
        </row>
        <row r="146">
          <cell r="T146" t="str">
            <v>Bílé Poličany</v>
          </cell>
        </row>
        <row r="147">
          <cell r="T147" t="str">
            <v>Bílence</v>
          </cell>
        </row>
        <row r="148">
          <cell r="T148" t="str">
            <v>Bílichov</v>
          </cell>
        </row>
        <row r="149">
          <cell r="T149" t="str">
            <v>Bílina</v>
          </cell>
        </row>
        <row r="150">
          <cell r="T150" t="str">
            <v>Bílkovice</v>
          </cell>
        </row>
        <row r="151">
          <cell r="T151" t="str">
            <v>Bílov</v>
          </cell>
        </row>
        <row r="152">
          <cell r="T152" t="str">
            <v>Bílov</v>
          </cell>
        </row>
        <row r="153">
          <cell r="T153" t="str">
            <v>Bílovec</v>
          </cell>
        </row>
        <row r="154">
          <cell r="T154" t="str">
            <v>Bílovice</v>
          </cell>
        </row>
        <row r="155">
          <cell r="T155" t="str">
            <v>Bílovice nad Svitavou</v>
          </cell>
        </row>
        <row r="156">
          <cell r="T156" t="str">
            <v>Bílovice-Lutotín</v>
          </cell>
        </row>
        <row r="157">
          <cell r="T157" t="str">
            <v>Bílsko</v>
          </cell>
        </row>
        <row r="158">
          <cell r="T158" t="str">
            <v>Bílsko</v>
          </cell>
        </row>
        <row r="159">
          <cell r="T159" t="str">
            <v>Bílsko u Hořic</v>
          </cell>
        </row>
        <row r="160">
          <cell r="T160" t="str">
            <v>Bílý Kámen</v>
          </cell>
        </row>
        <row r="161">
          <cell r="T161" t="str">
            <v>Bílý Kostel nad Nisou</v>
          </cell>
        </row>
        <row r="162">
          <cell r="T162" t="str">
            <v>Bílý Potok</v>
          </cell>
        </row>
        <row r="163">
          <cell r="T163" t="str">
            <v>Bílý Újezd</v>
          </cell>
        </row>
        <row r="164">
          <cell r="T164" t="str">
            <v>Biřkov</v>
          </cell>
        </row>
        <row r="165">
          <cell r="T165" t="str">
            <v>Biskoupky</v>
          </cell>
        </row>
        <row r="166">
          <cell r="T166" t="str">
            <v>Biskupice</v>
          </cell>
        </row>
        <row r="167">
          <cell r="T167" t="str">
            <v>Biskupice</v>
          </cell>
        </row>
        <row r="168">
          <cell r="T168" t="str">
            <v>Biskupice</v>
          </cell>
        </row>
        <row r="169">
          <cell r="T169" t="str">
            <v>Biskupice</v>
          </cell>
        </row>
        <row r="170">
          <cell r="T170" t="str">
            <v>Biskupice-Pulkov</v>
          </cell>
        </row>
        <row r="171">
          <cell r="T171" t="str">
            <v>Bítouchov</v>
          </cell>
        </row>
        <row r="172">
          <cell r="T172" t="str">
            <v>Bítov</v>
          </cell>
        </row>
        <row r="173">
          <cell r="T173" t="str">
            <v>Bítov</v>
          </cell>
        </row>
        <row r="174">
          <cell r="T174" t="str">
            <v>Bítovany</v>
          </cell>
        </row>
        <row r="175">
          <cell r="T175" t="str">
            <v>Bítovčice</v>
          </cell>
        </row>
        <row r="176">
          <cell r="T176" t="str">
            <v>Bitozeves</v>
          </cell>
        </row>
        <row r="177">
          <cell r="T177" t="str">
            <v>Blanné</v>
          </cell>
        </row>
        <row r="178">
          <cell r="T178" t="str">
            <v>Blansko</v>
          </cell>
        </row>
        <row r="179">
          <cell r="T179" t="str">
            <v>Blatce</v>
          </cell>
        </row>
        <row r="180">
          <cell r="T180" t="str">
            <v>Blatec</v>
          </cell>
        </row>
        <row r="181">
          <cell r="T181" t="str">
            <v>Blatná</v>
          </cell>
        </row>
        <row r="182">
          <cell r="T182" t="str">
            <v>Blatnice</v>
          </cell>
        </row>
        <row r="183">
          <cell r="T183" t="str">
            <v>Blatnice</v>
          </cell>
        </row>
        <row r="184">
          <cell r="T184" t="str">
            <v>Blatnice pod Svatým Antonínkem</v>
          </cell>
        </row>
        <row r="185">
          <cell r="T185" t="str">
            <v>Blatnička</v>
          </cell>
        </row>
        <row r="186">
          <cell r="T186" t="str">
            <v>Blatno</v>
          </cell>
        </row>
        <row r="187">
          <cell r="T187" t="str">
            <v>Blatno</v>
          </cell>
        </row>
        <row r="188">
          <cell r="T188" t="str">
            <v>Blazice</v>
          </cell>
        </row>
        <row r="189">
          <cell r="T189" t="str">
            <v>Blažejov</v>
          </cell>
        </row>
        <row r="190">
          <cell r="T190" t="str">
            <v>Blažejovice</v>
          </cell>
        </row>
        <row r="191">
          <cell r="T191" t="str">
            <v>Blažim</v>
          </cell>
        </row>
        <row r="192">
          <cell r="T192" t="str">
            <v>Blažim</v>
          </cell>
        </row>
        <row r="193">
          <cell r="T193" t="str">
            <v>Blažkov</v>
          </cell>
        </row>
        <row r="194">
          <cell r="T194" t="str">
            <v>Blažovice</v>
          </cell>
        </row>
        <row r="195">
          <cell r="T195" t="str">
            <v>Blešno</v>
          </cell>
        </row>
        <row r="196">
          <cell r="T196" t="str">
            <v>Blevice</v>
          </cell>
        </row>
        <row r="197">
          <cell r="T197" t="str">
            <v>Blízkov</v>
          </cell>
        </row>
        <row r="198">
          <cell r="T198" t="str">
            <v>Blížejov</v>
          </cell>
        </row>
        <row r="199">
          <cell r="T199" t="str">
            <v>Blíževedly</v>
          </cell>
        </row>
        <row r="200">
          <cell r="T200" t="str">
            <v>Blížkovice</v>
          </cell>
        </row>
        <row r="201">
          <cell r="T201" t="str">
            <v>Blovice</v>
          </cell>
        </row>
        <row r="202">
          <cell r="T202" t="str">
            <v>Blšany</v>
          </cell>
        </row>
        <row r="203">
          <cell r="T203" t="str">
            <v>Blšany u Loun</v>
          </cell>
        </row>
        <row r="204">
          <cell r="T204" t="str">
            <v>Blučina</v>
          </cell>
        </row>
        <row r="205">
          <cell r="T205" t="str">
            <v>Bludov</v>
          </cell>
        </row>
        <row r="206">
          <cell r="T206" t="str">
            <v>Bludov</v>
          </cell>
        </row>
        <row r="207">
          <cell r="T207" t="str">
            <v>Bobnice</v>
          </cell>
        </row>
        <row r="208">
          <cell r="T208" t="str">
            <v>Bobrová</v>
          </cell>
        </row>
        <row r="209">
          <cell r="T209" t="str">
            <v>Bobrůvka</v>
          </cell>
        </row>
        <row r="210">
          <cell r="T210" t="str">
            <v>Bocanovice</v>
          </cell>
        </row>
        <row r="211">
          <cell r="T211" t="str">
            <v>Boháňka</v>
          </cell>
        </row>
        <row r="212">
          <cell r="T212" t="str">
            <v>Boharyně</v>
          </cell>
        </row>
        <row r="213">
          <cell r="T213" t="str">
            <v>Bohaté Málkovice</v>
          </cell>
        </row>
        <row r="214">
          <cell r="T214" t="str">
            <v>Bohatice</v>
          </cell>
        </row>
        <row r="215">
          <cell r="T215" t="str">
            <v>Bohdalec</v>
          </cell>
        </row>
        <row r="216">
          <cell r="T216" t="str">
            <v>Bohdalice-Pavlovice</v>
          </cell>
        </row>
        <row r="217">
          <cell r="T217" t="str">
            <v>Bohdalín</v>
          </cell>
        </row>
        <row r="218">
          <cell r="T218" t="str">
            <v>Bohdalov</v>
          </cell>
        </row>
        <row r="219">
          <cell r="T219" t="str">
            <v>Bohdalovice</v>
          </cell>
        </row>
        <row r="220">
          <cell r="T220" t="str">
            <v>Bohdaneč</v>
          </cell>
        </row>
        <row r="221">
          <cell r="T221" t="str">
            <v>Bohdašín</v>
          </cell>
        </row>
        <row r="222">
          <cell r="T222" t="str">
            <v>Bohdíkov</v>
          </cell>
        </row>
        <row r="223">
          <cell r="T223" t="str">
            <v>Bohostice</v>
          </cell>
        </row>
        <row r="224">
          <cell r="T224" t="str">
            <v>Bohumilice</v>
          </cell>
        </row>
        <row r="225">
          <cell r="T225" t="str">
            <v>Bohumín</v>
          </cell>
        </row>
        <row r="226">
          <cell r="T226" t="str">
            <v>Bohunice</v>
          </cell>
        </row>
        <row r="227">
          <cell r="T227" t="str">
            <v>Bohuňov</v>
          </cell>
        </row>
        <row r="228">
          <cell r="T228" t="str">
            <v>Bohuňov</v>
          </cell>
        </row>
        <row r="229">
          <cell r="T229" t="str">
            <v>Bohuňovice</v>
          </cell>
        </row>
        <row r="230">
          <cell r="T230" t="str">
            <v>Bohuňovice</v>
          </cell>
        </row>
        <row r="231">
          <cell r="T231" t="str">
            <v>Bohuslavice</v>
          </cell>
        </row>
        <row r="232">
          <cell r="T232" t="str">
            <v>Bohuslavice</v>
          </cell>
        </row>
        <row r="233">
          <cell r="T233" t="str">
            <v>Bohuslavice</v>
          </cell>
        </row>
        <row r="234">
          <cell r="T234" t="str">
            <v>Bohuslavice</v>
          </cell>
        </row>
        <row r="235">
          <cell r="T235" t="str">
            <v>Bohuslavice</v>
          </cell>
        </row>
        <row r="236">
          <cell r="T236" t="str">
            <v>Bohuslavice nad Vláří</v>
          </cell>
        </row>
        <row r="237">
          <cell r="T237" t="str">
            <v>Bohuslavice u Zlína</v>
          </cell>
        </row>
        <row r="238">
          <cell r="T238" t="str">
            <v>Bohuslávky</v>
          </cell>
        </row>
        <row r="239">
          <cell r="T239" t="str">
            <v>Bohušice</v>
          </cell>
        </row>
        <row r="240">
          <cell r="T240" t="str">
            <v>Bohušov</v>
          </cell>
        </row>
        <row r="241">
          <cell r="T241" t="str">
            <v>Bohušovice nad Ohří</v>
          </cell>
        </row>
        <row r="242">
          <cell r="T242" t="str">
            <v>Bohutice</v>
          </cell>
        </row>
        <row r="243">
          <cell r="T243" t="str">
            <v>Bohutín</v>
          </cell>
        </row>
        <row r="244">
          <cell r="T244" t="str">
            <v>Bohutín</v>
          </cell>
        </row>
        <row r="245">
          <cell r="T245" t="str">
            <v>Bohy</v>
          </cell>
        </row>
        <row r="246">
          <cell r="T246" t="str">
            <v>Bochoř</v>
          </cell>
        </row>
        <row r="247">
          <cell r="T247" t="str">
            <v>Bochov</v>
          </cell>
        </row>
        <row r="248">
          <cell r="T248" t="str">
            <v>Bochovice</v>
          </cell>
        </row>
        <row r="249">
          <cell r="T249" t="str">
            <v>Bojanov</v>
          </cell>
        </row>
        <row r="250">
          <cell r="T250" t="str">
            <v>Bojanovice</v>
          </cell>
        </row>
        <row r="251">
          <cell r="T251" t="str">
            <v>Bojanovice</v>
          </cell>
        </row>
        <row r="252">
          <cell r="T252" t="str">
            <v>Bojiště</v>
          </cell>
        </row>
        <row r="253">
          <cell r="T253" t="str">
            <v>Bojkovice</v>
          </cell>
        </row>
        <row r="254">
          <cell r="T254" t="str">
            <v>Bolatice</v>
          </cell>
        </row>
        <row r="255">
          <cell r="T255" t="str">
            <v>Boleboř</v>
          </cell>
        </row>
        <row r="256">
          <cell r="T256" t="str">
            <v>Bolehošť</v>
          </cell>
        </row>
        <row r="257">
          <cell r="T257" t="str">
            <v>Boleradice</v>
          </cell>
        </row>
        <row r="258">
          <cell r="T258" t="str">
            <v>Bolešiny</v>
          </cell>
        </row>
        <row r="259">
          <cell r="T259" t="str">
            <v>Boletice</v>
          </cell>
        </row>
        <row r="260">
          <cell r="T260" t="str">
            <v>Bolkov</v>
          </cell>
        </row>
        <row r="261">
          <cell r="T261" t="str">
            <v>Boňkov</v>
          </cell>
        </row>
        <row r="262">
          <cell r="T262" t="str">
            <v>Bor</v>
          </cell>
        </row>
        <row r="263">
          <cell r="T263" t="str">
            <v>Bor u Skutče</v>
          </cell>
        </row>
        <row r="264">
          <cell r="T264" t="str">
            <v>Borač</v>
          </cell>
        </row>
        <row r="265">
          <cell r="T265" t="str">
            <v>Bordovice</v>
          </cell>
        </row>
        <row r="266">
          <cell r="T266" t="str">
            <v>Boreč</v>
          </cell>
        </row>
        <row r="267">
          <cell r="T267" t="str">
            <v>Borek</v>
          </cell>
        </row>
        <row r="268">
          <cell r="T268" t="str">
            <v>Borek</v>
          </cell>
        </row>
        <row r="269">
          <cell r="T269" t="str">
            <v>Borek</v>
          </cell>
        </row>
        <row r="270">
          <cell r="T270" t="str">
            <v>Borek</v>
          </cell>
        </row>
        <row r="271">
          <cell r="T271" t="str">
            <v>Borek</v>
          </cell>
        </row>
        <row r="272">
          <cell r="T272" t="str">
            <v>Borkovany</v>
          </cell>
        </row>
        <row r="273">
          <cell r="T273" t="str">
            <v>Borkovice</v>
          </cell>
        </row>
        <row r="274">
          <cell r="T274" t="str">
            <v>Borohrádek</v>
          </cell>
        </row>
        <row r="275">
          <cell r="T275" t="str">
            <v>Borotice</v>
          </cell>
        </row>
        <row r="276">
          <cell r="T276" t="str">
            <v>Borotice</v>
          </cell>
        </row>
        <row r="277">
          <cell r="T277" t="str">
            <v>Borotín</v>
          </cell>
        </row>
        <row r="278">
          <cell r="T278" t="str">
            <v>Borotín</v>
          </cell>
        </row>
        <row r="279">
          <cell r="T279" t="str">
            <v>Borová</v>
          </cell>
        </row>
        <row r="280">
          <cell r="T280" t="str">
            <v>Borová</v>
          </cell>
        </row>
        <row r="281">
          <cell r="T281" t="str">
            <v>Borová Lada</v>
          </cell>
        </row>
        <row r="282">
          <cell r="T282" t="str">
            <v>Borovany</v>
          </cell>
        </row>
        <row r="283">
          <cell r="T283" t="str">
            <v>Borovany</v>
          </cell>
        </row>
        <row r="284">
          <cell r="T284" t="str">
            <v>Borovná</v>
          </cell>
        </row>
        <row r="285">
          <cell r="T285" t="str">
            <v>Borovnice</v>
          </cell>
        </row>
        <row r="286">
          <cell r="T286" t="str">
            <v>Borovnice</v>
          </cell>
        </row>
        <row r="287">
          <cell r="T287" t="str">
            <v>Borovnice</v>
          </cell>
        </row>
        <row r="288">
          <cell r="T288" t="str">
            <v>Borovnice</v>
          </cell>
        </row>
        <row r="289">
          <cell r="T289" t="str">
            <v>Borovnice</v>
          </cell>
        </row>
        <row r="290">
          <cell r="T290" t="str">
            <v>Borovnička</v>
          </cell>
        </row>
        <row r="291">
          <cell r="T291" t="str">
            <v>Borovník</v>
          </cell>
        </row>
        <row r="292">
          <cell r="T292" t="str">
            <v>Borovno</v>
          </cell>
        </row>
        <row r="293">
          <cell r="T293" t="str">
            <v>Borovy</v>
          </cell>
        </row>
        <row r="294">
          <cell r="T294" t="str">
            <v>Boršice</v>
          </cell>
        </row>
        <row r="295">
          <cell r="T295" t="str">
            <v>Boršice u Blatnice</v>
          </cell>
        </row>
        <row r="296">
          <cell r="T296" t="str">
            <v>Boršov</v>
          </cell>
        </row>
        <row r="297">
          <cell r="T297" t="str">
            <v>Boršov nad Vltavou</v>
          </cell>
        </row>
        <row r="298">
          <cell r="T298" t="str">
            <v>Borušov</v>
          </cell>
        </row>
        <row r="299">
          <cell r="T299" t="str">
            <v>Bory</v>
          </cell>
        </row>
        <row r="300">
          <cell r="T300" t="str">
            <v>Bořanovice</v>
          </cell>
        </row>
        <row r="301">
          <cell r="T301" t="str">
            <v>Bořenovice</v>
          </cell>
        </row>
        <row r="302">
          <cell r="T302" t="str">
            <v>Bořetice</v>
          </cell>
        </row>
        <row r="303">
          <cell r="T303" t="str">
            <v>Bořetice</v>
          </cell>
        </row>
        <row r="304">
          <cell r="T304" t="str">
            <v>Bořetín</v>
          </cell>
        </row>
        <row r="305">
          <cell r="T305" t="str">
            <v>Bořetín</v>
          </cell>
        </row>
        <row r="306">
          <cell r="T306" t="str">
            <v>Bořice</v>
          </cell>
        </row>
        <row r="307">
          <cell r="T307" t="str">
            <v>Bořislav</v>
          </cell>
        </row>
        <row r="308">
          <cell r="T308" t="str">
            <v>Bořitov</v>
          </cell>
        </row>
        <row r="309">
          <cell r="T309" t="str">
            <v>Boseň</v>
          </cell>
        </row>
        <row r="310">
          <cell r="T310" t="str">
            <v>Boskovice</v>
          </cell>
        </row>
        <row r="311">
          <cell r="T311" t="str">
            <v>Boskovštejn</v>
          </cell>
        </row>
        <row r="312">
          <cell r="T312" t="str">
            <v>Bošice</v>
          </cell>
        </row>
        <row r="313">
          <cell r="T313" t="str">
            <v>Bošilec</v>
          </cell>
        </row>
        <row r="314">
          <cell r="T314" t="str">
            <v>Bošín</v>
          </cell>
        </row>
        <row r="315">
          <cell r="T315" t="str">
            <v>Bošovice</v>
          </cell>
        </row>
        <row r="316">
          <cell r="T316" t="str">
            <v>Boudy</v>
          </cell>
        </row>
        <row r="317">
          <cell r="T317" t="str">
            <v>Bousín</v>
          </cell>
        </row>
        <row r="318">
          <cell r="T318" t="str">
            <v>Bousov</v>
          </cell>
        </row>
        <row r="319">
          <cell r="T319" t="str">
            <v>Bouzov</v>
          </cell>
        </row>
        <row r="320">
          <cell r="T320" t="str">
            <v>Bozkov</v>
          </cell>
        </row>
        <row r="321">
          <cell r="T321" t="str">
            <v>Božanov</v>
          </cell>
        </row>
        <row r="322">
          <cell r="T322" t="str">
            <v>Božejov</v>
          </cell>
        </row>
        <row r="323">
          <cell r="T323" t="str">
            <v>Božetice</v>
          </cell>
        </row>
        <row r="324">
          <cell r="T324" t="str">
            <v>Boží Dar</v>
          </cell>
        </row>
        <row r="325">
          <cell r="T325" t="str">
            <v>Božice</v>
          </cell>
        </row>
        <row r="326">
          <cell r="T326" t="str">
            <v>Božičany</v>
          </cell>
        </row>
        <row r="327">
          <cell r="T327" t="str">
            <v>Bradáčov</v>
          </cell>
        </row>
        <row r="328">
          <cell r="T328" t="str">
            <v>Brada-Rybníček</v>
          </cell>
        </row>
        <row r="329">
          <cell r="T329" t="str">
            <v>Bradlec</v>
          </cell>
        </row>
        <row r="330">
          <cell r="T330" t="str">
            <v>Bradlecká Lhota</v>
          </cell>
        </row>
        <row r="331">
          <cell r="T331" t="str">
            <v>Brambory</v>
          </cell>
        </row>
        <row r="332">
          <cell r="T332" t="str">
            <v>Braňany</v>
          </cell>
        </row>
        <row r="333">
          <cell r="T333" t="str">
            <v>Brandov</v>
          </cell>
        </row>
        <row r="334">
          <cell r="T334" t="str">
            <v>Brandýs nad Labem-Stará Boleslav</v>
          </cell>
        </row>
        <row r="335">
          <cell r="T335" t="str">
            <v>Brandýs nad Orlicí</v>
          </cell>
        </row>
        <row r="336">
          <cell r="T336" t="str">
            <v>Brandýsek</v>
          </cell>
        </row>
        <row r="337">
          <cell r="T337" t="str">
            <v>Branice</v>
          </cell>
        </row>
        <row r="338">
          <cell r="T338" t="str">
            <v>Braníškov</v>
          </cell>
        </row>
        <row r="339">
          <cell r="T339" t="str">
            <v>Branišov</v>
          </cell>
        </row>
        <row r="340">
          <cell r="T340" t="str">
            <v>Branišovice</v>
          </cell>
        </row>
        <row r="341">
          <cell r="T341" t="str">
            <v>Branka u Opavy</v>
          </cell>
        </row>
        <row r="342">
          <cell r="T342" t="str">
            <v>Brankovice</v>
          </cell>
        </row>
        <row r="343">
          <cell r="T343" t="str">
            <v>Branky</v>
          </cell>
        </row>
        <row r="344">
          <cell r="T344" t="str">
            <v>Branná</v>
          </cell>
        </row>
        <row r="345">
          <cell r="T345" t="str">
            <v>Branov</v>
          </cell>
        </row>
        <row r="346">
          <cell r="T346" t="str">
            <v>Bransouze</v>
          </cell>
        </row>
        <row r="347">
          <cell r="T347" t="str">
            <v>Brantice</v>
          </cell>
        </row>
        <row r="348">
          <cell r="T348" t="str">
            <v>Branžež</v>
          </cell>
        </row>
        <row r="349">
          <cell r="T349" t="str">
            <v>Braškov</v>
          </cell>
        </row>
        <row r="350">
          <cell r="T350" t="str">
            <v>Bratčice</v>
          </cell>
        </row>
        <row r="351">
          <cell r="T351" t="str">
            <v>Bratčice</v>
          </cell>
        </row>
        <row r="352">
          <cell r="T352" t="str">
            <v>Bratkovice</v>
          </cell>
        </row>
        <row r="353">
          <cell r="T353" t="str">
            <v>Bratronice</v>
          </cell>
        </row>
        <row r="354">
          <cell r="T354" t="str">
            <v>Bratronice</v>
          </cell>
        </row>
        <row r="355">
          <cell r="T355" t="str">
            <v>Bratrušov</v>
          </cell>
        </row>
        <row r="356">
          <cell r="T356" t="str">
            <v>Bratřejov</v>
          </cell>
        </row>
        <row r="357">
          <cell r="T357" t="str">
            <v>Bratřice</v>
          </cell>
        </row>
        <row r="358">
          <cell r="T358" t="str">
            <v>Bratříkovice</v>
          </cell>
        </row>
        <row r="359">
          <cell r="T359" t="str">
            <v>Bratřínov</v>
          </cell>
        </row>
        <row r="360">
          <cell r="T360" t="str">
            <v>Bravantice</v>
          </cell>
        </row>
        <row r="361">
          <cell r="T361" t="str">
            <v>Brázdim</v>
          </cell>
        </row>
        <row r="362">
          <cell r="T362" t="str">
            <v>Brdy</v>
          </cell>
        </row>
        <row r="363">
          <cell r="T363" t="str">
            <v>Brloh</v>
          </cell>
        </row>
        <row r="364">
          <cell r="T364" t="str">
            <v>Brloh</v>
          </cell>
        </row>
        <row r="365">
          <cell r="T365" t="str">
            <v>Brňany</v>
          </cell>
        </row>
        <row r="366">
          <cell r="T366" t="str">
            <v>Brněnec</v>
          </cell>
        </row>
        <row r="367">
          <cell r="T367" t="str">
            <v>Brníčko</v>
          </cell>
        </row>
        <row r="368">
          <cell r="T368" t="str">
            <v>Brnířov</v>
          </cell>
        </row>
        <row r="369">
          <cell r="T369" t="str">
            <v>Brniště</v>
          </cell>
        </row>
        <row r="370">
          <cell r="T370" t="str">
            <v>Brno</v>
          </cell>
        </row>
        <row r="371">
          <cell r="T371" t="str">
            <v>Brod nad Dyjí</v>
          </cell>
        </row>
        <row r="372">
          <cell r="T372" t="str">
            <v>Brod nad Tichou</v>
          </cell>
        </row>
        <row r="373">
          <cell r="T373" t="str">
            <v>Brodce</v>
          </cell>
        </row>
        <row r="374">
          <cell r="T374" t="str">
            <v>Brodec</v>
          </cell>
        </row>
        <row r="375">
          <cell r="T375" t="str">
            <v>Brodek u Konice</v>
          </cell>
        </row>
        <row r="376">
          <cell r="T376" t="str">
            <v>Brodek u Prostějova</v>
          </cell>
        </row>
        <row r="377">
          <cell r="T377" t="str">
            <v>Brodek u Přerova</v>
          </cell>
        </row>
        <row r="378">
          <cell r="T378" t="str">
            <v>Brodeslavy</v>
          </cell>
        </row>
        <row r="379">
          <cell r="T379" t="str">
            <v>Broumov</v>
          </cell>
        </row>
        <row r="380">
          <cell r="T380" t="str">
            <v>Broumov</v>
          </cell>
        </row>
        <row r="381">
          <cell r="T381" t="str">
            <v>Broumy</v>
          </cell>
        </row>
        <row r="382">
          <cell r="T382" t="str">
            <v>Brozany nad Ohří</v>
          </cell>
        </row>
        <row r="383">
          <cell r="T383" t="str">
            <v>Brtnice</v>
          </cell>
        </row>
        <row r="384">
          <cell r="T384" t="str">
            <v>Brtnička</v>
          </cell>
        </row>
        <row r="385">
          <cell r="T385" t="str">
            <v>Brťov-Jeneč</v>
          </cell>
        </row>
        <row r="386">
          <cell r="T386" t="str">
            <v>Brumov</v>
          </cell>
        </row>
        <row r="387">
          <cell r="T387" t="str">
            <v>Brumov-Bylnice</v>
          </cell>
        </row>
        <row r="388">
          <cell r="T388" t="str">
            <v>Brumovice</v>
          </cell>
        </row>
        <row r="389">
          <cell r="T389" t="str">
            <v>Brumovice</v>
          </cell>
        </row>
        <row r="390">
          <cell r="T390" t="str">
            <v>Bruntál</v>
          </cell>
        </row>
        <row r="391">
          <cell r="T391" t="str">
            <v>Brusné</v>
          </cell>
        </row>
        <row r="392">
          <cell r="T392" t="str">
            <v>Brušperk</v>
          </cell>
        </row>
        <row r="393">
          <cell r="T393" t="str">
            <v>Bruzovice</v>
          </cell>
        </row>
        <row r="394">
          <cell r="T394" t="str">
            <v>Brzánky</v>
          </cell>
        </row>
        <row r="395">
          <cell r="T395" t="str">
            <v>Brzice</v>
          </cell>
        </row>
        <row r="396">
          <cell r="T396" t="str">
            <v>Brzkov</v>
          </cell>
        </row>
        <row r="397">
          <cell r="T397" t="str">
            <v>Břasy</v>
          </cell>
        </row>
        <row r="398">
          <cell r="T398" t="str">
            <v>Břeclav</v>
          </cell>
        </row>
        <row r="399">
          <cell r="T399" t="str">
            <v>Břehov</v>
          </cell>
        </row>
        <row r="400">
          <cell r="T400" t="str">
            <v>Břehy</v>
          </cell>
        </row>
        <row r="401">
          <cell r="T401" t="str">
            <v>Břest</v>
          </cell>
        </row>
        <row r="402">
          <cell r="T402" t="str">
            <v>Břestek</v>
          </cell>
        </row>
        <row r="403">
          <cell r="T403" t="str">
            <v>Břevnice</v>
          </cell>
        </row>
        <row r="404">
          <cell r="T404" t="str">
            <v>Březejc</v>
          </cell>
        </row>
        <row r="405">
          <cell r="T405" t="str">
            <v>Březí</v>
          </cell>
        </row>
        <row r="406">
          <cell r="T406" t="str">
            <v>Březí</v>
          </cell>
        </row>
        <row r="407">
          <cell r="T407" t="str">
            <v>Březí</v>
          </cell>
        </row>
        <row r="408">
          <cell r="T408" t="str">
            <v>Březí</v>
          </cell>
        </row>
        <row r="409">
          <cell r="T409" t="str">
            <v>Březí nad Oslavou</v>
          </cell>
        </row>
        <row r="410">
          <cell r="T410" t="str">
            <v>Březina</v>
          </cell>
        </row>
        <row r="411">
          <cell r="T411" t="str">
            <v>Březina</v>
          </cell>
        </row>
        <row r="412">
          <cell r="T412" t="str">
            <v>Březina</v>
          </cell>
        </row>
        <row r="413">
          <cell r="T413" t="str">
            <v>Březina</v>
          </cell>
        </row>
        <row r="414">
          <cell r="T414" t="str">
            <v>Březina</v>
          </cell>
        </row>
        <row r="415">
          <cell r="T415" t="str">
            <v>Březina</v>
          </cell>
        </row>
        <row r="416">
          <cell r="T416" t="str">
            <v>Březina (dříve okres Blansko)</v>
          </cell>
        </row>
        <row r="417">
          <cell r="T417" t="str">
            <v>Březina (dříve okres Tišnov)</v>
          </cell>
        </row>
        <row r="418">
          <cell r="T418" t="str">
            <v>Březinky</v>
          </cell>
        </row>
        <row r="419">
          <cell r="T419" t="str">
            <v>Březiny</v>
          </cell>
        </row>
        <row r="420">
          <cell r="T420" t="str">
            <v>Březnice</v>
          </cell>
        </row>
        <row r="421">
          <cell r="T421" t="str">
            <v>Březnice</v>
          </cell>
        </row>
        <row r="422">
          <cell r="T422" t="str">
            <v>Březnice</v>
          </cell>
        </row>
        <row r="423">
          <cell r="T423" t="str">
            <v>Březník</v>
          </cell>
        </row>
        <row r="424">
          <cell r="T424" t="str">
            <v>Březno</v>
          </cell>
        </row>
        <row r="425">
          <cell r="T425" t="str">
            <v>Březno</v>
          </cell>
        </row>
        <row r="426">
          <cell r="T426" t="str">
            <v>Březolupy</v>
          </cell>
        </row>
        <row r="427">
          <cell r="T427" t="str">
            <v>Březová</v>
          </cell>
        </row>
        <row r="428">
          <cell r="T428" t="str">
            <v>Březová</v>
          </cell>
        </row>
        <row r="429">
          <cell r="T429" t="str">
            <v>Březová</v>
          </cell>
        </row>
        <row r="430">
          <cell r="T430" t="str">
            <v>Březová</v>
          </cell>
        </row>
        <row r="431">
          <cell r="T431" t="str">
            <v>Březová</v>
          </cell>
        </row>
        <row r="432">
          <cell r="T432" t="str">
            <v>Březová</v>
          </cell>
        </row>
        <row r="433">
          <cell r="T433" t="str">
            <v>Březová nad Svitavou</v>
          </cell>
        </row>
        <row r="434">
          <cell r="T434" t="str">
            <v>Březová-Oleško</v>
          </cell>
        </row>
        <row r="435">
          <cell r="T435" t="str">
            <v>Březovice</v>
          </cell>
        </row>
        <row r="436">
          <cell r="T436" t="str">
            <v>Březské</v>
          </cell>
        </row>
        <row r="437">
          <cell r="T437" t="str">
            <v>Březsko</v>
          </cell>
        </row>
        <row r="438">
          <cell r="T438" t="str">
            <v>Březůvky</v>
          </cell>
        </row>
        <row r="439">
          <cell r="T439" t="str">
            <v>Břežany</v>
          </cell>
        </row>
        <row r="440">
          <cell r="T440" t="str">
            <v>Břežany</v>
          </cell>
        </row>
        <row r="441">
          <cell r="T441" t="str">
            <v>Břežany</v>
          </cell>
        </row>
        <row r="442">
          <cell r="T442" t="str">
            <v>Břežany I</v>
          </cell>
        </row>
        <row r="443">
          <cell r="T443" t="str">
            <v>Břežany II</v>
          </cell>
        </row>
        <row r="444">
          <cell r="T444" t="str">
            <v>Břidličná</v>
          </cell>
        </row>
        <row r="445">
          <cell r="T445" t="str">
            <v>Bříství</v>
          </cell>
        </row>
        <row r="446">
          <cell r="T446" t="str">
            <v>Bříšťany</v>
          </cell>
        </row>
        <row r="447">
          <cell r="T447" t="str">
            <v>Bříza</v>
          </cell>
        </row>
        <row r="448">
          <cell r="T448" t="str">
            <v>Břvany</v>
          </cell>
        </row>
        <row r="449">
          <cell r="T449" t="str">
            <v>Bublava</v>
          </cell>
        </row>
        <row r="450">
          <cell r="T450" t="str">
            <v>Bubovice</v>
          </cell>
        </row>
        <row r="451">
          <cell r="T451" t="str">
            <v>Bučí</v>
          </cell>
        </row>
        <row r="452">
          <cell r="T452" t="str">
            <v>Bučina</v>
          </cell>
        </row>
        <row r="453">
          <cell r="T453" t="str">
            <v>Bučovice</v>
          </cell>
        </row>
        <row r="454">
          <cell r="T454" t="str">
            <v>Budčeves</v>
          </cell>
        </row>
        <row r="455">
          <cell r="T455" t="str">
            <v>Budeč</v>
          </cell>
        </row>
        <row r="456">
          <cell r="T456" t="str">
            <v>Budeč</v>
          </cell>
        </row>
        <row r="457">
          <cell r="T457" t="str">
            <v>Budětice</v>
          </cell>
        </row>
        <row r="458">
          <cell r="T458" t="str">
            <v>Budětsko</v>
          </cell>
        </row>
        <row r="459">
          <cell r="T459" t="str">
            <v>Budíkov</v>
          </cell>
        </row>
        <row r="460">
          <cell r="T460" t="str">
            <v>Budiměřice</v>
          </cell>
        </row>
        <row r="461">
          <cell r="T461" t="str">
            <v>Budislav</v>
          </cell>
        </row>
        <row r="462">
          <cell r="T462" t="str">
            <v>Budislav</v>
          </cell>
        </row>
        <row r="463">
          <cell r="T463" t="str">
            <v>Budíškovice</v>
          </cell>
        </row>
        <row r="464">
          <cell r="T464" t="str">
            <v>Budišov</v>
          </cell>
        </row>
        <row r="465">
          <cell r="T465" t="str">
            <v>Budišov nad Budišovkou</v>
          </cell>
        </row>
        <row r="466">
          <cell r="T466" t="str">
            <v>Budišovice</v>
          </cell>
        </row>
        <row r="467">
          <cell r="T467" t="str">
            <v>Budkov</v>
          </cell>
        </row>
        <row r="468">
          <cell r="T468" t="str">
            <v>Budkov</v>
          </cell>
        </row>
        <row r="469">
          <cell r="T469" t="str">
            <v>Budyně</v>
          </cell>
        </row>
        <row r="470">
          <cell r="T470" t="str">
            <v>Budyně nad Ohří</v>
          </cell>
        </row>
        <row r="471">
          <cell r="T471" t="str">
            <v>Buchlovice</v>
          </cell>
        </row>
        <row r="472">
          <cell r="T472" t="str">
            <v>Bujanov</v>
          </cell>
        </row>
        <row r="473">
          <cell r="T473" t="str">
            <v>Bujesily</v>
          </cell>
        </row>
        <row r="474">
          <cell r="T474" t="str">
            <v>Buk</v>
          </cell>
        </row>
        <row r="475">
          <cell r="T475" t="str">
            <v>Buk</v>
          </cell>
        </row>
        <row r="476">
          <cell r="T476" t="str">
            <v>Bukov</v>
          </cell>
        </row>
        <row r="477">
          <cell r="T477" t="str">
            <v>Buková</v>
          </cell>
        </row>
        <row r="478">
          <cell r="T478" t="str">
            <v>Buková</v>
          </cell>
        </row>
        <row r="479">
          <cell r="T479" t="str">
            <v>Buková u Příbramě</v>
          </cell>
        </row>
        <row r="480">
          <cell r="T480" t="str">
            <v>Bukovany</v>
          </cell>
        </row>
        <row r="481">
          <cell r="T481" t="str">
            <v>Bukovany</v>
          </cell>
        </row>
        <row r="482">
          <cell r="T482" t="str">
            <v>Bukovany</v>
          </cell>
        </row>
        <row r="483">
          <cell r="T483" t="str">
            <v>Bukovany</v>
          </cell>
        </row>
        <row r="484">
          <cell r="T484" t="str">
            <v>Bukovany</v>
          </cell>
        </row>
        <row r="485">
          <cell r="T485" t="str">
            <v>Bukovec</v>
          </cell>
        </row>
        <row r="486">
          <cell r="T486" t="str">
            <v>Bukovec</v>
          </cell>
        </row>
        <row r="487">
          <cell r="T487" t="str">
            <v>Bukovice</v>
          </cell>
        </row>
        <row r="488">
          <cell r="T488" t="str">
            <v>Bukovice</v>
          </cell>
        </row>
        <row r="489">
          <cell r="T489" t="str">
            <v>Bukovina</v>
          </cell>
        </row>
        <row r="490">
          <cell r="T490" t="str">
            <v>Bukovina nad Labem</v>
          </cell>
        </row>
        <row r="491">
          <cell r="T491" t="str">
            <v>Bukovina u Čisté</v>
          </cell>
        </row>
        <row r="492">
          <cell r="T492" t="str">
            <v>Bukovina u Přelouče</v>
          </cell>
        </row>
        <row r="493">
          <cell r="T493" t="str">
            <v>Bukovinka</v>
          </cell>
        </row>
        <row r="494">
          <cell r="T494" t="str">
            <v>Bukovka</v>
          </cell>
        </row>
        <row r="495">
          <cell r="T495" t="str">
            <v>Bukovník</v>
          </cell>
        </row>
        <row r="496">
          <cell r="T496" t="str">
            <v>Bukovno</v>
          </cell>
        </row>
        <row r="497">
          <cell r="T497" t="str">
            <v>Bukvice</v>
          </cell>
        </row>
        <row r="498">
          <cell r="T498" t="str">
            <v>Bulhary</v>
          </cell>
        </row>
        <row r="499">
          <cell r="T499" t="str">
            <v>Bulovka</v>
          </cell>
        </row>
        <row r="500">
          <cell r="T500" t="str">
            <v>Buřenice</v>
          </cell>
        </row>
        <row r="501">
          <cell r="T501" t="str">
            <v>Buš</v>
          </cell>
        </row>
        <row r="502">
          <cell r="T502" t="str">
            <v>Bušanovice</v>
          </cell>
        </row>
        <row r="503">
          <cell r="T503" t="str">
            <v>Bušín</v>
          </cell>
        </row>
        <row r="504">
          <cell r="T504" t="str">
            <v>Bušovice</v>
          </cell>
        </row>
        <row r="505">
          <cell r="T505" t="str">
            <v>Buštěhrad</v>
          </cell>
        </row>
        <row r="506">
          <cell r="T506" t="str">
            <v>Butoves</v>
          </cell>
        </row>
        <row r="507">
          <cell r="T507" t="str">
            <v>Buzice</v>
          </cell>
        </row>
        <row r="508">
          <cell r="T508" t="str">
            <v>Býčkovice</v>
          </cell>
        </row>
        <row r="509">
          <cell r="T509" t="str">
            <v>Býchory</v>
          </cell>
        </row>
        <row r="510">
          <cell r="T510" t="str">
            <v>Býkev</v>
          </cell>
        </row>
        <row r="511">
          <cell r="T511" t="str">
            <v>Bykoš</v>
          </cell>
        </row>
        <row r="512">
          <cell r="T512" t="str">
            <v>Býkovice</v>
          </cell>
        </row>
        <row r="513">
          <cell r="T513" t="str">
            <v>Býkov-Láryšov</v>
          </cell>
        </row>
        <row r="514">
          <cell r="T514" t="str">
            <v>Bylany</v>
          </cell>
        </row>
        <row r="515">
          <cell r="T515" t="str">
            <v>Bynovec</v>
          </cell>
        </row>
        <row r="516">
          <cell r="T516" t="str">
            <v>Bystrá</v>
          </cell>
        </row>
        <row r="517">
          <cell r="T517" t="str">
            <v>Bystrá nad Jizerou</v>
          </cell>
        </row>
        <row r="518">
          <cell r="T518" t="str">
            <v>Bystré</v>
          </cell>
        </row>
        <row r="519">
          <cell r="T519" t="str">
            <v>Bystré</v>
          </cell>
        </row>
        <row r="520">
          <cell r="T520" t="str">
            <v>Bystročice</v>
          </cell>
        </row>
        <row r="521">
          <cell r="T521" t="str">
            <v>Bystrovany</v>
          </cell>
        </row>
        <row r="522">
          <cell r="T522" t="str">
            <v>Bystřany</v>
          </cell>
        </row>
        <row r="523">
          <cell r="T523" t="str">
            <v>Bystřec</v>
          </cell>
        </row>
        <row r="524">
          <cell r="T524" t="str">
            <v>Bystřice</v>
          </cell>
        </row>
        <row r="525">
          <cell r="T525" t="str">
            <v>Bystřice</v>
          </cell>
        </row>
        <row r="526">
          <cell r="T526" t="str">
            <v>Bystřice</v>
          </cell>
        </row>
        <row r="527">
          <cell r="T527" t="str">
            <v>Bystřice nad Pernštejnem</v>
          </cell>
        </row>
        <row r="528">
          <cell r="T528" t="str">
            <v>Bystřice pod Hostýnem</v>
          </cell>
        </row>
        <row r="529">
          <cell r="T529" t="str">
            <v>Bystřice pod Lopeníkem</v>
          </cell>
        </row>
        <row r="530">
          <cell r="T530" t="str">
            <v>Bystřička</v>
          </cell>
        </row>
        <row r="531">
          <cell r="T531" t="str">
            <v>Byšice</v>
          </cell>
        </row>
        <row r="532">
          <cell r="T532" t="str">
            <v>Býškovice</v>
          </cell>
        </row>
        <row r="533">
          <cell r="T533" t="str">
            <v>Býšovec</v>
          </cell>
        </row>
        <row r="534">
          <cell r="T534" t="str">
            <v>Býšť</v>
          </cell>
        </row>
        <row r="535">
          <cell r="T535" t="str">
            <v>Byzhradec</v>
          </cell>
        </row>
        <row r="536">
          <cell r="T536" t="str">
            <v>Bzenec</v>
          </cell>
        </row>
        <row r="537">
          <cell r="T537" t="str">
            <v>Bzová</v>
          </cell>
        </row>
        <row r="538">
          <cell r="T538" t="str">
            <v>Bžany</v>
          </cell>
        </row>
        <row r="539">
          <cell r="T539" t="str">
            <v>Cebiv</v>
          </cell>
        </row>
        <row r="540">
          <cell r="T540" t="str">
            <v>Cehnice</v>
          </cell>
        </row>
        <row r="541">
          <cell r="T541" t="str">
            <v>Cejle</v>
          </cell>
        </row>
        <row r="542">
          <cell r="T542" t="str">
            <v>Cekov</v>
          </cell>
        </row>
        <row r="543">
          <cell r="T543" t="str">
            <v>Cep</v>
          </cell>
        </row>
        <row r="544">
          <cell r="T544" t="str">
            <v>Cerekvice nad Bystřicí</v>
          </cell>
        </row>
        <row r="545">
          <cell r="T545" t="str">
            <v>Cerekvice nad Loučnou</v>
          </cell>
        </row>
        <row r="546">
          <cell r="T546" t="str">
            <v>Cerekvička-Rosice</v>
          </cell>
        </row>
        <row r="547">
          <cell r="T547" t="str">
            <v>Cerhenice</v>
          </cell>
        </row>
        <row r="548">
          <cell r="T548" t="str">
            <v>Cerhonice</v>
          </cell>
        </row>
        <row r="549">
          <cell r="T549" t="str">
            <v>Cerhovice</v>
          </cell>
        </row>
        <row r="550">
          <cell r="T550" t="str">
            <v>Cetechovice</v>
          </cell>
        </row>
        <row r="551">
          <cell r="T551" t="str">
            <v>Cetenov</v>
          </cell>
        </row>
        <row r="552">
          <cell r="T552" t="str">
            <v>Cetkovice</v>
          </cell>
        </row>
        <row r="553">
          <cell r="T553" t="str">
            <v>Cetoraz</v>
          </cell>
        </row>
        <row r="554">
          <cell r="T554" t="str">
            <v>Cetyně</v>
          </cell>
        </row>
        <row r="555">
          <cell r="T555" t="str">
            <v>Cidlina</v>
          </cell>
        </row>
        <row r="556">
          <cell r="T556" t="str">
            <v>Cikháj</v>
          </cell>
        </row>
        <row r="557">
          <cell r="T557" t="str">
            <v>Církvice</v>
          </cell>
        </row>
        <row r="558">
          <cell r="T558" t="str">
            <v>Církvice</v>
          </cell>
        </row>
        <row r="559">
          <cell r="T559" t="str">
            <v>Císařov</v>
          </cell>
        </row>
        <row r="560">
          <cell r="T560" t="str">
            <v>Citice</v>
          </cell>
        </row>
        <row r="561">
          <cell r="T561" t="str">
            <v>Cítoliby</v>
          </cell>
        </row>
        <row r="562">
          <cell r="T562" t="str">
            <v>Citonice</v>
          </cell>
        </row>
        <row r="563">
          <cell r="T563" t="str">
            <v>Citov</v>
          </cell>
        </row>
        <row r="564">
          <cell r="T564" t="str">
            <v>Cítov</v>
          </cell>
        </row>
        <row r="565">
          <cell r="T565" t="str">
            <v>Cizkrajov</v>
          </cell>
        </row>
        <row r="566">
          <cell r="T566" t="str">
            <v>Cotkytle</v>
          </cell>
        </row>
        <row r="567">
          <cell r="T567" t="str">
            <v>Crhov</v>
          </cell>
        </row>
        <row r="568">
          <cell r="T568" t="str">
            <v>Ctětín</v>
          </cell>
        </row>
        <row r="569">
          <cell r="T569" t="str">
            <v>Ctiboř</v>
          </cell>
        </row>
        <row r="570">
          <cell r="T570" t="str">
            <v>Ctiboř</v>
          </cell>
        </row>
        <row r="571">
          <cell r="T571" t="str">
            <v>Ctidružice</v>
          </cell>
        </row>
        <row r="572">
          <cell r="T572" t="str">
            <v>Ctiměřice</v>
          </cell>
        </row>
        <row r="573">
          <cell r="T573" t="str">
            <v>Ctiněves</v>
          </cell>
        </row>
        <row r="574">
          <cell r="T574" t="str">
            <v>Cvikov</v>
          </cell>
        </row>
        <row r="575">
          <cell r="T575" t="str">
            <v>Cvrčovice</v>
          </cell>
        </row>
        <row r="576">
          <cell r="T576" t="str">
            <v>Cvrčovice</v>
          </cell>
        </row>
        <row r="577">
          <cell r="T577" t="str">
            <v>Čachotín</v>
          </cell>
        </row>
        <row r="578">
          <cell r="T578" t="str">
            <v>Čachovice</v>
          </cell>
        </row>
        <row r="579">
          <cell r="T579" t="str">
            <v>Čachrov</v>
          </cell>
        </row>
        <row r="580">
          <cell r="T580" t="str">
            <v>Čakov</v>
          </cell>
        </row>
        <row r="581">
          <cell r="T581" t="str">
            <v>Čakov</v>
          </cell>
        </row>
        <row r="582">
          <cell r="T582" t="str">
            <v>Čaková</v>
          </cell>
        </row>
        <row r="583">
          <cell r="T583" t="str">
            <v>Čakovičky</v>
          </cell>
        </row>
        <row r="584">
          <cell r="T584" t="str">
            <v>Čankovice</v>
          </cell>
        </row>
        <row r="585">
          <cell r="T585" t="str">
            <v>Čáslav</v>
          </cell>
        </row>
        <row r="586">
          <cell r="T586" t="str">
            <v>Čáslavice</v>
          </cell>
        </row>
        <row r="587">
          <cell r="T587" t="str">
            <v>Čáslavsko</v>
          </cell>
        </row>
        <row r="588">
          <cell r="T588" t="str">
            <v>Částkov</v>
          </cell>
        </row>
        <row r="589">
          <cell r="T589" t="str">
            <v>Částkov</v>
          </cell>
        </row>
        <row r="590">
          <cell r="T590" t="str">
            <v>Častohostice</v>
          </cell>
        </row>
        <row r="591">
          <cell r="T591" t="str">
            <v>Častolovice</v>
          </cell>
        </row>
        <row r="592">
          <cell r="T592" t="str">
            <v>Častrov</v>
          </cell>
        </row>
        <row r="593">
          <cell r="T593" t="str">
            <v>Časy</v>
          </cell>
        </row>
        <row r="594">
          <cell r="T594" t="str">
            <v>Čavisov</v>
          </cell>
        </row>
        <row r="595">
          <cell r="T595" t="str">
            <v>Čebín</v>
          </cell>
        </row>
        <row r="596">
          <cell r="T596" t="str">
            <v>Čečelice</v>
          </cell>
        </row>
        <row r="597">
          <cell r="T597" t="str">
            <v>Čečelovice</v>
          </cell>
        </row>
        <row r="598">
          <cell r="T598" t="str">
            <v>Čečkovice</v>
          </cell>
        </row>
        <row r="599">
          <cell r="T599" t="str">
            <v>Čečovice</v>
          </cell>
        </row>
        <row r="600">
          <cell r="T600" t="str">
            <v>Čehovice</v>
          </cell>
        </row>
        <row r="601">
          <cell r="T601" t="str">
            <v>Čechočovice</v>
          </cell>
        </row>
        <row r="602">
          <cell r="T602" t="str">
            <v>Čechtice</v>
          </cell>
        </row>
        <row r="603">
          <cell r="T603" t="str">
            <v>Čechtín</v>
          </cell>
        </row>
        <row r="604">
          <cell r="T604" t="str">
            <v>Čechy</v>
          </cell>
        </row>
        <row r="605">
          <cell r="T605" t="str">
            <v>Čechy pod Kosířem</v>
          </cell>
        </row>
        <row r="606">
          <cell r="T606" t="str">
            <v>Čejč</v>
          </cell>
        </row>
        <row r="607">
          <cell r="T607" t="str">
            <v>Čejetice</v>
          </cell>
        </row>
        <row r="608">
          <cell r="T608" t="str">
            <v>Čejkovice</v>
          </cell>
        </row>
        <row r="609">
          <cell r="T609" t="str">
            <v>Čejkovice</v>
          </cell>
        </row>
        <row r="610">
          <cell r="T610" t="str">
            <v>Čejkovice</v>
          </cell>
        </row>
        <row r="611">
          <cell r="T611" t="str">
            <v>Čejkovice</v>
          </cell>
        </row>
        <row r="612">
          <cell r="T612" t="str">
            <v>Čejov</v>
          </cell>
        </row>
        <row r="613">
          <cell r="T613" t="str">
            <v>Čeladná</v>
          </cell>
        </row>
        <row r="614">
          <cell r="T614" t="str">
            <v>Čelákovice</v>
          </cell>
        </row>
        <row r="615">
          <cell r="T615" t="str">
            <v>Čelčice</v>
          </cell>
        </row>
        <row r="616">
          <cell r="T616" t="str">
            <v>Čelechovice</v>
          </cell>
        </row>
        <row r="617">
          <cell r="T617" t="str">
            <v>Čelechovice na Hané</v>
          </cell>
        </row>
        <row r="618">
          <cell r="T618" t="str">
            <v>Čelistná</v>
          </cell>
        </row>
        <row r="619">
          <cell r="T619" t="str">
            <v>Čeložnice</v>
          </cell>
        </row>
        <row r="620">
          <cell r="T620" t="str">
            <v>Čeminy</v>
          </cell>
        </row>
        <row r="621">
          <cell r="T621" t="str">
            <v>Čenkov</v>
          </cell>
        </row>
        <row r="622">
          <cell r="T622" t="str">
            <v>Čenkov u Bechyně</v>
          </cell>
        </row>
        <row r="623">
          <cell r="T623" t="str">
            <v>Čenkovice</v>
          </cell>
        </row>
        <row r="624">
          <cell r="T624" t="str">
            <v>Čeperka</v>
          </cell>
        </row>
        <row r="625">
          <cell r="T625" t="str">
            <v>Čepí</v>
          </cell>
        </row>
        <row r="626">
          <cell r="T626" t="str">
            <v>Čepřovice</v>
          </cell>
        </row>
        <row r="627">
          <cell r="T627" t="str">
            <v>Čeradice</v>
          </cell>
        </row>
        <row r="628">
          <cell r="T628" t="str">
            <v>Čerčany</v>
          </cell>
        </row>
        <row r="629">
          <cell r="T629" t="str">
            <v>Čermákovice</v>
          </cell>
        </row>
        <row r="630">
          <cell r="T630" t="str">
            <v>Čermná</v>
          </cell>
        </row>
        <row r="631">
          <cell r="T631" t="str">
            <v>Čermná</v>
          </cell>
        </row>
        <row r="632">
          <cell r="T632" t="str">
            <v>Čermná nad Orlicí</v>
          </cell>
        </row>
        <row r="633">
          <cell r="T633" t="str">
            <v>Čermná ve Slezsku</v>
          </cell>
        </row>
        <row r="634">
          <cell r="T634" t="str">
            <v>Černá</v>
          </cell>
        </row>
        <row r="635">
          <cell r="T635" t="str">
            <v>Černá Hora</v>
          </cell>
        </row>
        <row r="636">
          <cell r="T636" t="str">
            <v>Černá u Bohdanče</v>
          </cell>
        </row>
        <row r="637">
          <cell r="T637" t="str">
            <v>Černá v Pošumaví</v>
          </cell>
        </row>
        <row r="638">
          <cell r="T638" t="str">
            <v>Černá Voda</v>
          </cell>
        </row>
        <row r="639">
          <cell r="T639" t="str">
            <v>Černava</v>
          </cell>
        </row>
        <row r="640">
          <cell r="T640" t="str">
            <v>Černčice</v>
          </cell>
        </row>
        <row r="641">
          <cell r="T641" t="str">
            <v>Černčice</v>
          </cell>
        </row>
        <row r="642">
          <cell r="T642" t="str">
            <v>Černé Voděrady</v>
          </cell>
        </row>
        <row r="643">
          <cell r="T643" t="str">
            <v>Černěves</v>
          </cell>
        </row>
        <row r="644">
          <cell r="T644" t="str">
            <v>Černíč</v>
          </cell>
        </row>
        <row r="645">
          <cell r="T645" t="str">
            <v>Černíkov</v>
          </cell>
        </row>
        <row r="646">
          <cell r="T646" t="str">
            <v>Černíkovice</v>
          </cell>
        </row>
        <row r="647">
          <cell r="T647" t="str">
            <v>Černíkovice</v>
          </cell>
        </row>
        <row r="648">
          <cell r="T648" t="str">
            <v>Černíky</v>
          </cell>
        </row>
        <row r="649">
          <cell r="T649" t="str">
            <v>Černilov</v>
          </cell>
        </row>
        <row r="650">
          <cell r="T650" t="str">
            <v>Černín</v>
          </cell>
        </row>
        <row r="651">
          <cell r="T651" t="str">
            <v>Černíny</v>
          </cell>
        </row>
        <row r="652">
          <cell r="T652" t="str">
            <v>Černiv</v>
          </cell>
        </row>
        <row r="653">
          <cell r="T653" t="str">
            <v>Černolice</v>
          </cell>
        </row>
        <row r="654">
          <cell r="T654" t="str">
            <v>Černošice</v>
          </cell>
        </row>
        <row r="655">
          <cell r="T655" t="str">
            <v>Černošín</v>
          </cell>
        </row>
        <row r="656">
          <cell r="T656" t="str">
            <v>Černotín</v>
          </cell>
        </row>
        <row r="657">
          <cell r="T657" t="str">
            <v>Černouček</v>
          </cell>
        </row>
        <row r="658">
          <cell r="T658" t="str">
            <v>Černousy</v>
          </cell>
        </row>
        <row r="659">
          <cell r="T659" t="str">
            <v>Černov</v>
          </cell>
        </row>
        <row r="660">
          <cell r="T660" t="str">
            <v>Černovice</v>
          </cell>
        </row>
        <row r="661">
          <cell r="T661" t="str">
            <v>Černovice</v>
          </cell>
        </row>
        <row r="662">
          <cell r="T662" t="str">
            <v>Černovice</v>
          </cell>
        </row>
        <row r="663">
          <cell r="T663" t="str">
            <v>Černovice</v>
          </cell>
        </row>
        <row r="664">
          <cell r="T664" t="str">
            <v>Čerňovice</v>
          </cell>
        </row>
        <row r="665">
          <cell r="T665" t="str">
            <v>Černožice</v>
          </cell>
        </row>
        <row r="666">
          <cell r="T666" t="str">
            <v>Černuc</v>
          </cell>
        </row>
        <row r="667">
          <cell r="T667" t="str">
            <v>Černvír</v>
          </cell>
        </row>
        <row r="668">
          <cell r="T668" t="str">
            <v>Černý Důl</v>
          </cell>
        </row>
        <row r="669">
          <cell r="T669" t="str">
            <v>Černýšovice</v>
          </cell>
        </row>
        <row r="670">
          <cell r="T670" t="str">
            <v>Červená Hora</v>
          </cell>
        </row>
        <row r="671">
          <cell r="T671" t="str">
            <v>Červená Lhota</v>
          </cell>
        </row>
        <row r="672">
          <cell r="T672" t="str">
            <v>Červená Řečice</v>
          </cell>
        </row>
        <row r="673">
          <cell r="T673" t="str">
            <v>Červená Třemešná</v>
          </cell>
        </row>
        <row r="674">
          <cell r="T674" t="str">
            <v>Červená Voda</v>
          </cell>
        </row>
        <row r="675">
          <cell r="T675" t="str">
            <v>Červené Janovice</v>
          </cell>
        </row>
        <row r="676">
          <cell r="T676" t="str">
            <v>Červené Pečky</v>
          </cell>
        </row>
        <row r="677">
          <cell r="T677" t="str">
            <v>Červené Poříčí</v>
          </cell>
        </row>
        <row r="678">
          <cell r="T678" t="str">
            <v>Červenka</v>
          </cell>
        </row>
        <row r="679">
          <cell r="T679" t="str">
            <v>Červený Hrádek</v>
          </cell>
        </row>
        <row r="680">
          <cell r="T680" t="str">
            <v>Červený Kostelec</v>
          </cell>
        </row>
        <row r="681">
          <cell r="T681" t="str">
            <v>Červený Újezd</v>
          </cell>
        </row>
        <row r="682">
          <cell r="T682" t="str">
            <v>Červený Újezd</v>
          </cell>
        </row>
        <row r="683">
          <cell r="T683" t="str">
            <v>Česká</v>
          </cell>
        </row>
        <row r="684">
          <cell r="T684" t="str">
            <v>Česká Bělá</v>
          </cell>
        </row>
        <row r="685">
          <cell r="T685" t="str">
            <v>Česká Bříza</v>
          </cell>
        </row>
        <row r="686">
          <cell r="T686" t="str">
            <v>Česká Čermná</v>
          </cell>
        </row>
        <row r="687">
          <cell r="T687" t="str">
            <v>Česká Kamenice</v>
          </cell>
        </row>
        <row r="688">
          <cell r="T688" t="str">
            <v>Česká Kubice</v>
          </cell>
        </row>
        <row r="689">
          <cell r="T689" t="str">
            <v>Česká Lípa</v>
          </cell>
        </row>
        <row r="690">
          <cell r="T690" t="str">
            <v>Česká Metuje</v>
          </cell>
        </row>
        <row r="691">
          <cell r="T691" t="str">
            <v>Česká Rybná</v>
          </cell>
        </row>
        <row r="692">
          <cell r="T692" t="str">
            <v>Česká Skalice</v>
          </cell>
        </row>
        <row r="693">
          <cell r="T693" t="str">
            <v>Česká Třebová</v>
          </cell>
        </row>
        <row r="694">
          <cell r="T694" t="str">
            <v>Česká Ves</v>
          </cell>
        </row>
        <row r="695">
          <cell r="T695" t="str">
            <v>České Budějovice</v>
          </cell>
        </row>
        <row r="696">
          <cell r="T696" t="str">
            <v>České Heřmanice</v>
          </cell>
        </row>
        <row r="697">
          <cell r="T697" t="str">
            <v>České Lhotice</v>
          </cell>
        </row>
        <row r="698">
          <cell r="T698" t="str">
            <v>České Libchavy</v>
          </cell>
        </row>
        <row r="699">
          <cell r="T699" t="str">
            <v>České Meziříčí</v>
          </cell>
        </row>
        <row r="700">
          <cell r="T700" t="str">
            <v>České Petrovice</v>
          </cell>
        </row>
        <row r="701">
          <cell r="T701" t="str">
            <v>České Velenice</v>
          </cell>
        </row>
        <row r="702">
          <cell r="T702" t="str">
            <v>Český Brod</v>
          </cell>
        </row>
        <row r="703">
          <cell r="T703" t="str">
            <v>Český Dub</v>
          </cell>
        </row>
        <row r="704">
          <cell r="T704" t="str">
            <v>Český Jiřetín</v>
          </cell>
        </row>
        <row r="705">
          <cell r="T705" t="str">
            <v>Český Krumlov</v>
          </cell>
        </row>
        <row r="706">
          <cell r="T706" t="str">
            <v>Český Rudolec</v>
          </cell>
        </row>
        <row r="707">
          <cell r="T707" t="str">
            <v>Český Šternberk</v>
          </cell>
        </row>
        <row r="708">
          <cell r="T708" t="str">
            <v>Český Těšín</v>
          </cell>
        </row>
        <row r="709">
          <cell r="T709" t="str">
            <v>Čestice</v>
          </cell>
        </row>
        <row r="710">
          <cell r="T710" t="str">
            <v>Čestice</v>
          </cell>
        </row>
        <row r="711">
          <cell r="T711" t="str">
            <v>Čestín</v>
          </cell>
        </row>
        <row r="712">
          <cell r="T712" t="str">
            <v>Čestlice</v>
          </cell>
        </row>
        <row r="713">
          <cell r="T713" t="str">
            <v>Češov</v>
          </cell>
        </row>
        <row r="714">
          <cell r="T714" t="str">
            <v>Číčenice</v>
          </cell>
        </row>
        <row r="715">
          <cell r="T715" t="str">
            <v>Číčovice</v>
          </cell>
        </row>
        <row r="716">
          <cell r="T716" t="str">
            <v>Číhalín</v>
          </cell>
        </row>
        <row r="717">
          <cell r="T717" t="str">
            <v>Číhaň</v>
          </cell>
        </row>
        <row r="718">
          <cell r="T718" t="str">
            <v>Číhošť</v>
          </cell>
        </row>
        <row r="719">
          <cell r="T719" t="str">
            <v>Čichalov</v>
          </cell>
        </row>
        <row r="720">
          <cell r="T720" t="str">
            <v>Číchov</v>
          </cell>
        </row>
        <row r="721">
          <cell r="T721" t="str">
            <v>Čikov</v>
          </cell>
        </row>
        <row r="722">
          <cell r="T722" t="str">
            <v>Čilá</v>
          </cell>
        </row>
        <row r="723">
          <cell r="T723" t="str">
            <v>Čilec</v>
          </cell>
        </row>
        <row r="724">
          <cell r="T724" t="str">
            <v>Čím</v>
          </cell>
        </row>
        <row r="725">
          <cell r="T725" t="str">
            <v>Čimelice</v>
          </cell>
        </row>
        <row r="726">
          <cell r="T726" t="str">
            <v>Číměř</v>
          </cell>
        </row>
        <row r="727">
          <cell r="T727" t="str">
            <v>Číměř</v>
          </cell>
        </row>
        <row r="728">
          <cell r="T728" t="str">
            <v>Čímice</v>
          </cell>
        </row>
        <row r="729">
          <cell r="T729" t="str">
            <v>Činěves</v>
          </cell>
        </row>
        <row r="730">
          <cell r="T730" t="str">
            <v>Čisovice</v>
          </cell>
        </row>
        <row r="731">
          <cell r="T731" t="str">
            <v>Čistá</v>
          </cell>
        </row>
        <row r="732">
          <cell r="T732" t="str">
            <v>Čistá</v>
          </cell>
        </row>
        <row r="733">
          <cell r="T733" t="str">
            <v>Čistá</v>
          </cell>
        </row>
        <row r="734">
          <cell r="T734" t="str">
            <v>Čistá u Horek</v>
          </cell>
        </row>
        <row r="735">
          <cell r="T735" t="str">
            <v>Čistěves</v>
          </cell>
        </row>
        <row r="736">
          <cell r="T736" t="str">
            <v>Čižice</v>
          </cell>
        </row>
        <row r="737">
          <cell r="T737" t="str">
            <v>Čížkov</v>
          </cell>
        </row>
        <row r="738">
          <cell r="T738" t="str">
            <v>Čížkov</v>
          </cell>
        </row>
        <row r="739">
          <cell r="T739" t="str">
            <v>Čížkovice</v>
          </cell>
        </row>
        <row r="740">
          <cell r="T740" t="str">
            <v>Čížkrajice</v>
          </cell>
        </row>
        <row r="741">
          <cell r="T741" t="str">
            <v>Čížov</v>
          </cell>
        </row>
        <row r="742">
          <cell r="T742" t="str">
            <v>Čížová</v>
          </cell>
        </row>
        <row r="743">
          <cell r="T743" t="str">
            <v>Čkyně</v>
          </cell>
        </row>
        <row r="744">
          <cell r="T744" t="str">
            <v>Člunek</v>
          </cell>
        </row>
        <row r="745">
          <cell r="T745" t="str">
            <v>Čmelíny</v>
          </cell>
        </row>
        <row r="746">
          <cell r="T746" t="str">
            <v>Čtveřín</v>
          </cell>
        </row>
        <row r="747">
          <cell r="T747" t="str">
            <v>Čtyřkoly</v>
          </cell>
        </row>
        <row r="748">
          <cell r="T748" t="str">
            <v>Čučice</v>
          </cell>
        </row>
        <row r="749">
          <cell r="T749" t="str">
            <v>Dačice</v>
          </cell>
        </row>
        <row r="750">
          <cell r="T750" t="str">
            <v>Dalečín</v>
          </cell>
        </row>
        <row r="751">
          <cell r="T751" t="str">
            <v>Daleké Dušníky</v>
          </cell>
        </row>
        <row r="752">
          <cell r="T752" t="str">
            <v>Dalešice</v>
          </cell>
        </row>
        <row r="753">
          <cell r="T753" t="str">
            <v>Dalešice</v>
          </cell>
        </row>
        <row r="754">
          <cell r="T754" t="str">
            <v>Dalovice</v>
          </cell>
        </row>
        <row r="755">
          <cell r="T755" t="str">
            <v>Dalovice</v>
          </cell>
        </row>
        <row r="756">
          <cell r="T756" t="str">
            <v>Dambořice</v>
          </cell>
        </row>
        <row r="757">
          <cell r="T757" t="str">
            <v>Damnice</v>
          </cell>
        </row>
        <row r="758">
          <cell r="T758" t="str">
            <v>Damníkov</v>
          </cell>
        </row>
        <row r="759">
          <cell r="T759" t="str">
            <v>Daňkovice</v>
          </cell>
        </row>
        <row r="760">
          <cell r="T760" t="str">
            <v>Darkovice</v>
          </cell>
        </row>
        <row r="761">
          <cell r="T761" t="str">
            <v>Daskabát</v>
          </cell>
        </row>
        <row r="762">
          <cell r="T762" t="str">
            <v>Dasnice</v>
          </cell>
        </row>
        <row r="763">
          <cell r="T763" t="str">
            <v>Dasný</v>
          </cell>
        </row>
        <row r="764">
          <cell r="T764" t="str">
            <v>Dašice</v>
          </cell>
        </row>
        <row r="765">
          <cell r="T765" t="str">
            <v>Davle</v>
          </cell>
        </row>
        <row r="766">
          <cell r="T766" t="str">
            <v>Deblín</v>
          </cell>
        </row>
        <row r="767">
          <cell r="T767" t="str">
            <v>Děčany</v>
          </cell>
        </row>
        <row r="768">
          <cell r="T768" t="str">
            <v>Děčín</v>
          </cell>
        </row>
        <row r="769">
          <cell r="T769" t="str">
            <v>Dědice</v>
          </cell>
        </row>
        <row r="770">
          <cell r="T770" t="str">
            <v>Dědová</v>
          </cell>
        </row>
        <row r="771">
          <cell r="T771" t="str">
            <v>Dehtáře</v>
          </cell>
        </row>
        <row r="772">
          <cell r="T772" t="str">
            <v>Děhylov</v>
          </cell>
        </row>
        <row r="773">
          <cell r="T773" t="str">
            <v>Děkanovice</v>
          </cell>
        </row>
        <row r="774">
          <cell r="T774" t="str">
            <v>Děkov</v>
          </cell>
        </row>
        <row r="775">
          <cell r="T775" t="str">
            <v>Děpoltovice</v>
          </cell>
        </row>
        <row r="776">
          <cell r="T776" t="str">
            <v>Desná</v>
          </cell>
        </row>
        <row r="777">
          <cell r="T777" t="str">
            <v>Desná</v>
          </cell>
        </row>
        <row r="778">
          <cell r="T778" t="str">
            <v>Dešenice</v>
          </cell>
        </row>
        <row r="779">
          <cell r="T779" t="str">
            <v>Dešná</v>
          </cell>
        </row>
        <row r="780">
          <cell r="T780" t="str">
            <v>Dešná</v>
          </cell>
        </row>
        <row r="781">
          <cell r="T781" t="str">
            <v>Dešov</v>
          </cell>
        </row>
        <row r="782">
          <cell r="T782" t="str">
            <v>Deštná</v>
          </cell>
        </row>
        <row r="783">
          <cell r="T783" t="str">
            <v>Deštná</v>
          </cell>
        </row>
        <row r="784">
          <cell r="T784" t="str">
            <v>Deštné v Orlických horách</v>
          </cell>
        </row>
        <row r="785">
          <cell r="T785" t="str">
            <v>Deštnice</v>
          </cell>
        </row>
        <row r="786">
          <cell r="T786" t="str">
            <v>Dětenice</v>
          </cell>
        </row>
        <row r="787">
          <cell r="T787" t="str">
            <v>Dětkovice</v>
          </cell>
        </row>
        <row r="788">
          <cell r="T788" t="str">
            <v>Dětkovice</v>
          </cell>
        </row>
        <row r="789">
          <cell r="T789" t="str">
            <v>Dětmarovice</v>
          </cell>
        </row>
        <row r="790">
          <cell r="T790" t="str">
            <v>Dětřichov</v>
          </cell>
        </row>
        <row r="791">
          <cell r="T791" t="str">
            <v>Dětřichov</v>
          </cell>
        </row>
        <row r="792">
          <cell r="T792" t="str">
            <v>Dětřichov nad Bystřicí</v>
          </cell>
        </row>
        <row r="793">
          <cell r="T793" t="str">
            <v>Dětřichov u Moravské Třebové</v>
          </cell>
        </row>
        <row r="794">
          <cell r="T794" t="str">
            <v>Dílce</v>
          </cell>
        </row>
        <row r="795">
          <cell r="T795" t="str">
            <v>Díly</v>
          </cell>
        </row>
        <row r="796">
          <cell r="T796" t="str">
            <v>Dírná</v>
          </cell>
        </row>
        <row r="797">
          <cell r="T797" t="str">
            <v>Diváky</v>
          </cell>
        </row>
        <row r="798">
          <cell r="T798" t="str">
            <v>Dívčí Hrad</v>
          </cell>
        </row>
        <row r="799">
          <cell r="T799" t="str">
            <v>Dívčí Kopy</v>
          </cell>
        </row>
        <row r="800">
          <cell r="T800" t="str">
            <v>Dívčice</v>
          </cell>
        </row>
        <row r="801">
          <cell r="T801" t="str">
            <v>Divec</v>
          </cell>
        </row>
        <row r="802">
          <cell r="T802" t="str">
            <v>Divišov</v>
          </cell>
        </row>
        <row r="803">
          <cell r="T803" t="str">
            <v>Dlažkovice</v>
          </cell>
        </row>
        <row r="804">
          <cell r="T804" t="str">
            <v>Dlažov</v>
          </cell>
        </row>
        <row r="805">
          <cell r="T805" t="str">
            <v>Dlouhá Brtnice</v>
          </cell>
        </row>
        <row r="806">
          <cell r="T806" t="str">
            <v>Dlouhá Lhota</v>
          </cell>
        </row>
        <row r="807">
          <cell r="T807" t="str">
            <v>Dlouhá Lhota</v>
          </cell>
        </row>
        <row r="808">
          <cell r="T808" t="str">
            <v>Dlouhá Lhota</v>
          </cell>
        </row>
        <row r="809">
          <cell r="T809" t="str">
            <v>Dlouhá Lhota</v>
          </cell>
        </row>
        <row r="810">
          <cell r="T810" t="str">
            <v>Dlouhá Loučka</v>
          </cell>
        </row>
        <row r="811">
          <cell r="T811" t="str">
            <v>Dlouhá Loučka</v>
          </cell>
        </row>
        <row r="812">
          <cell r="T812" t="str">
            <v>Dlouhá Stráň</v>
          </cell>
        </row>
        <row r="813">
          <cell r="T813" t="str">
            <v>Dlouhá Třebová</v>
          </cell>
        </row>
        <row r="814">
          <cell r="T814" t="str">
            <v>Dlouhá Ves</v>
          </cell>
        </row>
        <row r="815">
          <cell r="T815" t="str">
            <v>Dlouhá Ves</v>
          </cell>
        </row>
        <row r="816">
          <cell r="T816" t="str">
            <v>Dlouhé</v>
          </cell>
        </row>
        <row r="817">
          <cell r="T817" t="str">
            <v>Dlouhomilov</v>
          </cell>
        </row>
        <row r="818">
          <cell r="T818" t="str">
            <v>Dlouhoňovice</v>
          </cell>
        </row>
        <row r="819">
          <cell r="T819" t="str">
            <v>Dlouhopolsko</v>
          </cell>
        </row>
        <row r="820">
          <cell r="T820" t="str">
            <v>Dlouhý Most</v>
          </cell>
        </row>
        <row r="821">
          <cell r="T821" t="str">
            <v>Dlouhý Újezd</v>
          </cell>
        </row>
        <row r="822">
          <cell r="T822" t="str">
            <v>Dnešice</v>
          </cell>
        </row>
        <row r="823">
          <cell r="T823" t="str">
            <v>Dobelice</v>
          </cell>
        </row>
        <row r="824">
          <cell r="T824" t="str">
            <v>Dobev</v>
          </cell>
        </row>
        <row r="825">
          <cell r="T825" t="str">
            <v>Dobkovice</v>
          </cell>
        </row>
        <row r="826">
          <cell r="T826" t="str">
            <v>Dobrá</v>
          </cell>
        </row>
        <row r="827">
          <cell r="T827" t="str">
            <v>Dobrá Voda</v>
          </cell>
        </row>
        <row r="828">
          <cell r="T828" t="str">
            <v>Dobrá Voda</v>
          </cell>
        </row>
        <row r="829">
          <cell r="T829" t="str">
            <v>Dobrá Voda u Českých Budějovic</v>
          </cell>
        </row>
        <row r="830">
          <cell r="T830" t="str">
            <v>Dobrá Voda u Hořic</v>
          </cell>
        </row>
        <row r="831">
          <cell r="T831" t="str">
            <v>Dobrá Voda u Pacova</v>
          </cell>
        </row>
        <row r="832">
          <cell r="T832" t="str">
            <v>Dobratice</v>
          </cell>
        </row>
        <row r="833">
          <cell r="T833" t="str">
            <v>Dobrčice</v>
          </cell>
        </row>
        <row r="834">
          <cell r="T834" t="str">
            <v>Dobré</v>
          </cell>
        </row>
        <row r="835">
          <cell r="T835" t="str">
            <v>Dobré Pole</v>
          </cell>
        </row>
        <row r="836">
          <cell r="T836" t="str">
            <v>Dobrkovice</v>
          </cell>
        </row>
        <row r="837">
          <cell r="T837" t="str">
            <v>Dobrná</v>
          </cell>
        </row>
        <row r="838">
          <cell r="T838" t="str">
            <v>Dobročkovice</v>
          </cell>
        </row>
        <row r="839">
          <cell r="T839" t="str">
            <v>Dobročovice</v>
          </cell>
        </row>
        <row r="840">
          <cell r="T840" t="str">
            <v>Dobrohošť</v>
          </cell>
        </row>
        <row r="841">
          <cell r="T841" t="str">
            <v>Dobrochov</v>
          </cell>
        </row>
        <row r="842">
          <cell r="T842" t="str">
            <v>Dobroměřice</v>
          </cell>
        </row>
        <row r="843">
          <cell r="T843" t="str">
            <v>Dobromilice</v>
          </cell>
        </row>
        <row r="844">
          <cell r="T844" t="str">
            <v>Dobronice u Bechyně</v>
          </cell>
        </row>
        <row r="845">
          <cell r="T845" t="str">
            <v>Dobronín</v>
          </cell>
        </row>
        <row r="846">
          <cell r="T846" t="str">
            <v>Dobroslavice</v>
          </cell>
        </row>
        <row r="847">
          <cell r="T847" t="str">
            <v>Dobroutov</v>
          </cell>
        </row>
        <row r="848">
          <cell r="T848" t="str">
            <v>Dobrovice</v>
          </cell>
        </row>
        <row r="849">
          <cell r="T849" t="str">
            <v>Dobrovítov</v>
          </cell>
        </row>
        <row r="850">
          <cell r="T850" t="str">
            <v>Dobrovíz</v>
          </cell>
        </row>
        <row r="851">
          <cell r="T851" t="str">
            <v>Dobršín</v>
          </cell>
        </row>
        <row r="852">
          <cell r="T852" t="str">
            <v>Dobruška</v>
          </cell>
        </row>
        <row r="853">
          <cell r="T853" t="str">
            <v>Dobřany</v>
          </cell>
        </row>
        <row r="854">
          <cell r="T854" t="str">
            <v>Dobřany</v>
          </cell>
        </row>
        <row r="855">
          <cell r="T855" t="str">
            <v>Dobřejovice</v>
          </cell>
        </row>
        <row r="856">
          <cell r="T856" t="str">
            <v>Dobřeň</v>
          </cell>
        </row>
        <row r="857">
          <cell r="T857" t="str">
            <v>Dobřenice</v>
          </cell>
        </row>
        <row r="858">
          <cell r="T858" t="str">
            <v>Dobříč</v>
          </cell>
        </row>
        <row r="859">
          <cell r="T859" t="str">
            <v>Dobříč</v>
          </cell>
        </row>
        <row r="860">
          <cell r="T860" t="str">
            <v>Dobřichov</v>
          </cell>
        </row>
        <row r="861">
          <cell r="T861" t="str">
            <v>Dobřichovice</v>
          </cell>
        </row>
        <row r="862">
          <cell r="T862" t="str">
            <v>Dobříkov</v>
          </cell>
        </row>
        <row r="863">
          <cell r="T863" t="str">
            <v>Dobříň</v>
          </cell>
        </row>
        <row r="864">
          <cell r="T864" t="str">
            <v>Dobřínsko</v>
          </cell>
        </row>
        <row r="865">
          <cell r="T865" t="str">
            <v>Dobříš</v>
          </cell>
        </row>
        <row r="866">
          <cell r="T866" t="str">
            <v>Dobřív</v>
          </cell>
        </row>
        <row r="867">
          <cell r="T867" t="str">
            <v>Dobšice</v>
          </cell>
        </row>
        <row r="868">
          <cell r="T868" t="str">
            <v>Dobšice</v>
          </cell>
        </row>
        <row r="869">
          <cell r="T869" t="str">
            <v>Dobšice</v>
          </cell>
        </row>
        <row r="870">
          <cell r="T870" t="str">
            <v>Dobšín</v>
          </cell>
        </row>
        <row r="871">
          <cell r="T871" t="str">
            <v>Dohalice</v>
          </cell>
        </row>
        <row r="872">
          <cell r="T872" t="str">
            <v>Doksany</v>
          </cell>
        </row>
        <row r="873">
          <cell r="T873" t="str">
            <v>Doksy</v>
          </cell>
        </row>
        <row r="874">
          <cell r="T874" t="str">
            <v>Doksy</v>
          </cell>
        </row>
        <row r="875">
          <cell r="T875" t="str">
            <v>Dolánky nad Ohří</v>
          </cell>
        </row>
        <row r="876">
          <cell r="T876" t="str">
            <v>Dolany</v>
          </cell>
        </row>
        <row r="877">
          <cell r="T877" t="str">
            <v>Dolany</v>
          </cell>
        </row>
        <row r="878">
          <cell r="T878" t="str">
            <v>Dolany</v>
          </cell>
        </row>
        <row r="879">
          <cell r="T879" t="str">
            <v>Dolany</v>
          </cell>
        </row>
        <row r="880">
          <cell r="T880" t="str">
            <v>Dolany</v>
          </cell>
        </row>
        <row r="881">
          <cell r="T881" t="str">
            <v>Dolany</v>
          </cell>
        </row>
        <row r="882">
          <cell r="T882" t="str">
            <v>Dolany</v>
          </cell>
        </row>
        <row r="883">
          <cell r="T883" t="str">
            <v>Dolce</v>
          </cell>
        </row>
        <row r="884">
          <cell r="T884" t="str">
            <v>Dolenice</v>
          </cell>
        </row>
        <row r="885">
          <cell r="T885" t="str">
            <v>Dolní Bečva</v>
          </cell>
        </row>
        <row r="886">
          <cell r="T886" t="str">
            <v>Dolní Bělá</v>
          </cell>
        </row>
        <row r="887">
          <cell r="T887" t="str">
            <v>Dolní Benešov</v>
          </cell>
        </row>
        <row r="888">
          <cell r="T888" t="str">
            <v>Dolní Beřkovice</v>
          </cell>
        </row>
        <row r="889">
          <cell r="T889" t="str">
            <v>Dolní Bezděkov</v>
          </cell>
        </row>
        <row r="890">
          <cell r="T890" t="str">
            <v>Dolní Bojanovice</v>
          </cell>
        </row>
        <row r="891">
          <cell r="T891" t="str">
            <v>Dolní Bousov</v>
          </cell>
        </row>
        <row r="892">
          <cell r="T892" t="str">
            <v>Dolní Branná</v>
          </cell>
        </row>
        <row r="893">
          <cell r="T893" t="str">
            <v>Dolní Brusnice</v>
          </cell>
        </row>
        <row r="894">
          <cell r="T894" t="str">
            <v>Dolní Břežany</v>
          </cell>
        </row>
        <row r="895">
          <cell r="T895" t="str">
            <v>Dolní Bukovsko</v>
          </cell>
        </row>
        <row r="896">
          <cell r="T896" t="str">
            <v>Dolní Cerekev</v>
          </cell>
        </row>
        <row r="897">
          <cell r="T897" t="str">
            <v>Dolní Čermná</v>
          </cell>
        </row>
        <row r="898">
          <cell r="T898" t="str">
            <v>Dolní Dobrouč</v>
          </cell>
        </row>
        <row r="899">
          <cell r="T899" t="str">
            <v>Dolní Domaslavice</v>
          </cell>
        </row>
        <row r="900">
          <cell r="T900" t="str">
            <v>Dolní Dubňany</v>
          </cell>
        </row>
        <row r="901">
          <cell r="T901" t="str">
            <v>Dolní Dunajovice</v>
          </cell>
        </row>
        <row r="902">
          <cell r="T902" t="str">
            <v>Dolní Dvořiště</v>
          </cell>
        </row>
        <row r="903">
          <cell r="T903" t="str">
            <v>Dolní Dvůr</v>
          </cell>
        </row>
        <row r="904">
          <cell r="T904" t="str">
            <v>Dolní Habartice</v>
          </cell>
        </row>
        <row r="905">
          <cell r="T905" t="str">
            <v>Dolní Hbity</v>
          </cell>
        </row>
        <row r="906">
          <cell r="T906" t="str">
            <v>Dolní Heřmanice</v>
          </cell>
        </row>
        <row r="907">
          <cell r="T907" t="str">
            <v>Dolní Hořice</v>
          </cell>
        </row>
        <row r="908">
          <cell r="T908" t="str">
            <v>Dolní Hradiště</v>
          </cell>
        </row>
        <row r="909">
          <cell r="T909" t="str">
            <v>Dolní Hrachovice</v>
          </cell>
        </row>
        <row r="910">
          <cell r="T910" t="str">
            <v>Dolní Chvatliny</v>
          </cell>
        </row>
        <row r="911">
          <cell r="T911" t="str">
            <v>Dolní Kalná</v>
          </cell>
        </row>
        <row r="912">
          <cell r="T912" t="str">
            <v>Dolní Kounice</v>
          </cell>
        </row>
        <row r="913">
          <cell r="T913" t="str">
            <v>Dolní Kralovice</v>
          </cell>
        </row>
        <row r="914">
          <cell r="T914" t="str">
            <v>Dolní Krupá</v>
          </cell>
        </row>
        <row r="915">
          <cell r="T915" t="str">
            <v>Dolní Krupá</v>
          </cell>
        </row>
        <row r="916">
          <cell r="T916" t="str">
            <v>Dolní Lánov</v>
          </cell>
        </row>
        <row r="917">
          <cell r="T917" t="str">
            <v>Dolní Lažany</v>
          </cell>
        </row>
        <row r="918">
          <cell r="T918" t="str">
            <v>Dolní Lhota</v>
          </cell>
        </row>
        <row r="919">
          <cell r="T919" t="str">
            <v>Dolní Lhota</v>
          </cell>
        </row>
        <row r="920">
          <cell r="T920" t="str">
            <v>Dolní Libochová</v>
          </cell>
        </row>
        <row r="921">
          <cell r="T921" t="str">
            <v>Dolní Lochov</v>
          </cell>
        </row>
        <row r="922">
          <cell r="T922" t="str">
            <v>Dolní Lomná</v>
          </cell>
        </row>
        <row r="923">
          <cell r="T923" t="str">
            <v>Dolní Loučky</v>
          </cell>
        </row>
        <row r="924">
          <cell r="T924" t="str">
            <v>Dolní Lukavice</v>
          </cell>
        </row>
        <row r="925">
          <cell r="T925" t="str">
            <v>Dolní Lutyně</v>
          </cell>
        </row>
        <row r="926">
          <cell r="T926" t="str">
            <v>Dolní Město</v>
          </cell>
        </row>
        <row r="927">
          <cell r="T927" t="str">
            <v>Dolní Morava</v>
          </cell>
        </row>
        <row r="928">
          <cell r="T928" t="str">
            <v>Dolní Moravice</v>
          </cell>
        </row>
        <row r="929">
          <cell r="T929" t="str">
            <v>Dolní Němčí</v>
          </cell>
        </row>
        <row r="930">
          <cell r="T930" t="str">
            <v>Dolní Nětčice</v>
          </cell>
        </row>
        <row r="931">
          <cell r="T931" t="str">
            <v>Dolní Nivy</v>
          </cell>
        </row>
        <row r="932">
          <cell r="T932" t="str">
            <v>Dolní Novosedly</v>
          </cell>
        </row>
        <row r="933">
          <cell r="T933" t="str">
            <v>Dolní Olešnice</v>
          </cell>
        </row>
        <row r="934">
          <cell r="T934" t="str">
            <v>Dolní Pěna</v>
          </cell>
        </row>
        <row r="935">
          <cell r="T935" t="str">
            <v>Dolní Podluží</v>
          </cell>
        </row>
        <row r="936">
          <cell r="T936" t="str">
            <v>Dolní Pohleď</v>
          </cell>
        </row>
        <row r="937">
          <cell r="T937" t="str">
            <v>Dolní Poustevna</v>
          </cell>
        </row>
        <row r="938">
          <cell r="T938" t="str">
            <v>Dolní Přím</v>
          </cell>
        </row>
        <row r="939">
          <cell r="T939" t="str">
            <v>Dolní Radechová</v>
          </cell>
        </row>
        <row r="940">
          <cell r="T940" t="str">
            <v>Dolní Roveň</v>
          </cell>
        </row>
        <row r="941">
          <cell r="T941" t="str">
            <v>Dolní Rožínka</v>
          </cell>
        </row>
        <row r="942">
          <cell r="T942" t="str">
            <v>Dolní Rychnov</v>
          </cell>
        </row>
        <row r="943">
          <cell r="T943" t="str">
            <v>Dolní Řasnice</v>
          </cell>
        </row>
        <row r="944">
          <cell r="T944" t="str">
            <v>Dolní Ředice</v>
          </cell>
        </row>
        <row r="945">
          <cell r="T945" t="str">
            <v>Dolní Slivno</v>
          </cell>
        </row>
        <row r="946">
          <cell r="T946" t="str">
            <v>Dolní Sokolovec</v>
          </cell>
        </row>
        <row r="947">
          <cell r="T947" t="str">
            <v>Dolní Stakory</v>
          </cell>
        </row>
        <row r="948">
          <cell r="T948" t="str">
            <v>Dolní Studénky</v>
          </cell>
        </row>
        <row r="949">
          <cell r="T949" t="str">
            <v>Dolní Těšice</v>
          </cell>
        </row>
        <row r="950">
          <cell r="T950" t="str">
            <v>Dolní Tošanovice</v>
          </cell>
        </row>
        <row r="951">
          <cell r="T951" t="str">
            <v>Dolní Třebonín</v>
          </cell>
        </row>
        <row r="952">
          <cell r="T952" t="str">
            <v>Dolní Újezd</v>
          </cell>
        </row>
        <row r="953">
          <cell r="T953" t="str">
            <v>Dolní Újezd</v>
          </cell>
        </row>
        <row r="954">
          <cell r="T954" t="str">
            <v>Dolní Věstonice</v>
          </cell>
        </row>
        <row r="955">
          <cell r="T955" t="str">
            <v>Dolní Vilémovice</v>
          </cell>
        </row>
        <row r="956">
          <cell r="T956" t="str">
            <v>Dolní Vilímeč</v>
          </cell>
        </row>
        <row r="957">
          <cell r="T957" t="str">
            <v>Dolní Zálezly</v>
          </cell>
        </row>
        <row r="958">
          <cell r="T958" t="str">
            <v>Dolní Zimoř</v>
          </cell>
        </row>
        <row r="959">
          <cell r="T959" t="str">
            <v>Dolní Žandov</v>
          </cell>
        </row>
        <row r="960">
          <cell r="T960" t="str">
            <v>Dolní Žďár</v>
          </cell>
        </row>
        <row r="961">
          <cell r="T961" t="str">
            <v>Dolní Životice</v>
          </cell>
        </row>
        <row r="962">
          <cell r="T962" t="str">
            <v>Doloplazy</v>
          </cell>
        </row>
        <row r="963">
          <cell r="T963" t="str">
            <v>Doloplazy</v>
          </cell>
        </row>
        <row r="964">
          <cell r="T964" t="str">
            <v>Domamil</v>
          </cell>
        </row>
        <row r="965">
          <cell r="T965" t="str">
            <v>Domanín</v>
          </cell>
        </row>
        <row r="966">
          <cell r="T966" t="str">
            <v>Domanín</v>
          </cell>
        </row>
        <row r="967">
          <cell r="T967" t="str">
            <v>Dománovice</v>
          </cell>
        </row>
        <row r="968">
          <cell r="T968" t="str">
            <v>Domašín</v>
          </cell>
        </row>
        <row r="969">
          <cell r="T969" t="str">
            <v>Domašov</v>
          </cell>
        </row>
        <row r="970">
          <cell r="T970" t="str">
            <v>Domašov nad Bystřicí</v>
          </cell>
        </row>
        <row r="971">
          <cell r="T971" t="str">
            <v>Domašov u Šternberka</v>
          </cell>
        </row>
        <row r="972">
          <cell r="T972" t="str">
            <v>Domaželice</v>
          </cell>
        </row>
        <row r="973">
          <cell r="T973" t="str">
            <v>Domažlice</v>
          </cell>
        </row>
        <row r="974">
          <cell r="T974" t="str">
            <v>Domoraz</v>
          </cell>
        </row>
        <row r="975">
          <cell r="T975" t="str">
            <v>Domousnice</v>
          </cell>
        </row>
        <row r="976">
          <cell r="T976" t="str">
            <v>Domoušice</v>
          </cell>
        </row>
        <row r="977">
          <cell r="T977" t="str">
            <v>Doňov</v>
          </cell>
        </row>
        <row r="978">
          <cell r="T978" t="str">
            <v>Doubek</v>
          </cell>
        </row>
        <row r="979">
          <cell r="T979" t="str">
            <v>Doubice</v>
          </cell>
        </row>
        <row r="980">
          <cell r="T980" t="str">
            <v>Doubrava</v>
          </cell>
        </row>
        <row r="981">
          <cell r="T981" t="str">
            <v>Doubravčice</v>
          </cell>
        </row>
        <row r="982">
          <cell r="T982" t="str">
            <v>Doubravice</v>
          </cell>
        </row>
        <row r="983">
          <cell r="T983" t="str">
            <v>Doubravice</v>
          </cell>
        </row>
        <row r="984">
          <cell r="T984" t="str">
            <v>Doubravice</v>
          </cell>
        </row>
        <row r="985">
          <cell r="T985" t="str">
            <v>Doubravice nad Svitavou</v>
          </cell>
        </row>
        <row r="986">
          <cell r="T986" t="str">
            <v>Doubravička</v>
          </cell>
        </row>
        <row r="987">
          <cell r="T987" t="str">
            <v>Doubravník</v>
          </cell>
        </row>
        <row r="988">
          <cell r="T988" t="str">
            <v>Doubravy</v>
          </cell>
        </row>
        <row r="989">
          <cell r="T989" t="str">
            <v>Doudleby</v>
          </cell>
        </row>
        <row r="990">
          <cell r="T990" t="str">
            <v>Doudleby nad Orlicí</v>
          </cell>
        </row>
        <row r="991">
          <cell r="T991" t="str">
            <v>Doupě</v>
          </cell>
        </row>
        <row r="992">
          <cell r="T992" t="str">
            <v>Drahanovice</v>
          </cell>
        </row>
        <row r="993">
          <cell r="T993" t="str">
            <v>Drahany</v>
          </cell>
        </row>
        <row r="994">
          <cell r="T994" t="str">
            <v>Drahelčice</v>
          </cell>
        </row>
        <row r="995">
          <cell r="T995" t="str">
            <v>Drahenice</v>
          </cell>
        </row>
        <row r="996">
          <cell r="T996" t="str">
            <v>Drahkov</v>
          </cell>
        </row>
        <row r="997">
          <cell r="T997" t="str">
            <v>Drahlín</v>
          </cell>
        </row>
        <row r="998">
          <cell r="T998" t="str">
            <v>Drahňovice</v>
          </cell>
        </row>
        <row r="999">
          <cell r="T999" t="str">
            <v>Drahobudice</v>
          </cell>
        </row>
        <row r="1000">
          <cell r="T1000" t="str">
            <v>Drahobuz</v>
          </cell>
        </row>
        <row r="1001">
          <cell r="T1001" t="str">
            <v>Drahonice</v>
          </cell>
        </row>
        <row r="1002">
          <cell r="T1002" t="str">
            <v>Drahonín</v>
          </cell>
        </row>
        <row r="1003">
          <cell r="T1003" t="str">
            <v>Drahoňův Újezd</v>
          </cell>
        </row>
        <row r="1004">
          <cell r="T1004" t="str">
            <v>Drahotěšice</v>
          </cell>
        </row>
        <row r="1005">
          <cell r="T1005" t="str">
            <v>Drahotín</v>
          </cell>
        </row>
        <row r="1006">
          <cell r="T1006" t="str">
            <v>Drahouš</v>
          </cell>
        </row>
        <row r="1007">
          <cell r="T1007" t="str">
            <v>Drahov</v>
          </cell>
        </row>
        <row r="1008">
          <cell r="T1008" t="str">
            <v>Drachkov</v>
          </cell>
        </row>
        <row r="1009">
          <cell r="T1009" t="str">
            <v>Dráchov</v>
          </cell>
        </row>
        <row r="1010">
          <cell r="T1010" t="str">
            <v>Drásov</v>
          </cell>
        </row>
        <row r="1011">
          <cell r="T1011" t="str">
            <v>Drásov</v>
          </cell>
        </row>
        <row r="1012">
          <cell r="T1012" t="str">
            <v>Dražeň</v>
          </cell>
        </row>
        <row r="1013">
          <cell r="T1013" t="str">
            <v>Draženov</v>
          </cell>
        </row>
        <row r="1014">
          <cell r="T1014" t="str">
            <v>Dražice</v>
          </cell>
        </row>
        <row r="1015">
          <cell r="T1015" t="str">
            <v>Dražíč</v>
          </cell>
        </row>
        <row r="1016">
          <cell r="T1016" t="str">
            <v>Dražičky</v>
          </cell>
        </row>
        <row r="1017">
          <cell r="T1017" t="str">
            <v>Drážov</v>
          </cell>
        </row>
        <row r="1018">
          <cell r="T1018" t="str">
            <v>Dražovice</v>
          </cell>
        </row>
        <row r="1019">
          <cell r="T1019" t="str">
            <v>Dražovice</v>
          </cell>
        </row>
        <row r="1020">
          <cell r="T1020" t="str">
            <v>Dražůvky</v>
          </cell>
        </row>
        <row r="1021">
          <cell r="T1021" t="str">
            <v>Drevníky</v>
          </cell>
        </row>
        <row r="1022">
          <cell r="T1022" t="str">
            <v>Drhovice</v>
          </cell>
        </row>
        <row r="1023">
          <cell r="T1023" t="str">
            <v>Drhovle</v>
          </cell>
        </row>
        <row r="1024">
          <cell r="T1024" t="str">
            <v>Drhovy</v>
          </cell>
        </row>
        <row r="1025">
          <cell r="T1025" t="str">
            <v>Drmoul</v>
          </cell>
        </row>
        <row r="1026">
          <cell r="T1026" t="str">
            <v>Drnek</v>
          </cell>
        </row>
        <row r="1027">
          <cell r="T1027" t="str">
            <v>Drnholec</v>
          </cell>
        </row>
        <row r="1028">
          <cell r="T1028" t="str">
            <v>Drnovice</v>
          </cell>
        </row>
        <row r="1029">
          <cell r="T1029" t="str">
            <v>Drnovice</v>
          </cell>
        </row>
        <row r="1030">
          <cell r="T1030" t="str">
            <v>Drnovice</v>
          </cell>
        </row>
        <row r="1031">
          <cell r="T1031" t="str">
            <v>Drobovice</v>
          </cell>
        </row>
        <row r="1032">
          <cell r="T1032" t="str">
            <v>Droužetice</v>
          </cell>
        </row>
        <row r="1033">
          <cell r="T1033" t="str">
            <v>Droužkovice</v>
          </cell>
        </row>
        <row r="1034">
          <cell r="T1034" t="str">
            <v>Drozdov</v>
          </cell>
        </row>
        <row r="1035">
          <cell r="T1035" t="str">
            <v>Drozdov</v>
          </cell>
        </row>
        <row r="1036">
          <cell r="T1036" t="str">
            <v>Drslavice</v>
          </cell>
        </row>
        <row r="1037">
          <cell r="T1037" t="str">
            <v>Drslavice</v>
          </cell>
        </row>
        <row r="1038">
          <cell r="T1038" t="str">
            <v>Druhanov</v>
          </cell>
        </row>
        <row r="1039">
          <cell r="T1039" t="str">
            <v>Drunče</v>
          </cell>
        </row>
        <row r="1040">
          <cell r="T1040" t="str">
            <v>Druztová</v>
          </cell>
        </row>
        <row r="1041">
          <cell r="T1041" t="str">
            <v>Družec</v>
          </cell>
        </row>
        <row r="1042">
          <cell r="T1042" t="str">
            <v>Drysice</v>
          </cell>
        </row>
        <row r="1043">
          <cell r="T1043" t="str">
            <v>Držkov</v>
          </cell>
        </row>
        <row r="1044">
          <cell r="T1044" t="str">
            <v>Držková</v>
          </cell>
        </row>
        <row r="1045">
          <cell r="T1045" t="str">
            <v>Držovice</v>
          </cell>
        </row>
        <row r="1046">
          <cell r="T1046" t="str">
            <v>Dřenice</v>
          </cell>
        </row>
        <row r="1047">
          <cell r="T1047" t="str">
            <v>Dřešín</v>
          </cell>
        </row>
        <row r="1048">
          <cell r="T1048" t="str">
            <v>Dřetovice</v>
          </cell>
        </row>
        <row r="1049">
          <cell r="T1049" t="str">
            <v>Dřevčice</v>
          </cell>
        </row>
        <row r="1050">
          <cell r="T1050" t="str">
            <v>Dřevěnice</v>
          </cell>
        </row>
        <row r="1051">
          <cell r="T1051" t="str">
            <v>Dřevnovice</v>
          </cell>
        </row>
        <row r="1052">
          <cell r="T1052" t="str">
            <v>Dřevohostice</v>
          </cell>
        </row>
        <row r="1053">
          <cell r="T1053" t="str">
            <v>Dřínov</v>
          </cell>
        </row>
        <row r="1054">
          <cell r="T1054" t="str">
            <v>Dřínov</v>
          </cell>
        </row>
        <row r="1055">
          <cell r="T1055" t="str">
            <v>Dřínov</v>
          </cell>
        </row>
        <row r="1056">
          <cell r="T1056" t="str">
            <v>Dřísy</v>
          </cell>
        </row>
        <row r="1057">
          <cell r="T1057" t="str">
            <v>Dříteč</v>
          </cell>
        </row>
        <row r="1058">
          <cell r="T1058" t="str">
            <v>Dříteň</v>
          </cell>
        </row>
        <row r="1059">
          <cell r="T1059" t="str">
            <v>Dub</v>
          </cell>
        </row>
        <row r="1060">
          <cell r="T1060" t="str">
            <v>Dub nad Moravou</v>
          </cell>
        </row>
        <row r="1061">
          <cell r="T1061" t="str">
            <v>Dubá</v>
          </cell>
        </row>
        <row r="1062">
          <cell r="T1062" t="str">
            <v>Dubany</v>
          </cell>
        </row>
        <row r="1063">
          <cell r="T1063" t="str">
            <v>Dubčany</v>
          </cell>
        </row>
        <row r="1064">
          <cell r="T1064" t="str">
            <v>Dubenec</v>
          </cell>
        </row>
        <row r="1065">
          <cell r="T1065" t="str">
            <v>Dubenec</v>
          </cell>
        </row>
        <row r="1066">
          <cell r="T1066" t="str">
            <v>Dubí</v>
          </cell>
        </row>
        <row r="1067">
          <cell r="T1067" t="str">
            <v>Dubicko</v>
          </cell>
        </row>
        <row r="1068">
          <cell r="T1068" t="str">
            <v>Dubičné</v>
          </cell>
        </row>
        <row r="1069">
          <cell r="T1069" t="str">
            <v>Dublovice</v>
          </cell>
        </row>
        <row r="1070">
          <cell r="T1070" t="str">
            <v>Dubňany</v>
          </cell>
        </row>
        <row r="1071">
          <cell r="T1071" t="str">
            <v>Dubné</v>
          </cell>
        </row>
        <row r="1072">
          <cell r="T1072" t="str">
            <v>Dubnice</v>
          </cell>
        </row>
        <row r="1073">
          <cell r="T1073" t="str">
            <v>Dubno</v>
          </cell>
        </row>
        <row r="1074">
          <cell r="T1074" t="str">
            <v>Dubovice</v>
          </cell>
        </row>
        <row r="1075">
          <cell r="T1075" t="str">
            <v>Dudín</v>
          </cell>
        </row>
        <row r="1076">
          <cell r="T1076" t="str">
            <v>Duchcov</v>
          </cell>
        </row>
        <row r="1077">
          <cell r="T1077" t="str">
            <v>Dukovany</v>
          </cell>
        </row>
        <row r="1078">
          <cell r="T1078" t="str">
            <v>Důl</v>
          </cell>
        </row>
        <row r="1079">
          <cell r="T1079" t="str">
            <v>Dunajovice</v>
          </cell>
        </row>
        <row r="1080">
          <cell r="T1080" t="str">
            <v>Dunice</v>
          </cell>
        </row>
        <row r="1081">
          <cell r="T1081" t="str">
            <v>Dušejov</v>
          </cell>
        </row>
        <row r="1082">
          <cell r="T1082" t="str">
            <v>Dušníky</v>
          </cell>
        </row>
        <row r="1083">
          <cell r="T1083" t="str">
            <v>Dvakačovice</v>
          </cell>
        </row>
        <row r="1084">
          <cell r="T1084" t="str">
            <v>Dvorce</v>
          </cell>
        </row>
        <row r="1085">
          <cell r="T1085" t="str">
            <v>Dvorce</v>
          </cell>
        </row>
        <row r="1086">
          <cell r="T1086" t="str">
            <v>Dvory</v>
          </cell>
        </row>
        <row r="1087">
          <cell r="T1087" t="str">
            <v>Dvory</v>
          </cell>
        </row>
        <row r="1088">
          <cell r="T1088" t="str">
            <v>Dvory nad Lužnicí</v>
          </cell>
        </row>
        <row r="1089">
          <cell r="T1089" t="str">
            <v>Dvůr Králové nad Labem</v>
          </cell>
        </row>
        <row r="1090">
          <cell r="T1090" t="str">
            <v>Dyjákovice</v>
          </cell>
        </row>
        <row r="1091">
          <cell r="T1091" t="str">
            <v>Dyjákovičky</v>
          </cell>
        </row>
        <row r="1092">
          <cell r="T1092" t="str">
            <v>Dyje</v>
          </cell>
        </row>
        <row r="1093">
          <cell r="T1093" t="str">
            <v>Dyjice</v>
          </cell>
        </row>
        <row r="1094">
          <cell r="T1094" t="str">
            <v>Dymokury</v>
          </cell>
        </row>
        <row r="1095">
          <cell r="T1095" t="str">
            <v>Dynín</v>
          </cell>
        </row>
        <row r="1096">
          <cell r="T1096" t="str">
            <v>Dýšina</v>
          </cell>
        </row>
        <row r="1097">
          <cell r="T1097" t="str">
            <v>Dzbel</v>
          </cell>
        </row>
        <row r="1098">
          <cell r="T1098" t="str">
            <v>Džbánice</v>
          </cell>
        </row>
        <row r="1099">
          <cell r="T1099" t="str">
            <v>Džbánov</v>
          </cell>
        </row>
        <row r="1100">
          <cell r="T1100" t="str">
            <v>Ejpovice</v>
          </cell>
        </row>
        <row r="1101">
          <cell r="T1101" t="str">
            <v>Erpužice</v>
          </cell>
        </row>
        <row r="1102">
          <cell r="T1102" t="str">
            <v>Eš</v>
          </cell>
        </row>
        <row r="1103">
          <cell r="T1103" t="str">
            <v>Evaň</v>
          </cell>
        </row>
        <row r="1104">
          <cell r="T1104" t="str">
            <v>Felbabka</v>
          </cell>
        </row>
        <row r="1105">
          <cell r="T1105" t="str">
            <v>Frahelž</v>
          </cell>
        </row>
        <row r="1106">
          <cell r="T1106" t="str">
            <v>Francova Lhota</v>
          </cell>
        </row>
        <row r="1107">
          <cell r="T1107" t="str">
            <v>Františkov nad Ploučnicí</v>
          </cell>
        </row>
        <row r="1108">
          <cell r="T1108" t="str">
            <v>Františkovy Lázně</v>
          </cell>
        </row>
        <row r="1109">
          <cell r="T1109" t="str">
            <v>Frenštát pod Radhoštěm</v>
          </cell>
        </row>
        <row r="1110">
          <cell r="T1110" t="str">
            <v>Fryčovice</v>
          </cell>
        </row>
        <row r="1111">
          <cell r="T1111" t="str">
            <v>Frýdek-Místek</v>
          </cell>
        </row>
        <row r="1112">
          <cell r="T1112" t="str">
            <v>Frýdlant</v>
          </cell>
        </row>
        <row r="1113">
          <cell r="T1113" t="str">
            <v>Frýdlant nad Ostravicí</v>
          </cell>
        </row>
        <row r="1114">
          <cell r="T1114" t="str">
            <v>Frýdštejn</v>
          </cell>
        </row>
        <row r="1115">
          <cell r="T1115" t="str">
            <v>Frymburk</v>
          </cell>
        </row>
        <row r="1116">
          <cell r="T1116" t="str">
            <v>Frymburk</v>
          </cell>
        </row>
        <row r="1117">
          <cell r="T1117" t="str">
            <v>Fryšava pod Žákovou horou</v>
          </cell>
        </row>
        <row r="1118">
          <cell r="T1118" t="str">
            <v>Fryšták</v>
          </cell>
        </row>
        <row r="1119">
          <cell r="T1119" t="str">
            <v>Fulnek</v>
          </cell>
        </row>
        <row r="1120">
          <cell r="T1120" t="str">
            <v>Golčův Jeníkov</v>
          </cell>
        </row>
        <row r="1121">
          <cell r="T1121" t="str">
            <v>Grešlové Mýto</v>
          </cell>
        </row>
        <row r="1122">
          <cell r="T1122" t="str">
            <v>Gruna</v>
          </cell>
        </row>
        <row r="1123">
          <cell r="T1123" t="str">
            <v>Grunta</v>
          </cell>
        </row>
        <row r="1124">
          <cell r="T1124" t="str">
            <v>Grygov</v>
          </cell>
        </row>
        <row r="1125">
          <cell r="T1125" t="str">
            <v>Grymov</v>
          </cell>
        </row>
        <row r="1126">
          <cell r="T1126" t="str">
            <v>Habartice</v>
          </cell>
        </row>
        <row r="1127">
          <cell r="T1127" t="str">
            <v>Habartov</v>
          </cell>
        </row>
        <row r="1128">
          <cell r="T1128" t="str">
            <v>Habrovany</v>
          </cell>
        </row>
        <row r="1129">
          <cell r="T1129" t="str">
            <v>Habrovany</v>
          </cell>
        </row>
        <row r="1130">
          <cell r="T1130" t="str">
            <v>Habrůvka</v>
          </cell>
        </row>
        <row r="1131">
          <cell r="T1131" t="str">
            <v>Habry</v>
          </cell>
        </row>
        <row r="1132">
          <cell r="T1132" t="str">
            <v>Habří</v>
          </cell>
        </row>
        <row r="1133">
          <cell r="T1133" t="str">
            <v>Habřina</v>
          </cell>
        </row>
        <row r="1134">
          <cell r="T1134" t="str">
            <v>Hačky</v>
          </cell>
        </row>
        <row r="1135">
          <cell r="T1135" t="str">
            <v>Hadravova Rosička</v>
          </cell>
        </row>
        <row r="1136">
          <cell r="T1136" t="str">
            <v>Háj u Duchcova</v>
          </cell>
        </row>
        <row r="1137">
          <cell r="T1137" t="str">
            <v>Háj ve Slezsku</v>
          </cell>
        </row>
        <row r="1138">
          <cell r="T1138" t="str">
            <v>Hajany</v>
          </cell>
        </row>
        <row r="1139">
          <cell r="T1139" t="str">
            <v>Hajany</v>
          </cell>
        </row>
        <row r="1140">
          <cell r="T1140" t="str">
            <v>Háje</v>
          </cell>
        </row>
        <row r="1141">
          <cell r="T1141" t="str">
            <v>Háje nad Jizerou</v>
          </cell>
        </row>
        <row r="1142">
          <cell r="T1142" t="str">
            <v>Hájek</v>
          </cell>
        </row>
        <row r="1143">
          <cell r="T1143" t="str">
            <v>Hájek</v>
          </cell>
        </row>
        <row r="1144">
          <cell r="T1144" t="str">
            <v>Hajnice</v>
          </cell>
        </row>
        <row r="1145">
          <cell r="T1145" t="str">
            <v>Halámky</v>
          </cell>
        </row>
        <row r="1146">
          <cell r="T1146" t="str">
            <v>Halenkov</v>
          </cell>
        </row>
        <row r="1147">
          <cell r="T1147" t="str">
            <v>Halenkovice</v>
          </cell>
        </row>
        <row r="1148">
          <cell r="T1148" t="str">
            <v>Haluzice</v>
          </cell>
        </row>
        <row r="1149">
          <cell r="T1149" t="str">
            <v>Halže</v>
          </cell>
        </row>
        <row r="1150">
          <cell r="T1150" t="str">
            <v>Hamr</v>
          </cell>
        </row>
        <row r="1151">
          <cell r="T1151" t="str">
            <v>Hamr na Jezeře</v>
          </cell>
        </row>
        <row r="1152">
          <cell r="T1152" t="str">
            <v>Hamry</v>
          </cell>
        </row>
        <row r="1153">
          <cell r="T1153" t="str">
            <v>Hamry</v>
          </cell>
        </row>
        <row r="1154">
          <cell r="T1154" t="str">
            <v>Hamry nad Sázavou</v>
          </cell>
        </row>
        <row r="1155">
          <cell r="T1155" t="str">
            <v>Haňovice</v>
          </cell>
        </row>
        <row r="1156">
          <cell r="T1156" t="str">
            <v>Hanušovice</v>
          </cell>
        </row>
        <row r="1157">
          <cell r="T1157" t="str">
            <v>Harrachov</v>
          </cell>
        </row>
        <row r="1158">
          <cell r="T1158" t="str">
            <v>Hartinkov</v>
          </cell>
        </row>
        <row r="1159">
          <cell r="T1159" t="str">
            <v>Hartmanice</v>
          </cell>
        </row>
        <row r="1160">
          <cell r="T1160" t="str">
            <v>Hartmanice</v>
          </cell>
        </row>
        <row r="1161">
          <cell r="T1161" t="str">
            <v>Hartmanice</v>
          </cell>
        </row>
        <row r="1162">
          <cell r="T1162" t="str">
            <v>Hartvíkovice</v>
          </cell>
        </row>
        <row r="1163">
          <cell r="T1163" t="str">
            <v>Haškovcova Lhota</v>
          </cell>
        </row>
        <row r="1164">
          <cell r="T1164" t="str">
            <v>Hať</v>
          </cell>
        </row>
        <row r="1165">
          <cell r="T1165" t="str">
            <v>Hatín</v>
          </cell>
        </row>
        <row r="1166">
          <cell r="T1166" t="str">
            <v>Havířov</v>
          </cell>
        </row>
        <row r="1167">
          <cell r="T1167" t="str">
            <v>Havlíčkova Borová</v>
          </cell>
        </row>
        <row r="1168">
          <cell r="T1168" t="str">
            <v>Havlíčkův Brod</v>
          </cell>
        </row>
        <row r="1169">
          <cell r="T1169" t="str">
            <v>Havlovice</v>
          </cell>
        </row>
        <row r="1170">
          <cell r="T1170" t="str">
            <v>Havraň</v>
          </cell>
        </row>
        <row r="1171">
          <cell r="T1171" t="str">
            <v>Havraníky</v>
          </cell>
        </row>
        <row r="1172">
          <cell r="T1172" t="str">
            <v>Hazlov</v>
          </cell>
        </row>
        <row r="1173">
          <cell r="T1173" t="str">
            <v>Hejná</v>
          </cell>
        </row>
        <row r="1174">
          <cell r="T1174" t="str">
            <v>Hejnice</v>
          </cell>
        </row>
        <row r="1175">
          <cell r="T1175" t="str">
            <v>Hejnice</v>
          </cell>
        </row>
        <row r="1176">
          <cell r="T1176" t="str">
            <v>Hejtmánkovice</v>
          </cell>
        </row>
        <row r="1177">
          <cell r="T1177" t="str">
            <v>Helvíkovice</v>
          </cell>
        </row>
        <row r="1178">
          <cell r="T1178" t="str">
            <v>Herálec</v>
          </cell>
        </row>
        <row r="1179">
          <cell r="T1179" t="str">
            <v>Herálec</v>
          </cell>
        </row>
        <row r="1180">
          <cell r="T1180" t="str">
            <v>Heraltice</v>
          </cell>
        </row>
        <row r="1181">
          <cell r="T1181" t="str">
            <v>Herink</v>
          </cell>
        </row>
        <row r="1182">
          <cell r="T1182" t="str">
            <v>Heroltice</v>
          </cell>
        </row>
        <row r="1183">
          <cell r="T1183" t="str">
            <v>Heršpice</v>
          </cell>
        </row>
        <row r="1184">
          <cell r="T1184" t="str">
            <v>Heřmaň</v>
          </cell>
        </row>
        <row r="1185">
          <cell r="T1185" t="str">
            <v>Heřmaň</v>
          </cell>
        </row>
        <row r="1186">
          <cell r="T1186" t="str">
            <v>Heřmaneč</v>
          </cell>
        </row>
        <row r="1187">
          <cell r="T1187" t="str">
            <v>Heřmanice</v>
          </cell>
        </row>
        <row r="1188">
          <cell r="T1188" t="str">
            <v>Heřmanice</v>
          </cell>
        </row>
        <row r="1189">
          <cell r="T1189" t="str">
            <v>Heřmanice</v>
          </cell>
        </row>
        <row r="1190">
          <cell r="T1190" t="str">
            <v>Heřmanice u Oder</v>
          </cell>
        </row>
        <row r="1191">
          <cell r="T1191" t="str">
            <v>Heřmaničky</v>
          </cell>
        </row>
        <row r="1192">
          <cell r="T1192" t="str">
            <v>Heřmánkovice</v>
          </cell>
        </row>
        <row r="1193">
          <cell r="T1193" t="str">
            <v>Heřmánky</v>
          </cell>
        </row>
        <row r="1194">
          <cell r="T1194" t="str">
            <v>Heřmanov</v>
          </cell>
        </row>
        <row r="1195">
          <cell r="T1195" t="str">
            <v>Heřmanov</v>
          </cell>
        </row>
        <row r="1196">
          <cell r="T1196" t="str">
            <v>Heřmanova Huť</v>
          </cell>
        </row>
        <row r="1197">
          <cell r="T1197" t="str">
            <v>Heřmanovice</v>
          </cell>
        </row>
        <row r="1198">
          <cell r="T1198" t="str">
            <v>Heřmanův Městec</v>
          </cell>
        </row>
        <row r="1199">
          <cell r="T1199" t="str">
            <v>Hevlín</v>
          </cell>
        </row>
        <row r="1200">
          <cell r="T1200" t="str">
            <v>Hladké Životice</v>
          </cell>
        </row>
        <row r="1201">
          <cell r="T1201" t="str">
            <v>Hladov</v>
          </cell>
        </row>
        <row r="1202">
          <cell r="T1202" t="str">
            <v>Hlasivo</v>
          </cell>
        </row>
        <row r="1203">
          <cell r="T1203" t="str">
            <v>Hlásná Třebaň</v>
          </cell>
        </row>
        <row r="1204">
          <cell r="T1204" t="str">
            <v>Hlásnice</v>
          </cell>
        </row>
        <row r="1205">
          <cell r="T1205" t="str">
            <v>Hlavatce</v>
          </cell>
        </row>
        <row r="1206">
          <cell r="T1206" t="str">
            <v>Hlavatce</v>
          </cell>
        </row>
        <row r="1207">
          <cell r="T1207" t="str">
            <v>Hlavečník</v>
          </cell>
        </row>
        <row r="1208">
          <cell r="T1208" t="str">
            <v>Hlavenec</v>
          </cell>
        </row>
        <row r="1209">
          <cell r="T1209" t="str">
            <v>Hlavice</v>
          </cell>
        </row>
        <row r="1210">
          <cell r="T1210" t="str">
            <v>Hlavnice</v>
          </cell>
        </row>
        <row r="1211">
          <cell r="T1211" t="str">
            <v>Hlavňovice</v>
          </cell>
        </row>
        <row r="1212">
          <cell r="T1212" t="str">
            <v>Hlína</v>
          </cell>
        </row>
        <row r="1213">
          <cell r="T1213" t="str">
            <v>Hlince</v>
          </cell>
        </row>
        <row r="1214">
          <cell r="T1214" t="str">
            <v>Hlincová Hora</v>
          </cell>
        </row>
        <row r="1215">
          <cell r="T1215" t="str">
            <v>Hlinka</v>
          </cell>
        </row>
        <row r="1216">
          <cell r="T1216" t="str">
            <v>Hlinná</v>
          </cell>
        </row>
        <row r="1217">
          <cell r="T1217" t="str">
            <v>Hlinsko</v>
          </cell>
        </row>
        <row r="1218">
          <cell r="T1218" t="str">
            <v>Hlinsko</v>
          </cell>
        </row>
        <row r="1219">
          <cell r="T1219" t="str">
            <v>Hlízov</v>
          </cell>
        </row>
        <row r="1220">
          <cell r="T1220" t="str">
            <v>Hlohová</v>
          </cell>
        </row>
        <row r="1221">
          <cell r="T1221" t="str">
            <v>Hlohovčice</v>
          </cell>
        </row>
        <row r="1222">
          <cell r="T1222" t="str">
            <v>Hlohovec</v>
          </cell>
        </row>
        <row r="1223">
          <cell r="T1223" t="str">
            <v>Hlohovice</v>
          </cell>
        </row>
        <row r="1224">
          <cell r="T1224" t="str">
            <v>Hlubočany</v>
          </cell>
        </row>
        <row r="1225">
          <cell r="T1225" t="str">
            <v>Hlubočec</v>
          </cell>
        </row>
        <row r="1226">
          <cell r="T1226" t="str">
            <v>Hlubočky</v>
          </cell>
        </row>
        <row r="1227">
          <cell r="T1227" t="str">
            <v>Hluboká</v>
          </cell>
        </row>
        <row r="1228">
          <cell r="T1228" t="str">
            <v>Hluboká nad Vltavou</v>
          </cell>
        </row>
        <row r="1229">
          <cell r="T1229" t="str">
            <v>Hluboké</v>
          </cell>
        </row>
        <row r="1230">
          <cell r="T1230" t="str">
            <v>Hluboké Dvory</v>
          </cell>
        </row>
        <row r="1231">
          <cell r="T1231" t="str">
            <v>Hluboké Mašůvky</v>
          </cell>
        </row>
        <row r="1232">
          <cell r="T1232" t="str">
            <v>Hluboš</v>
          </cell>
        </row>
        <row r="1233">
          <cell r="T1233" t="str">
            <v>Hlubyně</v>
          </cell>
        </row>
        <row r="1234">
          <cell r="T1234" t="str">
            <v>Hlučín</v>
          </cell>
        </row>
        <row r="1235">
          <cell r="T1235" t="str">
            <v>Hluchov</v>
          </cell>
        </row>
        <row r="1236">
          <cell r="T1236" t="str">
            <v>Hluk</v>
          </cell>
        </row>
        <row r="1237">
          <cell r="T1237" t="str">
            <v>Hlupín</v>
          </cell>
        </row>
        <row r="1238">
          <cell r="T1238" t="str">
            <v>Hlušice</v>
          </cell>
        </row>
        <row r="1239">
          <cell r="T1239" t="str">
            <v>Hlušovice</v>
          </cell>
        </row>
        <row r="1240">
          <cell r="T1240" t="str">
            <v>Hnačov</v>
          </cell>
        </row>
        <row r="1241">
          <cell r="T1241" t="str">
            <v>Hnanice</v>
          </cell>
        </row>
        <row r="1242">
          <cell r="T1242" t="str">
            <v>Hnátnice</v>
          </cell>
        </row>
        <row r="1243">
          <cell r="T1243" t="str">
            <v>Hněvčeves</v>
          </cell>
        </row>
        <row r="1244">
          <cell r="T1244" t="str">
            <v>Hněvkovice</v>
          </cell>
        </row>
        <row r="1245">
          <cell r="T1245" t="str">
            <v>Hněvnice</v>
          </cell>
        </row>
        <row r="1246">
          <cell r="T1246" t="str">
            <v>Hněvošice</v>
          </cell>
        </row>
        <row r="1247">
          <cell r="T1247" t="str">
            <v>Hněvotín</v>
          </cell>
        </row>
        <row r="1248">
          <cell r="T1248" t="str">
            <v>Hnojice</v>
          </cell>
        </row>
        <row r="1249">
          <cell r="T1249" t="str">
            <v>Hnojník</v>
          </cell>
        </row>
        <row r="1250">
          <cell r="T1250" t="str">
            <v>Hobšovice</v>
          </cell>
        </row>
        <row r="1251">
          <cell r="T1251" t="str">
            <v>Hodějice</v>
          </cell>
        </row>
        <row r="1252">
          <cell r="T1252" t="str">
            <v>Hodětín</v>
          </cell>
        </row>
        <row r="1253">
          <cell r="T1253" t="str">
            <v>Hodice</v>
          </cell>
        </row>
        <row r="1254">
          <cell r="T1254" t="str">
            <v>Hodíškov</v>
          </cell>
        </row>
        <row r="1255">
          <cell r="T1255" t="str">
            <v>Hodkovice nad Mohelkou</v>
          </cell>
        </row>
        <row r="1256">
          <cell r="T1256" t="str">
            <v>Hodonice</v>
          </cell>
        </row>
        <row r="1257">
          <cell r="T1257" t="str">
            <v>Hodonice</v>
          </cell>
        </row>
        <row r="1258">
          <cell r="T1258" t="str">
            <v>Hodonín</v>
          </cell>
        </row>
        <row r="1259">
          <cell r="T1259" t="str">
            <v>Hodonín</v>
          </cell>
        </row>
        <row r="1260">
          <cell r="T1260" t="str">
            <v>Hodonín</v>
          </cell>
        </row>
        <row r="1261">
          <cell r="T1261" t="str">
            <v>Hodov</v>
          </cell>
        </row>
        <row r="1262">
          <cell r="T1262" t="str">
            <v>Hodslavice</v>
          </cell>
        </row>
        <row r="1263">
          <cell r="T1263" t="str">
            <v>Hojanovice</v>
          </cell>
        </row>
        <row r="1264">
          <cell r="T1264" t="str">
            <v>Hojkov</v>
          </cell>
        </row>
        <row r="1265">
          <cell r="T1265" t="str">
            <v>Hojovice</v>
          </cell>
        </row>
        <row r="1266">
          <cell r="T1266" t="str">
            <v>Holany</v>
          </cell>
        </row>
        <row r="1267">
          <cell r="T1267" t="str">
            <v>Holasice</v>
          </cell>
        </row>
        <row r="1268">
          <cell r="T1268" t="str">
            <v>Holasovice</v>
          </cell>
        </row>
        <row r="1269">
          <cell r="T1269" t="str">
            <v>Holčovice</v>
          </cell>
        </row>
        <row r="1270">
          <cell r="T1270" t="str">
            <v>Holedeč</v>
          </cell>
        </row>
        <row r="1271">
          <cell r="T1271" t="str">
            <v>Holenice</v>
          </cell>
        </row>
        <row r="1272">
          <cell r="T1272" t="str">
            <v>Holešov</v>
          </cell>
        </row>
        <row r="1273">
          <cell r="T1273" t="str">
            <v>Holetín</v>
          </cell>
        </row>
        <row r="1274">
          <cell r="T1274" t="str">
            <v>Holice</v>
          </cell>
        </row>
        <row r="1275">
          <cell r="T1275" t="str">
            <v>Holín</v>
          </cell>
        </row>
        <row r="1276">
          <cell r="T1276" t="str">
            <v>Holohlavy</v>
          </cell>
        </row>
        <row r="1277">
          <cell r="T1277" t="str">
            <v>Holotín</v>
          </cell>
        </row>
        <row r="1278">
          <cell r="T1278" t="str">
            <v>Holoubkov</v>
          </cell>
        </row>
        <row r="1279">
          <cell r="T1279" t="str">
            <v>Holovousy</v>
          </cell>
        </row>
        <row r="1280">
          <cell r="T1280" t="str">
            <v>Holovousy</v>
          </cell>
        </row>
        <row r="1281">
          <cell r="T1281" t="str">
            <v>Holštejn</v>
          </cell>
        </row>
        <row r="1282">
          <cell r="T1282" t="str">
            <v>Holubice</v>
          </cell>
        </row>
        <row r="1283">
          <cell r="T1283" t="str">
            <v>Holubice</v>
          </cell>
        </row>
        <row r="1284">
          <cell r="T1284" t="str">
            <v>Holubov</v>
          </cell>
        </row>
        <row r="1285">
          <cell r="T1285" t="str">
            <v>Holýšov</v>
          </cell>
        </row>
        <row r="1286">
          <cell r="T1286" t="str">
            <v>Homole</v>
          </cell>
        </row>
        <row r="1287">
          <cell r="T1287" t="str">
            <v>Homole u Panny</v>
          </cell>
        </row>
        <row r="1288">
          <cell r="T1288" t="str">
            <v>Honbice</v>
          </cell>
        </row>
        <row r="1289">
          <cell r="T1289" t="str">
            <v>Honětice</v>
          </cell>
        </row>
        <row r="1290">
          <cell r="T1290" t="str">
            <v>Honezovice</v>
          </cell>
        </row>
        <row r="1291">
          <cell r="T1291" t="str">
            <v>Hora Svaté Kateřiny</v>
          </cell>
        </row>
        <row r="1292">
          <cell r="T1292" t="str">
            <v>Hora Svatého Šebestiána</v>
          </cell>
        </row>
        <row r="1293">
          <cell r="T1293" t="str">
            <v>Hora Svatého Václava</v>
          </cell>
        </row>
        <row r="1294">
          <cell r="T1294" t="str">
            <v>Horažďovice</v>
          </cell>
        </row>
        <row r="1295">
          <cell r="T1295" t="str">
            <v>Horčápsko</v>
          </cell>
        </row>
        <row r="1296">
          <cell r="T1296" t="str">
            <v>Horka</v>
          </cell>
        </row>
        <row r="1297">
          <cell r="T1297" t="str">
            <v>Horka I</v>
          </cell>
        </row>
        <row r="1298">
          <cell r="T1298" t="str">
            <v>Horka II</v>
          </cell>
        </row>
        <row r="1299">
          <cell r="T1299" t="str">
            <v>Horka nad Moravou</v>
          </cell>
        </row>
        <row r="1300">
          <cell r="T1300" t="str">
            <v>Horka u Staré Paky</v>
          </cell>
        </row>
        <row r="1301">
          <cell r="T1301" t="str">
            <v>Horky</v>
          </cell>
        </row>
        <row r="1302">
          <cell r="T1302" t="str">
            <v>Horky</v>
          </cell>
        </row>
        <row r="1303">
          <cell r="T1303" t="str">
            <v>Horky nad Jizerou</v>
          </cell>
        </row>
        <row r="1304">
          <cell r="T1304" t="str">
            <v>Horní Bečva</v>
          </cell>
        </row>
        <row r="1305">
          <cell r="T1305" t="str">
            <v>Horní Bělá</v>
          </cell>
        </row>
        <row r="1306">
          <cell r="T1306" t="str">
            <v>Horní Benešov</v>
          </cell>
        </row>
        <row r="1307">
          <cell r="T1307" t="str">
            <v>Horní Beřkovice</v>
          </cell>
        </row>
        <row r="1308">
          <cell r="T1308" t="str">
            <v>Horní Bezděkov</v>
          </cell>
        </row>
        <row r="1309">
          <cell r="T1309" t="str">
            <v>Horní Blatná</v>
          </cell>
        </row>
        <row r="1310">
          <cell r="T1310" t="str">
            <v>Horní Bludovice</v>
          </cell>
        </row>
        <row r="1311">
          <cell r="T1311" t="str">
            <v>Horní Bojanovice</v>
          </cell>
        </row>
        <row r="1312">
          <cell r="T1312" t="str">
            <v>Horní Bradlo</v>
          </cell>
        </row>
        <row r="1313">
          <cell r="T1313" t="str">
            <v>Horní Branná</v>
          </cell>
        </row>
        <row r="1314">
          <cell r="T1314" t="str">
            <v>Horní Brusnice</v>
          </cell>
        </row>
        <row r="1315">
          <cell r="T1315" t="str">
            <v>Horní Břečkov</v>
          </cell>
        </row>
        <row r="1316">
          <cell r="T1316" t="str">
            <v>Horní Bříza</v>
          </cell>
        </row>
        <row r="1317">
          <cell r="T1317" t="str">
            <v>Horní Bukovina</v>
          </cell>
        </row>
        <row r="1318">
          <cell r="T1318" t="str">
            <v>Horní Cerekev</v>
          </cell>
        </row>
        <row r="1319">
          <cell r="T1319" t="str">
            <v>Horní Čermná</v>
          </cell>
        </row>
        <row r="1320">
          <cell r="T1320" t="str">
            <v>Horní Domaslavice</v>
          </cell>
        </row>
        <row r="1321">
          <cell r="T1321" t="str">
            <v>Horní Dubenky</v>
          </cell>
        </row>
        <row r="1322">
          <cell r="T1322" t="str">
            <v>Horní Dubňany</v>
          </cell>
        </row>
        <row r="1323">
          <cell r="T1323" t="str">
            <v>Horní Dunajovice</v>
          </cell>
        </row>
        <row r="1324">
          <cell r="T1324" t="str">
            <v>Horní Dvořiště</v>
          </cell>
        </row>
        <row r="1325">
          <cell r="T1325" t="str">
            <v>Horní Habartice</v>
          </cell>
        </row>
        <row r="1326">
          <cell r="T1326" t="str">
            <v>Horní Heřmanice</v>
          </cell>
        </row>
        <row r="1327">
          <cell r="T1327" t="str">
            <v>Horní Heřmanice</v>
          </cell>
        </row>
        <row r="1328">
          <cell r="T1328" t="str">
            <v>Horní Jelení</v>
          </cell>
        </row>
        <row r="1329">
          <cell r="T1329" t="str">
            <v>Horní Jiřetín</v>
          </cell>
        </row>
        <row r="1330">
          <cell r="T1330" t="str">
            <v>Horní Kalná</v>
          </cell>
        </row>
        <row r="1331">
          <cell r="T1331" t="str">
            <v>Horní Kamenice</v>
          </cell>
        </row>
        <row r="1332">
          <cell r="T1332" t="str">
            <v>Horní Kněžeklady</v>
          </cell>
        </row>
        <row r="1333">
          <cell r="T1333" t="str">
            <v>Horní Kounice</v>
          </cell>
        </row>
        <row r="1334">
          <cell r="T1334" t="str">
            <v>Horní Kozolupy</v>
          </cell>
        </row>
        <row r="1335">
          <cell r="T1335" t="str">
            <v>Horní Krupá</v>
          </cell>
        </row>
        <row r="1336">
          <cell r="T1336" t="str">
            <v>Horní Kruty</v>
          </cell>
        </row>
        <row r="1337">
          <cell r="T1337" t="str">
            <v>Horní Lapač</v>
          </cell>
        </row>
        <row r="1338">
          <cell r="T1338" t="str">
            <v>Horní Lhota</v>
          </cell>
        </row>
        <row r="1339">
          <cell r="T1339" t="str">
            <v>Horní Lhota</v>
          </cell>
        </row>
        <row r="1340">
          <cell r="T1340" t="str">
            <v>Horní Libchava</v>
          </cell>
        </row>
        <row r="1341">
          <cell r="T1341" t="str">
            <v>Horní Libochová</v>
          </cell>
        </row>
        <row r="1342">
          <cell r="T1342" t="str">
            <v>Horní Lideč</v>
          </cell>
        </row>
        <row r="1343">
          <cell r="T1343" t="str">
            <v>Horní Loděnice</v>
          </cell>
        </row>
        <row r="1344">
          <cell r="T1344" t="str">
            <v>Horní Lomná</v>
          </cell>
        </row>
        <row r="1345">
          <cell r="T1345" t="str">
            <v>Horní Loučky</v>
          </cell>
        </row>
        <row r="1346">
          <cell r="T1346" t="str">
            <v>Horní Lukavice</v>
          </cell>
        </row>
        <row r="1347">
          <cell r="T1347" t="str">
            <v>Horní Maršov</v>
          </cell>
        </row>
        <row r="1348">
          <cell r="T1348" t="str">
            <v>Horní Město</v>
          </cell>
        </row>
        <row r="1349">
          <cell r="T1349" t="str">
            <v>Horní Meziříčko</v>
          </cell>
        </row>
        <row r="1350">
          <cell r="T1350" t="str">
            <v>Horní Moštěnice</v>
          </cell>
        </row>
        <row r="1351">
          <cell r="T1351" t="str">
            <v>Horní Myslová</v>
          </cell>
        </row>
        <row r="1352">
          <cell r="T1352" t="str">
            <v>Horní Němčí</v>
          </cell>
        </row>
        <row r="1353">
          <cell r="T1353" t="str">
            <v>Horní Němčice</v>
          </cell>
        </row>
        <row r="1354">
          <cell r="T1354" t="str">
            <v>Horní Nětčice</v>
          </cell>
        </row>
        <row r="1355">
          <cell r="T1355" t="str">
            <v>Horní Olešnice</v>
          </cell>
        </row>
        <row r="1356">
          <cell r="T1356" t="str">
            <v>Horní Paseka</v>
          </cell>
        </row>
        <row r="1357">
          <cell r="T1357" t="str">
            <v>Horní Pěna</v>
          </cell>
        </row>
        <row r="1358">
          <cell r="T1358" t="str">
            <v>Horní Planá</v>
          </cell>
        </row>
        <row r="1359">
          <cell r="T1359" t="str">
            <v>Horní Počaply</v>
          </cell>
        </row>
        <row r="1360">
          <cell r="T1360" t="str">
            <v>Horní Podluží</v>
          </cell>
        </row>
        <row r="1361">
          <cell r="T1361" t="str">
            <v>Horní Police</v>
          </cell>
        </row>
        <row r="1362">
          <cell r="T1362" t="str">
            <v>Horní Poříčí</v>
          </cell>
        </row>
        <row r="1363">
          <cell r="T1363" t="str">
            <v>Horní Poříčí</v>
          </cell>
        </row>
        <row r="1364">
          <cell r="T1364" t="str">
            <v>Horní Radechová</v>
          </cell>
        </row>
        <row r="1365">
          <cell r="T1365" t="str">
            <v>Horní Radouň</v>
          </cell>
        </row>
        <row r="1366">
          <cell r="T1366" t="str">
            <v>Horní Radslavice</v>
          </cell>
        </row>
        <row r="1367">
          <cell r="T1367" t="str">
            <v>Horní Rápotice</v>
          </cell>
        </row>
        <row r="1368">
          <cell r="T1368" t="str">
            <v>Horní Rožínka</v>
          </cell>
        </row>
        <row r="1369">
          <cell r="T1369" t="str">
            <v>Horní Řasnice</v>
          </cell>
        </row>
        <row r="1370">
          <cell r="T1370" t="str">
            <v>Horní Ředice</v>
          </cell>
        </row>
        <row r="1371">
          <cell r="T1371" t="str">
            <v>Horní Řepčice</v>
          </cell>
        </row>
        <row r="1372">
          <cell r="T1372" t="str">
            <v>Horní Skrýchov</v>
          </cell>
        </row>
        <row r="1373">
          <cell r="T1373" t="str">
            <v>Horní Slatina</v>
          </cell>
        </row>
        <row r="1374">
          <cell r="T1374" t="str">
            <v>Horní Slavkov</v>
          </cell>
        </row>
        <row r="1375">
          <cell r="T1375" t="str">
            <v>Horní Slivno</v>
          </cell>
        </row>
        <row r="1376">
          <cell r="T1376" t="str">
            <v>Horní Smrčné</v>
          </cell>
        </row>
        <row r="1377">
          <cell r="T1377" t="str">
            <v>Horní Smržov</v>
          </cell>
        </row>
        <row r="1378">
          <cell r="T1378" t="str">
            <v>Horní Stropnice</v>
          </cell>
        </row>
        <row r="1379">
          <cell r="T1379" t="str">
            <v>Horní Studénky</v>
          </cell>
        </row>
        <row r="1380">
          <cell r="T1380" t="str">
            <v>Horní Suchá</v>
          </cell>
        </row>
        <row r="1381">
          <cell r="T1381" t="str">
            <v>Horní Štěpánov</v>
          </cell>
        </row>
        <row r="1382">
          <cell r="T1382" t="str">
            <v>Horní Těšice</v>
          </cell>
        </row>
        <row r="1383">
          <cell r="T1383" t="str">
            <v>Horní Tošanovice</v>
          </cell>
        </row>
        <row r="1384">
          <cell r="T1384" t="str">
            <v>Horní Třešňovec</v>
          </cell>
        </row>
        <row r="1385">
          <cell r="T1385" t="str">
            <v>Horní Újezd</v>
          </cell>
        </row>
        <row r="1386">
          <cell r="T1386" t="str">
            <v>Horní Újezd</v>
          </cell>
        </row>
        <row r="1387">
          <cell r="T1387" t="str">
            <v>Horní Újezd</v>
          </cell>
        </row>
        <row r="1388">
          <cell r="T1388" t="str">
            <v>Horní Ves</v>
          </cell>
        </row>
        <row r="1389">
          <cell r="T1389" t="str">
            <v>Horní Věstonice</v>
          </cell>
        </row>
        <row r="1390">
          <cell r="T1390" t="str">
            <v>Horní Vilémovice</v>
          </cell>
        </row>
        <row r="1391">
          <cell r="T1391" t="str">
            <v>Horní Vltavice</v>
          </cell>
        </row>
        <row r="1392">
          <cell r="T1392" t="str">
            <v>Horní Životice</v>
          </cell>
        </row>
        <row r="1393">
          <cell r="T1393" t="str">
            <v>Hornice</v>
          </cell>
        </row>
        <row r="1394">
          <cell r="T1394" t="str">
            <v>Hornosín</v>
          </cell>
        </row>
        <row r="1395">
          <cell r="T1395" t="str">
            <v>Horoměřice</v>
          </cell>
        </row>
        <row r="1396">
          <cell r="T1396" t="str">
            <v>Horosedly</v>
          </cell>
        </row>
        <row r="1397">
          <cell r="T1397" t="str">
            <v>Horoušany</v>
          </cell>
        </row>
        <row r="1398">
          <cell r="T1398" t="str">
            <v>Horská Kvilda</v>
          </cell>
        </row>
        <row r="1399">
          <cell r="T1399" t="str">
            <v>Horšice</v>
          </cell>
        </row>
        <row r="1400">
          <cell r="T1400" t="str">
            <v>Horšovský Týn</v>
          </cell>
        </row>
        <row r="1401">
          <cell r="T1401" t="str">
            <v>Horušice</v>
          </cell>
        </row>
        <row r="1402">
          <cell r="T1402" t="str">
            <v>Hory</v>
          </cell>
        </row>
        <row r="1403">
          <cell r="T1403" t="str">
            <v>Hořany</v>
          </cell>
        </row>
        <row r="1404">
          <cell r="T1404" t="str">
            <v>Hořátev</v>
          </cell>
        </row>
        <row r="1405">
          <cell r="T1405" t="str">
            <v>Hořenice</v>
          </cell>
        </row>
        <row r="1406">
          <cell r="T1406" t="str">
            <v>Hořepník</v>
          </cell>
        </row>
        <row r="1407">
          <cell r="T1407" t="str">
            <v>Hořesedly</v>
          </cell>
        </row>
        <row r="1408">
          <cell r="T1408" t="str">
            <v>Hořešovice</v>
          </cell>
        </row>
        <row r="1409">
          <cell r="T1409" t="str">
            <v>Hořešovičky</v>
          </cell>
        </row>
        <row r="1410">
          <cell r="T1410" t="str">
            <v>Hořice</v>
          </cell>
        </row>
        <row r="1411">
          <cell r="T1411" t="str">
            <v>Hořice</v>
          </cell>
        </row>
        <row r="1412">
          <cell r="T1412" t="str">
            <v>Hořice na Šumavě</v>
          </cell>
        </row>
        <row r="1413">
          <cell r="T1413" t="str">
            <v>Hořičky</v>
          </cell>
        </row>
        <row r="1414">
          <cell r="T1414" t="str">
            <v>Hořín</v>
          </cell>
        </row>
        <row r="1415">
          <cell r="T1415" t="str">
            <v>Hořiněves</v>
          </cell>
        </row>
        <row r="1416">
          <cell r="T1416" t="str">
            <v>Hořovice</v>
          </cell>
        </row>
        <row r="1417">
          <cell r="T1417" t="str">
            <v>Hořovičky</v>
          </cell>
        </row>
        <row r="1418">
          <cell r="T1418" t="str">
            <v>Hosín</v>
          </cell>
        </row>
        <row r="1419">
          <cell r="T1419" t="str">
            <v>Hoslovice</v>
          </cell>
        </row>
        <row r="1420">
          <cell r="T1420" t="str">
            <v>Hospozín</v>
          </cell>
        </row>
        <row r="1421">
          <cell r="T1421" t="str">
            <v>Hospříz</v>
          </cell>
        </row>
        <row r="1422">
          <cell r="T1422" t="str">
            <v>Hostašovice</v>
          </cell>
        </row>
        <row r="1423">
          <cell r="T1423" t="str">
            <v>Hostějov</v>
          </cell>
        </row>
        <row r="1424">
          <cell r="T1424" t="str">
            <v>Hostěnice</v>
          </cell>
        </row>
        <row r="1425">
          <cell r="T1425" t="str">
            <v>Hostěradice</v>
          </cell>
        </row>
        <row r="1426">
          <cell r="T1426" t="str">
            <v>Hostěrádky-Rešov</v>
          </cell>
        </row>
        <row r="1427">
          <cell r="T1427" t="str">
            <v>Hostětice</v>
          </cell>
        </row>
        <row r="1428">
          <cell r="T1428" t="str">
            <v>Hostětín</v>
          </cell>
        </row>
        <row r="1429">
          <cell r="T1429" t="str">
            <v>Hostim</v>
          </cell>
        </row>
        <row r="1430">
          <cell r="T1430" t="str">
            <v>Hostín</v>
          </cell>
        </row>
        <row r="1431">
          <cell r="T1431" t="str">
            <v>Hostín u Vojkovic</v>
          </cell>
        </row>
        <row r="1432">
          <cell r="T1432" t="str">
            <v>Hostinné</v>
          </cell>
        </row>
        <row r="1433">
          <cell r="T1433" t="str">
            <v>Hostišová</v>
          </cell>
        </row>
        <row r="1434">
          <cell r="T1434" t="str">
            <v>Hostivice</v>
          </cell>
        </row>
        <row r="1435">
          <cell r="T1435" t="str">
            <v>Hostomice</v>
          </cell>
        </row>
        <row r="1436">
          <cell r="T1436" t="str">
            <v>Hostomice</v>
          </cell>
        </row>
        <row r="1437">
          <cell r="T1437" t="str">
            <v>Hostouň</v>
          </cell>
        </row>
        <row r="1438">
          <cell r="T1438" t="str">
            <v>Hostouň</v>
          </cell>
        </row>
        <row r="1439">
          <cell r="T1439" t="str">
            <v>Hostovlice</v>
          </cell>
        </row>
        <row r="1440">
          <cell r="T1440" t="str">
            <v>Hosty</v>
          </cell>
        </row>
        <row r="1441">
          <cell r="T1441" t="str">
            <v>Hošťálková</v>
          </cell>
        </row>
        <row r="1442">
          <cell r="T1442" t="str">
            <v>Hošťálkovy</v>
          </cell>
        </row>
        <row r="1443">
          <cell r="T1443" t="str">
            <v>Hošťalovice</v>
          </cell>
        </row>
        <row r="1444">
          <cell r="T1444" t="str">
            <v>Hoštejn</v>
          </cell>
        </row>
        <row r="1445">
          <cell r="T1445" t="str">
            <v>Hoštice</v>
          </cell>
        </row>
        <row r="1446">
          <cell r="T1446" t="str">
            <v>Hoštice</v>
          </cell>
        </row>
        <row r="1447">
          <cell r="T1447" t="str">
            <v>Hoštice-Heroltice</v>
          </cell>
        </row>
        <row r="1448">
          <cell r="T1448" t="str">
            <v>Hoštka</v>
          </cell>
        </row>
        <row r="1449">
          <cell r="T1449" t="str">
            <v>Hošťka</v>
          </cell>
        </row>
        <row r="1450">
          <cell r="T1450" t="str">
            <v>Hovězí</v>
          </cell>
        </row>
        <row r="1451">
          <cell r="T1451" t="str">
            <v>Hovorany</v>
          </cell>
        </row>
        <row r="1452">
          <cell r="T1452" t="str">
            <v>Hovorčovice</v>
          </cell>
        </row>
        <row r="1453">
          <cell r="T1453" t="str">
            <v>Hraběšice</v>
          </cell>
        </row>
        <row r="1454">
          <cell r="T1454" t="str">
            <v>Hraběšín</v>
          </cell>
        </row>
        <row r="1455">
          <cell r="T1455" t="str">
            <v>Hrabětice</v>
          </cell>
        </row>
        <row r="1456">
          <cell r="T1456" t="str">
            <v>Hrabišín</v>
          </cell>
        </row>
        <row r="1457">
          <cell r="T1457" t="str">
            <v>Hrabová</v>
          </cell>
        </row>
        <row r="1458">
          <cell r="T1458" t="str">
            <v>Hrabůvka</v>
          </cell>
        </row>
        <row r="1459">
          <cell r="T1459" t="str">
            <v>Hrabyně</v>
          </cell>
        </row>
        <row r="1460">
          <cell r="T1460" t="str">
            <v>Hradce</v>
          </cell>
        </row>
        <row r="1461">
          <cell r="T1461" t="str">
            <v>Hradčany</v>
          </cell>
        </row>
        <row r="1462">
          <cell r="T1462" t="str">
            <v>Hradčany</v>
          </cell>
        </row>
        <row r="1463">
          <cell r="T1463" t="str">
            <v>Hradčany</v>
          </cell>
        </row>
        <row r="1464">
          <cell r="T1464" t="str">
            <v>Hradčany-Kobeřice</v>
          </cell>
        </row>
        <row r="1465">
          <cell r="T1465" t="str">
            <v>Hradčovice</v>
          </cell>
        </row>
        <row r="1466">
          <cell r="T1466" t="str">
            <v>Hradec</v>
          </cell>
        </row>
        <row r="1467">
          <cell r="T1467" t="str">
            <v>Hradec</v>
          </cell>
        </row>
        <row r="1468">
          <cell r="T1468" t="str">
            <v>Hradec Králové</v>
          </cell>
        </row>
        <row r="1469">
          <cell r="T1469" t="str">
            <v>Hradec nad Moravicí</v>
          </cell>
        </row>
        <row r="1470">
          <cell r="T1470" t="str">
            <v>Hradec nad Svitavou</v>
          </cell>
        </row>
        <row r="1471">
          <cell r="T1471" t="str">
            <v>Hradec-Nová Ves</v>
          </cell>
        </row>
        <row r="1472">
          <cell r="T1472" t="str">
            <v>Hradečno</v>
          </cell>
        </row>
        <row r="1473">
          <cell r="T1473" t="str">
            <v>Hrádek</v>
          </cell>
        </row>
        <row r="1474">
          <cell r="T1474" t="str">
            <v>Hrádek</v>
          </cell>
        </row>
        <row r="1475">
          <cell r="T1475" t="str">
            <v>Hrádek</v>
          </cell>
        </row>
        <row r="1476">
          <cell r="T1476" t="str">
            <v>Hrádek</v>
          </cell>
        </row>
        <row r="1477">
          <cell r="T1477" t="str">
            <v>Hrádek</v>
          </cell>
        </row>
        <row r="1478">
          <cell r="T1478" t="str">
            <v>Hrádek</v>
          </cell>
        </row>
        <row r="1479">
          <cell r="T1479" t="str">
            <v>Hrádek nad Nisou</v>
          </cell>
        </row>
        <row r="1480">
          <cell r="T1480" t="str">
            <v>Hradešice</v>
          </cell>
        </row>
        <row r="1481">
          <cell r="T1481" t="str">
            <v>Hradešín</v>
          </cell>
        </row>
        <row r="1482">
          <cell r="T1482" t="str">
            <v>Hradiště</v>
          </cell>
        </row>
        <row r="1483">
          <cell r="T1483" t="str">
            <v>Hradiště</v>
          </cell>
        </row>
        <row r="1484">
          <cell r="T1484" t="str">
            <v>Hradiště</v>
          </cell>
        </row>
        <row r="1485">
          <cell r="T1485" t="str">
            <v>Hradiště</v>
          </cell>
        </row>
        <row r="1486">
          <cell r="T1486" t="str">
            <v>Hradiště</v>
          </cell>
        </row>
        <row r="1487">
          <cell r="T1487" t="str">
            <v>Hradištko</v>
          </cell>
        </row>
        <row r="1488">
          <cell r="T1488" t="str">
            <v>Hradištko</v>
          </cell>
        </row>
        <row r="1489">
          <cell r="T1489" t="str">
            <v>Hracholusky</v>
          </cell>
        </row>
        <row r="1490">
          <cell r="T1490" t="str">
            <v>Hracholusky</v>
          </cell>
        </row>
        <row r="1491">
          <cell r="T1491" t="str">
            <v>Hrachoviště</v>
          </cell>
        </row>
        <row r="1492">
          <cell r="T1492" t="str">
            <v>Hranice</v>
          </cell>
        </row>
        <row r="1493">
          <cell r="T1493" t="str">
            <v>Hranice</v>
          </cell>
        </row>
        <row r="1494">
          <cell r="T1494" t="str">
            <v>Hranice</v>
          </cell>
        </row>
        <row r="1495">
          <cell r="T1495" t="str">
            <v>Hraničné Petrovice</v>
          </cell>
        </row>
        <row r="1496">
          <cell r="T1496" t="str">
            <v>Hrazany</v>
          </cell>
        </row>
        <row r="1497">
          <cell r="T1497" t="str">
            <v>Hrčava</v>
          </cell>
        </row>
        <row r="1498">
          <cell r="T1498" t="str">
            <v>Hrdějovice</v>
          </cell>
        </row>
        <row r="1499">
          <cell r="T1499" t="str">
            <v>Hrdibořice</v>
          </cell>
        </row>
        <row r="1500">
          <cell r="T1500" t="str">
            <v>Hrdlív</v>
          </cell>
        </row>
        <row r="1501">
          <cell r="T1501" t="str">
            <v>Hrdlořezy</v>
          </cell>
        </row>
        <row r="1502">
          <cell r="T1502" t="str">
            <v>Hrejkovice</v>
          </cell>
        </row>
        <row r="1503">
          <cell r="T1503" t="str">
            <v>Hrob</v>
          </cell>
        </row>
        <row r="1504">
          <cell r="T1504" t="str">
            <v>Hrobce</v>
          </cell>
        </row>
        <row r="1505">
          <cell r="T1505" t="str">
            <v>Hrobčice</v>
          </cell>
        </row>
        <row r="1506">
          <cell r="T1506" t="str">
            <v>Hrobice</v>
          </cell>
        </row>
        <row r="1507">
          <cell r="T1507" t="str">
            <v>Hrobice</v>
          </cell>
        </row>
        <row r="1508">
          <cell r="T1508" t="str">
            <v>Hrochův Týnec</v>
          </cell>
        </row>
        <row r="1509">
          <cell r="T1509" t="str">
            <v>Hromnice</v>
          </cell>
        </row>
        <row r="1510">
          <cell r="T1510" t="str">
            <v>Hronov</v>
          </cell>
        </row>
        <row r="1511">
          <cell r="T1511" t="str">
            <v>Hrotovice</v>
          </cell>
        </row>
        <row r="1512">
          <cell r="T1512" t="str">
            <v>Hroubovice</v>
          </cell>
        </row>
        <row r="1513">
          <cell r="T1513" t="str">
            <v>Hroznatín</v>
          </cell>
        </row>
        <row r="1514">
          <cell r="T1514" t="str">
            <v>Hroznětín</v>
          </cell>
        </row>
        <row r="1515">
          <cell r="T1515" t="str">
            <v>Hroznová Lhota</v>
          </cell>
        </row>
        <row r="1516">
          <cell r="T1516" t="str">
            <v>Hrubá Skála</v>
          </cell>
        </row>
        <row r="1517">
          <cell r="T1517" t="str">
            <v>Hrubá Vrbka</v>
          </cell>
        </row>
        <row r="1518">
          <cell r="T1518" t="str">
            <v>Hrubčice</v>
          </cell>
        </row>
        <row r="1519">
          <cell r="T1519" t="str">
            <v>Hrubý Jeseník</v>
          </cell>
        </row>
        <row r="1520">
          <cell r="T1520" t="str">
            <v>Hrusice</v>
          </cell>
        </row>
        <row r="1521">
          <cell r="T1521" t="str">
            <v>Hruška</v>
          </cell>
        </row>
        <row r="1522">
          <cell r="T1522" t="str">
            <v>Hrušky</v>
          </cell>
        </row>
        <row r="1523">
          <cell r="T1523" t="str">
            <v>Hrušky</v>
          </cell>
        </row>
        <row r="1524">
          <cell r="T1524" t="str">
            <v>Hrušov</v>
          </cell>
        </row>
        <row r="1525">
          <cell r="T1525" t="str">
            <v>Hrušová</v>
          </cell>
        </row>
        <row r="1526">
          <cell r="T1526" t="str">
            <v>Hrušovany</v>
          </cell>
        </row>
        <row r="1527">
          <cell r="T1527" t="str">
            <v>Hrušovany nad Jevišovkou</v>
          </cell>
        </row>
        <row r="1528">
          <cell r="T1528" t="str">
            <v>Hrušovany u Brna</v>
          </cell>
        </row>
        <row r="1529">
          <cell r="T1529" t="str">
            <v>Hrutov</v>
          </cell>
        </row>
        <row r="1530">
          <cell r="T1530" t="str">
            <v>Hřebeč</v>
          </cell>
        </row>
        <row r="1531">
          <cell r="T1531" t="str">
            <v>Hřebečníky</v>
          </cell>
        </row>
        <row r="1532">
          <cell r="T1532" t="str">
            <v>Hředle</v>
          </cell>
        </row>
        <row r="1533">
          <cell r="T1533" t="str">
            <v>Hředle</v>
          </cell>
        </row>
        <row r="1534">
          <cell r="T1534" t="str">
            <v>Hřensko</v>
          </cell>
        </row>
        <row r="1535">
          <cell r="T1535" t="str">
            <v>Hřibiny-Ledská</v>
          </cell>
        </row>
        <row r="1536">
          <cell r="T1536" t="str">
            <v>Hřibojedy</v>
          </cell>
        </row>
        <row r="1537">
          <cell r="T1537" t="str">
            <v>Hřiměždice</v>
          </cell>
        </row>
        <row r="1538">
          <cell r="T1538" t="str">
            <v>Hříšice</v>
          </cell>
        </row>
        <row r="1539">
          <cell r="T1539" t="str">
            <v>Hříškov</v>
          </cell>
        </row>
        <row r="1540">
          <cell r="T1540" t="str">
            <v>Hřivice</v>
          </cell>
        </row>
        <row r="1541">
          <cell r="T1541" t="str">
            <v>Hřivínův Újezd</v>
          </cell>
        </row>
        <row r="1542">
          <cell r="T1542" t="str">
            <v>Hubenov</v>
          </cell>
        </row>
        <row r="1543">
          <cell r="T1543" t="str">
            <v>Hudčice</v>
          </cell>
        </row>
        <row r="1544">
          <cell r="T1544" t="str">
            <v>Hudlice</v>
          </cell>
        </row>
        <row r="1545">
          <cell r="T1545" t="str">
            <v>Hukvaldy</v>
          </cell>
        </row>
        <row r="1546">
          <cell r="T1546" t="str">
            <v>Hulice</v>
          </cell>
        </row>
        <row r="1547">
          <cell r="T1547" t="str">
            <v>Hulín</v>
          </cell>
        </row>
        <row r="1548">
          <cell r="T1548" t="str">
            <v>Humburky</v>
          </cell>
        </row>
        <row r="1549">
          <cell r="T1549" t="str">
            <v>Humpolec</v>
          </cell>
        </row>
        <row r="1550">
          <cell r="T1550" t="str">
            <v>Huntířov</v>
          </cell>
        </row>
        <row r="1551">
          <cell r="T1551" t="str">
            <v>Hůrky</v>
          </cell>
        </row>
        <row r="1552">
          <cell r="T1552" t="str">
            <v>Hurtova Lhota</v>
          </cell>
        </row>
        <row r="1553">
          <cell r="T1553" t="str">
            <v>Hůry</v>
          </cell>
        </row>
        <row r="1554">
          <cell r="T1554" t="str">
            <v>Husí Lhota</v>
          </cell>
        </row>
        <row r="1555">
          <cell r="T1555" t="str">
            <v>Husinec</v>
          </cell>
        </row>
        <row r="1556">
          <cell r="T1556" t="str">
            <v>Husinec</v>
          </cell>
        </row>
        <row r="1557">
          <cell r="T1557" t="str">
            <v>Huslenky</v>
          </cell>
        </row>
        <row r="1558">
          <cell r="T1558" t="str">
            <v>Hustopeče</v>
          </cell>
        </row>
        <row r="1559">
          <cell r="T1559" t="str">
            <v>Hustopeče nad Bečvou</v>
          </cell>
        </row>
        <row r="1560">
          <cell r="T1560" t="str">
            <v>Huštěnovice</v>
          </cell>
        </row>
        <row r="1561">
          <cell r="T1561" t="str">
            <v>Hutisko-Solanec</v>
          </cell>
        </row>
        <row r="1562">
          <cell r="T1562" t="str">
            <v>Huzová</v>
          </cell>
        </row>
        <row r="1563">
          <cell r="T1563" t="str">
            <v>Hvězdlice</v>
          </cell>
        </row>
        <row r="1564">
          <cell r="T1564" t="str">
            <v>Hvězdonice</v>
          </cell>
        </row>
        <row r="1565">
          <cell r="T1565" t="str">
            <v>Hvězdoňovice</v>
          </cell>
        </row>
        <row r="1566">
          <cell r="T1566" t="str">
            <v>Hvozd</v>
          </cell>
        </row>
        <row r="1567">
          <cell r="T1567" t="str">
            <v>Hvozd</v>
          </cell>
        </row>
        <row r="1568">
          <cell r="T1568" t="str">
            <v>Hvozd</v>
          </cell>
        </row>
        <row r="1569">
          <cell r="T1569" t="str">
            <v>Hvozdec</v>
          </cell>
        </row>
        <row r="1570">
          <cell r="T1570" t="str">
            <v>Hvozdec</v>
          </cell>
        </row>
        <row r="1571">
          <cell r="T1571" t="str">
            <v>Hvozdec</v>
          </cell>
        </row>
        <row r="1572">
          <cell r="T1572" t="str">
            <v>Hvozdná</v>
          </cell>
        </row>
        <row r="1573">
          <cell r="T1573" t="str">
            <v>Hvozdnice</v>
          </cell>
        </row>
        <row r="1574">
          <cell r="T1574" t="str">
            <v>Hvozdnice</v>
          </cell>
        </row>
        <row r="1575">
          <cell r="T1575" t="str">
            <v>Hvožďany</v>
          </cell>
        </row>
        <row r="1576">
          <cell r="T1576" t="str">
            <v>Hvožďany</v>
          </cell>
        </row>
        <row r="1577">
          <cell r="T1577" t="str">
            <v>Hybrálec</v>
          </cell>
        </row>
        <row r="1578">
          <cell r="T1578" t="str">
            <v>Hynčice</v>
          </cell>
        </row>
        <row r="1579">
          <cell r="T1579" t="str">
            <v>Hynčina</v>
          </cell>
        </row>
        <row r="1580">
          <cell r="T1580" t="str">
            <v>Hýskov</v>
          </cell>
        </row>
        <row r="1581">
          <cell r="T1581" t="str">
            <v>Hýsly</v>
          </cell>
        </row>
        <row r="1582">
          <cell r="T1582" t="str">
            <v>Chabařovice</v>
          </cell>
        </row>
        <row r="1583">
          <cell r="T1583" t="str">
            <v>Chabeřice</v>
          </cell>
        </row>
        <row r="1584">
          <cell r="T1584" t="str">
            <v>Chaloupky</v>
          </cell>
        </row>
        <row r="1585">
          <cell r="T1585" t="str">
            <v>Chanovice</v>
          </cell>
        </row>
        <row r="1586">
          <cell r="T1586" t="str">
            <v>Charvatce</v>
          </cell>
        </row>
        <row r="1587">
          <cell r="T1587" t="str">
            <v>Charváty</v>
          </cell>
        </row>
        <row r="1588">
          <cell r="T1588" t="str">
            <v>Chářovice</v>
          </cell>
        </row>
        <row r="1589">
          <cell r="T1589" t="str">
            <v>Chbany</v>
          </cell>
        </row>
        <row r="1590">
          <cell r="T1590" t="str">
            <v>Cheb</v>
          </cell>
        </row>
        <row r="1591">
          <cell r="T1591" t="str">
            <v>Chelčice</v>
          </cell>
        </row>
        <row r="1592">
          <cell r="T1592" t="str">
            <v>Cheznovice</v>
          </cell>
        </row>
        <row r="1593">
          <cell r="T1593" t="str">
            <v>Chlebičov</v>
          </cell>
        </row>
        <row r="1594">
          <cell r="T1594" t="str">
            <v>Chleby</v>
          </cell>
        </row>
        <row r="1595">
          <cell r="T1595" t="str">
            <v>Chleby</v>
          </cell>
        </row>
        <row r="1596">
          <cell r="T1596" t="str">
            <v>Chleny</v>
          </cell>
        </row>
        <row r="1597">
          <cell r="T1597" t="str">
            <v>Chlistov</v>
          </cell>
        </row>
        <row r="1598">
          <cell r="T1598" t="str">
            <v>Chlístov</v>
          </cell>
        </row>
        <row r="1599">
          <cell r="T1599" t="str">
            <v>Chlístov</v>
          </cell>
        </row>
        <row r="1600">
          <cell r="T1600" t="str">
            <v>Chlístov</v>
          </cell>
        </row>
        <row r="1601">
          <cell r="T1601" t="str">
            <v>Chlístovice</v>
          </cell>
        </row>
        <row r="1602">
          <cell r="T1602" t="str">
            <v>Chlum</v>
          </cell>
        </row>
        <row r="1603">
          <cell r="T1603" t="str">
            <v>Chlum</v>
          </cell>
        </row>
        <row r="1604">
          <cell r="T1604" t="str">
            <v>Chlum</v>
          </cell>
        </row>
        <row r="1605">
          <cell r="T1605" t="str">
            <v>Chlum</v>
          </cell>
        </row>
        <row r="1606">
          <cell r="T1606" t="str">
            <v>Chlum</v>
          </cell>
        </row>
        <row r="1607">
          <cell r="T1607" t="str">
            <v>Chlum</v>
          </cell>
        </row>
        <row r="1608">
          <cell r="T1608" t="str">
            <v>Chlum Svaté Maří</v>
          </cell>
        </row>
        <row r="1609">
          <cell r="T1609" t="str">
            <v>Chlum u Třeboně</v>
          </cell>
        </row>
        <row r="1610">
          <cell r="T1610" t="str">
            <v>Chlumany</v>
          </cell>
        </row>
        <row r="1611">
          <cell r="T1611" t="str">
            <v>Chlumčany</v>
          </cell>
        </row>
        <row r="1612">
          <cell r="T1612" t="str">
            <v>Chlumčany</v>
          </cell>
        </row>
        <row r="1613">
          <cell r="T1613" t="str">
            <v>Chlumec</v>
          </cell>
        </row>
        <row r="1614">
          <cell r="T1614" t="str">
            <v>Chlumec</v>
          </cell>
        </row>
        <row r="1615">
          <cell r="T1615" t="str">
            <v>Chlumec nad Cidlinou</v>
          </cell>
        </row>
        <row r="1616">
          <cell r="T1616" t="str">
            <v>Chlumek</v>
          </cell>
        </row>
        <row r="1617">
          <cell r="T1617" t="str">
            <v>Chlumětín</v>
          </cell>
        </row>
        <row r="1618">
          <cell r="T1618" t="str">
            <v>Chlumín</v>
          </cell>
        </row>
        <row r="1619">
          <cell r="T1619" t="str">
            <v>Chlum-Korouhvice</v>
          </cell>
        </row>
        <row r="1620">
          <cell r="T1620" t="str">
            <v>Chlumy</v>
          </cell>
        </row>
        <row r="1621">
          <cell r="T1621" t="str">
            <v>Chlustina</v>
          </cell>
        </row>
        <row r="1622">
          <cell r="T1622" t="str">
            <v>Chmelík</v>
          </cell>
        </row>
        <row r="1623">
          <cell r="T1623" t="str">
            <v>Chmelná</v>
          </cell>
        </row>
        <row r="1624">
          <cell r="T1624" t="str">
            <v>Chobot</v>
          </cell>
        </row>
        <row r="1625">
          <cell r="T1625" t="str">
            <v>Choceň</v>
          </cell>
        </row>
        <row r="1626">
          <cell r="T1626" t="str">
            <v>Chocenice</v>
          </cell>
        </row>
        <row r="1627">
          <cell r="T1627" t="str">
            <v>Chocerady</v>
          </cell>
        </row>
        <row r="1628">
          <cell r="T1628" t="str">
            <v>Chocnějovice</v>
          </cell>
        </row>
        <row r="1629">
          <cell r="T1629" t="str">
            <v>Chocomyšl</v>
          </cell>
        </row>
        <row r="1630">
          <cell r="T1630" t="str">
            <v>Chodouň</v>
          </cell>
        </row>
        <row r="1631">
          <cell r="T1631" t="str">
            <v>Chodouny</v>
          </cell>
        </row>
        <row r="1632">
          <cell r="T1632" t="str">
            <v>Chodov</v>
          </cell>
        </row>
        <row r="1633">
          <cell r="T1633" t="str">
            <v>Chodov</v>
          </cell>
        </row>
        <row r="1634">
          <cell r="T1634" t="str">
            <v>Chodov</v>
          </cell>
        </row>
        <row r="1635">
          <cell r="T1635" t="str">
            <v>Chodová Planá</v>
          </cell>
        </row>
        <row r="1636">
          <cell r="T1636" t="str">
            <v>Chodovlice</v>
          </cell>
        </row>
        <row r="1637">
          <cell r="T1637" t="str">
            <v>Chodská Lhota</v>
          </cell>
        </row>
        <row r="1638">
          <cell r="T1638" t="str">
            <v>Chodský Újezd</v>
          </cell>
        </row>
        <row r="1639">
          <cell r="T1639" t="str">
            <v>Cholenice</v>
          </cell>
        </row>
        <row r="1640">
          <cell r="T1640" t="str">
            <v>Cholina</v>
          </cell>
        </row>
        <row r="1641">
          <cell r="T1641" t="str">
            <v>Choltice</v>
          </cell>
        </row>
        <row r="1642">
          <cell r="T1642" t="str">
            <v>Chomle</v>
          </cell>
        </row>
        <row r="1643">
          <cell r="T1643" t="str">
            <v>Chomutice</v>
          </cell>
        </row>
        <row r="1644">
          <cell r="T1644" t="str">
            <v>Chomutov</v>
          </cell>
        </row>
        <row r="1645">
          <cell r="T1645" t="str">
            <v>Chomýž</v>
          </cell>
        </row>
        <row r="1646">
          <cell r="T1646" t="str">
            <v>Choratice</v>
          </cell>
        </row>
        <row r="1647">
          <cell r="T1647" t="str">
            <v>Chornice</v>
          </cell>
        </row>
        <row r="1648">
          <cell r="T1648" t="str">
            <v>Chorušice</v>
          </cell>
        </row>
        <row r="1649">
          <cell r="T1649" t="str">
            <v>Choryně</v>
          </cell>
        </row>
        <row r="1650">
          <cell r="T1650" t="str">
            <v>Choťánky</v>
          </cell>
        </row>
        <row r="1651">
          <cell r="T1651" t="str">
            <v>Chotěboř</v>
          </cell>
        </row>
        <row r="1652">
          <cell r="T1652" t="str">
            <v>Chotěbudice</v>
          </cell>
        </row>
        <row r="1653">
          <cell r="T1653" t="str">
            <v>Chotěbuz</v>
          </cell>
        </row>
        <row r="1654">
          <cell r="T1654" t="str">
            <v>Choteč</v>
          </cell>
        </row>
        <row r="1655">
          <cell r="T1655" t="str">
            <v>Choteč</v>
          </cell>
        </row>
        <row r="1656">
          <cell r="T1656" t="str">
            <v>Choteč</v>
          </cell>
        </row>
        <row r="1657">
          <cell r="T1657" t="str">
            <v>Chotěmice</v>
          </cell>
        </row>
        <row r="1658">
          <cell r="T1658" t="str">
            <v>Chotěnov</v>
          </cell>
        </row>
        <row r="1659">
          <cell r="T1659" t="str">
            <v>Chotěšice</v>
          </cell>
        </row>
        <row r="1660">
          <cell r="T1660" t="str">
            <v>Chotěšov</v>
          </cell>
        </row>
        <row r="1661">
          <cell r="T1661" t="str">
            <v>Chotěšov</v>
          </cell>
        </row>
        <row r="1662">
          <cell r="T1662" t="str">
            <v>Chotětov</v>
          </cell>
        </row>
        <row r="1663">
          <cell r="T1663" t="str">
            <v>Chotěvice</v>
          </cell>
        </row>
        <row r="1664">
          <cell r="T1664" t="str">
            <v>Chotíkov</v>
          </cell>
        </row>
        <row r="1665">
          <cell r="T1665" t="str">
            <v>Chotilsko</v>
          </cell>
        </row>
        <row r="1666">
          <cell r="T1666" t="str">
            <v>Chotiměř</v>
          </cell>
        </row>
        <row r="1667">
          <cell r="T1667" t="str">
            <v>Chotiněves</v>
          </cell>
        </row>
        <row r="1668">
          <cell r="T1668" t="str">
            <v>Chotovice</v>
          </cell>
        </row>
        <row r="1669">
          <cell r="T1669" t="str">
            <v>Chotovice</v>
          </cell>
        </row>
        <row r="1670">
          <cell r="T1670" t="str">
            <v>Choťovice</v>
          </cell>
        </row>
        <row r="1671">
          <cell r="T1671" t="str">
            <v>Chotoviny</v>
          </cell>
        </row>
        <row r="1672">
          <cell r="T1672" t="str">
            <v>Chotusice</v>
          </cell>
        </row>
        <row r="1673">
          <cell r="T1673" t="str">
            <v>Chotutice</v>
          </cell>
        </row>
        <row r="1674">
          <cell r="T1674" t="str">
            <v>Chotýčany</v>
          </cell>
        </row>
        <row r="1675">
          <cell r="T1675" t="str">
            <v>Chotyně</v>
          </cell>
        </row>
        <row r="1676">
          <cell r="T1676" t="str">
            <v>Chotýšany</v>
          </cell>
        </row>
        <row r="1677">
          <cell r="T1677" t="str">
            <v>Choustník</v>
          </cell>
        </row>
        <row r="1678">
          <cell r="T1678" t="str">
            <v>Choustníkovo Hradiště</v>
          </cell>
        </row>
        <row r="1679">
          <cell r="T1679" t="str">
            <v>Chožov</v>
          </cell>
        </row>
        <row r="1680">
          <cell r="T1680" t="str">
            <v>Chraberce</v>
          </cell>
        </row>
        <row r="1681">
          <cell r="T1681" t="str">
            <v>Chrast</v>
          </cell>
        </row>
        <row r="1682">
          <cell r="T1682" t="str">
            <v>Chrást</v>
          </cell>
        </row>
        <row r="1683">
          <cell r="T1683" t="str">
            <v>Chrást</v>
          </cell>
        </row>
        <row r="1684">
          <cell r="T1684" t="str">
            <v>Chrást</v>
          </cell>
        </row>
        <row r="1685">
          <cell r="T1685" t="str">
            <v>Chrastava</v>
          </cell>
        </row>
        <row r="1686">
          <cell r="T1686" t="str">
            <v>Chrastavec</v>
          </cell>
        </row>
        <row r="1687">
          <cell r="T1687" t="str">
            <v>Chrastavice</v>
          </cell>
        </row>
        <row r="1688">
          <cell r="T1688" t="str">
            <v>Chrášťany</v>
          </cell>
        </row>
        <row r="1689">
          <cell r="T1689" t="str">
            <v>Chrášťany</v>
          </cell>
        </row>
        <row r="1690">
          <cell r="T1690" t="str">
            <v>Chrášťany</v>
          </cell>
        </row>
        <row r="1691">
          <cell r="T1691" t="str">
            <v>Chrášťany</v>
          </cell>
        </row>
        <row r="1692">
          <cell r="T1692" t="str">
            <v>Chrášťany</v>
          </cell>
        </row>
        <row r="1693">
          <cell r="T1693" t="str">
            <v>Chraštice</v>
          </cell>
        </row>
        <row r="1694">
          <cell r="T1694" t="str">
            <v>Chrášťovice</v>
          </cell>
        </row>
        <row r="1695">
          <cell r="T1695" t="str">
            <v>Chrbonín</v>
          </cell>
        </row>
        <row r="1696">
          <cell r="T1696" t="str">
            <v>Chroboly</v>
          </cell>
        </row>
        <row r="1697">
          <cell r="T1697" t="str">
            <v>Chromeč</v>
          </cell>
        </row>
        <row r="1698">
          <cell r="T1698" t="str">
            <v>Chropyně</v>
          </cell>
        </row>
        <row r="1699"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Zálohy_odklad"/>
      <sheetName val="Účetní_závěrka"/>
    </sheetNames>
    <sheetDataSet>
      <sheetData sheetId="0" refreshError="1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 t="str">
            <v/>
          </cell>
        </row>
        <row r="994">
          <cell r="Q994" t="str">
            <v/>
          </cell>
        </row>
        <row r="995">
          <cell r="Q995" t="str">
            <v/>
          </cell>
        </row>
        <row r="996">
          <cell r="Q996" t="str">
            <v/>
          </cell>
        </row>
        <row r="997">
          <cell r="Q997" t="str">
            <v/>
          </cell>
        </row>
        <row r="998">
          <cell r="Q998" t="str">
            <v/>
          </cell>
        </row>
        <row r="999">
          <cell r="Q999" t="str">
            <v/>
          </cell>
        </row>
        <row r="1000">
          <cell r="Q1000" t="str">
            <v/>
          </cell>
        </row>
        <row r="1001">
          <cell r="Q1001" t="str">
            <v/>
          </cell>
        </row>
        <row r="1002">
          <cell r="Q1002" t="str">
            <v/>
          </cell>
        </row>
        <row r="1003">
          <cell r="Q1003" t="str">
            <v/>
          </cell>
        </row>
        <row r="1004">
          <cell r="Q1004" t="str">
            <v/>
          </cell>
        </row>
        <row r="1005">
          <cell r="Q1005" t="str">
            <v/>
          </cell>
        </row>
        <row r="1006">
          <cell r="Q1006" t="str">
            <v/>
          </cell>
        </row>
        <row r="1007">
          <cell r="Q1007" t="str">
            <v/>
          </cell>
        </row>
        <row r="1008">
          <cell r="Q1008" t="str">
            <v/>
          </cell>
        </row>
        <row r="1009">
          <cell r="Q1009" t="str">
            <v/>
          </cell>
        </row>
        <row r="1010">
          <cell r="Q1010" t="str">
            <v/>
          </cell>
        </row>
        <row r="1011">
          <cell r="Q1011" t="str">
            <v/>
          </cell>
        </row>
        <row r="1012">
          <cell r="Q1012" t="str">
            <v/>
          </cell>
        </row>
        <row r="1013">
          <cell r="Q1013" t="str">
            <v/>
          </cell>
        </row>
        <row r="1014">
          <cell r="Q1014" t="str">
            <v/>
          </cell>
        </row>
        <row r="1015">
          <cell r="Q1015" t="str">
            <v/>
          </cell>
        </row>
        <row r="1016">
          <cell r="Q1016" t="str">
            <v/>
          </cell>
        </row>
        <row r="1017">
          <cell r="Q1017" t="str">
            <v/>
          </cell>
        </row>
        <row r="1018">
          <cell r="Q1018" t="str">
            <v/>
          </cell>
        </row>
        <row r="1019">
          <cell r="Q1019" t="str">
            <v/>
          </cell>
        </row>
        <row r="1020">
          <cell r="Q1020" t="str">
            <v/>
          </cell>
        </row>
        <row r="1021">
          <cell r="Q1021" t="str">
            <v/>
          </cell>
        </row>
        <row r="1022">
          <cell r="Q1022" t="str">
            <v/>
          </cell>
        </row>
        <row r="1023">
          <cell r="Q1023" t="str">
            <v/>
          </cell>
        </row>
        <row r="1024">
          <cell r="Q1024" t="str">
            <v/>
          </cell>
        </row>
        <row r="1025">
          <cell r="Q1025" t="str">
            <v/>
          </cell>
        </row>
        <row r="1026">
          <cell r="Q1026" t="str">
            <v/>
          </cell>
        </row>
        <row r="1027">
          <cell r="Q1027" t="str">
            <v/>
          </cell>
        </row>
        <row r="1028">
          <cell r="Q1028" t="str">
            <v/>
          </cell>
        </row>
        <row r="1029">
          <cell r="Q1029" t="str">
            <v/>
          </cell>
        </row>
        <row r="1030">
          <cell r="Q1030" t="str">
            <v/>
          </cell>
        </row>
        <row r="1031">
          <cell r="Q1031" t="str">
            <v/>
          </cell>
        </row>
        <row r="1032">
          <cell r="Q1032" t="str">
            <v/>
          </cell>
        </row>
        <row r="1033">
          <cell r="Q1033" t="str">
            <v/>
          </cell>
        </row>
        <row r="1034">
          <cell r="Q1034" t="str">
            <v/>
          </cell>
        </row>
        <row r="1035">
          <cell r="Q1035" t="str">
            <v/>
          </cell>
        </row>
        <row r="1036">
          <cell r="Q1036" t="str">
            <v/>
          </cell>
        </row>
        <row r="1037">
          <cell r="Q1037" t="str">
            <v/>
          </cell>
        </row>
        <row r="1038">
          <cell r="Q1038" t="str">
            <v/>
          </cell>
        </row>
        <row r="1039">
          <cell r="Q1039" t="str">
            <v/>
          </cell>
        </row>
        <row r="1040">
          <cell r="Q1040" t="str">
            <v/>
          </cell>
        </row>
        <row r="1041">
          <cell r="Q1041" t="str">
            <v/>
          </cell>
        </row>
        <row r="1042">
          <cell r="Q1042" t="str">
            <v/>
          </cell>
        </row>
        <row r="1043">
          <cell r="Q1043" t="str">
            <v/>
          </cell>
        </row>
        <row r="1044">
          <cell r="Q1044" t="str">
            <v/>
          </cell>
        </row>
        <row r="1045">
          <cell r="Q1045" t="str">
            <v/>
          </cell>
        </row>
        <row r="1046">
          <cell r="Q1046" t="str">
            <v/>
          </cell>
        </row>
        <row r="1047">
          <cell r="Q1047" t="str">
            <v/>
          </cell>
        </row>
        <row r="1048">
          <cell r="Q1048" t="str">
            <v/>
          </cell>
        </row>
        <row r="1049">
          <cell r="Q1049" t="str">
            <v/>
          </cell>
        </row>
        <row r="1050">
          <cell r="Q1050" t="str">
            <v/>
          </cell>
        </row>
        <row r="1051">
          <cell r="Q1051" t="str">
            <v/>
          </cell>
        </row>
        <row r="1052">
          <cell r="Q1052" t="str">
            <v/>
          </cell>
        </row>
        <row r="1053">
          <cell r="Q1053" t="str">
            <v/>
          </cell>
        </row>
        <row r="1054">
          <cell r="Q1054" t="str">
            <v/>
          </cell>
        </row>
        <row r="1055">
          <cell r="Q1055" t="str">
            <v/>
          </cell>
        </row>
        <row r="1056">
          <cell r="Q1056" t="str">
            <v/>
          </cell>
        </row>
        <row r="1057">
          <cell r="Q1057" t="str">
            <v/>
          </cell>
        </row>
        <row r="1058">
          <cell r="Q1058" t="str">
            <v/>
          </cell>
        </row>
        <row r="1059">
          <cell r="Q1059" t="str">
            <v/>
          </cell>
        </row>
        <row r="1060">
          <cell r="Q1060" t="str">
            <v/>
          </cell>
        </row>
        <row r="1061">
          <cell r="Q1061" t="str">
            <v/>
          </cell>
        </row>
        <row r="1062">
          <cell r="Q1062" t="str">
            <v/>
          </cell>
        </row>
        <row r="1063">
          <cell r="Q1063" t="str">
            <v/>
          </cell>
        </row>
        <row r="1064">
          <cell r="Q1064" t="str">
            <v/>
          </cell>
        </row>
        <row r="1065">
          <cell r="Q1065" t="str">
            <v/>
          </cell>
        </row>
        <row r="1066">
          <cell r="Q1066" t="str">
            <v/>
          </cell>
        </row>
        <row r="1067">
          <cell r="Q1067" t="str">
            <v/>
          </cell>
        </row>
        <row r="1068">
          <cell r="Q1068" t="str">
            <v/>
          </cell>
        </row>
        <row r="1069">
          <cell r="Q1069" t="str">
            <v/>
          </cell>
        </row>
        <row r="1070">
          <cell r="Q1070" t="str">
            <v/>
          </cell>
        </row>
        <row r="1071">
          <cell r="Q1071" t="str">
            <v/>
          </cell>
        </row>
        <row r="1072">
          <cell r="Q1072" t="str">
            <v/>
          </cell>
        </row>
        <row r="1073">
          <cell r="Q1073" t="str">
            <v/>
          </cell>
        </row>
        <row r="1074">
          <cell r="Q1074" t="str">
            <v/>
          </cell>
        </row>
        <row r="1075">
          <cell r="Q1075" t="str">
            <v/>
          </cell>
        </row>
        <row r="1076">
          <cell r="Q1076" t="str">
            <v/>
          </cell>
        </row>
        <row r="1077">
          <cell r="Q1077" t="str">
            <v/>
          </cell>
        </row>
        <row r="1078">
          <cell r="Q1078" t="str">
            <v/>
          </cell>
        </row>
        <row r="1079">
          <cell r="Q1079" t="str">
            <v/>
          </cell>
        </row>
        <row r="1080">
          <cell r="Q1080" t="str">
            <v/>
          </cell>
        </row>
        <row r="1081">
          <cell r="Q1081" t="str">
            <v/>
          </cell>
        </row>
        <row r="1082">
          <cell r="Q1082" t="str">
            <v/>
          </cell>
        </row>
        <row r="1083">
          <cell r="Q1083" t="str">
            <v/>
          </cell>
        </row>
        <row r="1084">
          <cell r="Q1084" t="str">
            <v/>
          </cell>
        </row>
        <row r="1085">
          <cell r="Q1085" t="str">
            <v/>
          </cell>
        </row>
        <row r="1086">
          <cell r="Q1086" t="str">
            <v/>
          </cell>
        </row>
        <row r="1087">
          <cell r="Q1087" t="str">
            <v/>
          </cell>
        </row>
        <row r="1088">
          <cell r="Q1088" t="str">
            <v/>
          </cell>
        </row>
        <row r="1089">
          <cell r="Q1089" t="str">
            <v/>
          </cell>
        </row>
        <row r="1090">
          <cell r="Q1090" t="str">
            <v/>
          </cell>
        </row>
        <row r="1091">
          <cell r="Q1091" t="str">
            <v/>
          </cell>
        </row>
        <row r="1092">
          <cell r="Q1092" t="str">
            <v/>
          </cell>
        </row>
        <row r="1093">
          <cell r="Q1093" t="str">
            <v/>
          </cell>
        </row>
        <row r="1094">
          <cell r="Q1094" t="str">
            <v/>
          </cell>
        </row>
        <row r="1095">
          <cell r="Q1095" t="str">
            <v/>
          </cell>
        </row>
        <row r="1096">
          <cell r="Q1096" t="str">
            <v/>
          </cell>
        </row>
        <row r="1097">
          <cell r="Q1097" t="str">
            <v/>
          </cell>
        </row>
        <row r="1098">
          <cell r="Q1098" t="str">
            <v/>
          </cell>
        </row>
        <row r="1099">
          <cell r="Q1099" t="str">
            <v/>
          </cell>
        </row>
        <row r="1100">
          <cell r="Q1100" t="str">
            <v/>
          </cell>
        </row>
        <row r="1101">
          <cell r="Q1101" t="str">
            <v/>
          </cell>
        </row>
        <row r="1102">
          <cell r="Q1102" t="str">
            <v/>
          </cell>
        </row>
        <row r="1103">
          <cell r="Q1103" t="str">
            <v/>
          </cell>
        </row>
        <row r="1104">
          <cell r="Q1104" t="str">
            <v/>
          </cell>
        </row>
        <row r="1105">
          <cell r="Q1105" t="str">
            <v/>
          </cell>
        </row>
        <row r="1106">
          <cell r="Q1106" t="str">
            <v/>
          </cell>
        </row>
        <row r="1107">
          <cell r="Q1107" t="str">
            <v/>
          </cell>
        </row>
        <row r="1108">
          <cell r="Q1108" t="str">
            <v/>
          </cell>
        </row>
        <row r="1109">
          <cell r="Q1109" t="str">
            <v/>
          </cell>
        </row>
        <row r="1110">
          <cell r="Q1110" t="str">
            <v/>
          </cell>
        </row>
        <row r="1111">
          <cell r="Q1111" t="str">
            <v/>
          </cell>
        </row>
        <row r="1112">
          <cell r="Q1112" t="str">
            <v/>
          </cell>
        </row>
        <row r="1113">
          <cell r="Q1113" t="str">
            <v/>
          </cell>
        </row>
        <row r="1114">
          <cell r="Q1114" t="str">
            <v/>
          </cell>
        </row>
        <row r="1115">
          <cell r="Q1115" t="str">
            <v/>
          </cell>
        </row>
        <row r="1116">
          <cell r="Q1116" t="str">
            <v/>
          </cell>
        </row>
        <row r="1117">
          <cell r="Q1117" t="str">
            <v/>
          </cell>
        </row>
        <row r="1118">
          <cell r="Q1118" t="str">
            <v/>
          </cell>
        </row>
        <row r="1119">
          <cell r="Q1119" t="str">
            <v/>
          </cell>
        </row>
        <row r="1120">
          <cell r="Q1120" t="str">
            <v/>
          </cell>
        </row>
        <row r="1121">
          <cell r="Q1121" t="str">
            <v/>
          </cell>
        </row>
        <row r="1122">
          <cell r="Q1122" t="str">
            <v/>
          </cell>
        </row>
        <row r="1123">
          <cell r="Q1123" t="str">
            <v/>
          </cell>
        </row>
        <row r="1124">
          <cell r="Q1124" t="str">
            <v/>
          </cell>
        </row>
        <row r="1125">
          <cell r="Q1125" t="str">
            <v/>
          </cell>
        </row>
        <row r="1126">
          <cell r="Q1126" t="str">
            <v/>
          </cell>
        </row>
        <row r="1127">
          <cell r="Q1127" t="str">
            <v/>
          </cell>
        </row>
        <row r="1128">
          <cell r="Q1128" t="str">
            <v/>
          </cell>
        </row>
        <row r="1129">
          <cell r="Q1129" t="str">
            <v/>
          </cell>
        </row>
        <row r="1130">
          <cell r="Q1130" t="str">
            <v/>
          </cell>
        </row>
        <row r="1131">
          <cell r="Q1131" t="str">
            <v/>
          </cell>
        </row>
        <row r="1132">
          <cell r="Q1132" t="str">
            <v/>
          </cell>
        </row>
        <row r="1133">
          <cell r="Q1133" t="str">
            <v/>
          </cell>
        </row>
        <row r="1134">
          <cell r="Q1134" t="str">
            <v/>
          </cell>
        </row>
        <row r="1135">
          <cell r="Q1135" t="str">
            <v/>
          </cell>
        </row>
        <row r="1136">
          <cell r="Q1136" t="str">
            <v/>
          </cell>
        </row>
        <row r="1137">
          <cell r="Q1137" t="str">
            <v/>
          </cell>
        </row>
        <row r="1138">
          <cell r="Q1138" t="str">
            <v/>
          </cell>
        </row>
        <row r="1139">
          <cell r="Q1139" t="str">
            <v/>
          </cell>
        </row>
        <row r="1140">
          <cell r="Q1140" t="str">
            <v/>
          </cell>
        </row>
        <row r="1141">
          <cell r="Q1141" t="str">
            <v/>
          </cell>
        </row>
        <row r="1142">
          <cell r="Q1142" t="str">
            <v/>
          </cell>
        </row>
        <row r="1143">
          <cell r="Q1143" t="str">
            <v/>
          </cell>
        </row>
        <row r="1144">
          <cell r="Q1144" t="str">
            <v/>
          </cell>
        </row>
        <row r="1145">
          <cell r="Q1145" t="str">
            <v/>
          </cell>
        </row>
        <row r="1146">
          <cell r="Q1146" t="str">
            <v/>
          </cell>
        </row>
        <row r="1147">
          <cell r="Q1147" t="str">
            <v/>
          </cell>
        </row>
        <row r="1148">
          <cell r="Q1148" t="str">
            <v/>
          </cell>
        </row>
        <row r="1149">
          <cell r="Q1149" t="str">
            <v/>
          </cell>
        </row>
        <row r="1150">
          <cell r="Q1150" t="str">
            <v/>
          </cell>
        </row>
        <row r="1151">
          <cell r="Q1151" t="str">
            <v/>
          </cell>
        </row>
        <row r="1152">
          <cell r="Q1152" t="str">
            <v/>
          </cell>
        </row>
        <row r="1153">
          <cell r="Q1153" t="str">
            <v/>
          </cell>
        </row>
        <row r="1154">
          <cell r="Q1154" t="str">
            <v/>
          </cell>
        </row>
        <row r="1155">
          <cell r="Q1155" t="str">
            <v/>
          </cell>
        </row>
        <row r="1156">
          <cell r="Q1156" t="str">
            <v/>
          </cell>
        </row>
        <row r="1157">
          <cell r="Q1157" t="str">
            <v/>
          </cell>
        </row>
        <row r="1158">
          <cell r="Q1158" t="str">
            <v/>
          </cell>
        </row>
        <row r="1159">
          <cell r="Q1159" t="str">
            <v/>
          </cell>
        </row>
        <row r="1160">
          <cell r="Q1160" t="str">
            <v/>
          </cell>
        </row>
        <row r="1161">
          <cell r="Q1161" t="str">
            <v/>
          </cell>
        </row>
        <row r="1162">
          <cell r="Q1162" t="str">
            <v/>
          </cell>
        </row>
        <row r="1163">
          <cell r="Q1163" t="str">
            <v/>
          </cell>
        </row>
        <row r="1164">
          <cell r="Q1164" t="str">
            <v/>
          </cell>
        </row>
        <row r="1165">
          <cell r="Q1165" t="str">
            <v/>
          </cell>
        </row>
        <row r="1166">
          <cell r="Q1166" t="str">
            <v/>
          </cell>
        </row>
        <row r="1167">
          <cell r="Q1167" t="str">
            <v/>
          </cell>
        </row>
        <row r="1168">
          <cell r="Q1168" t="str">
            <v/>
          </cell>
        </row>
        <row r="1169">
          <cell r="Q1169" t="str">
            <v/>
          </cell>
        </row>
        <row r="1170">
          <cell r="Q1170" t="str">
            <v/>
          </cell>
        </row>
        <row r="1171">
          <cell r="Q1171" t="str">
            <v/>
          </cell>
        </row>
        <row r="1172">
          <cell r="Q1172" t="str">
            <v/>
          </cell>
        </row>
        <row r="1173">
          <cell r="Q1173" t="str">
            <v/>
          </cell>
        </row>
        <row r="1174">
          <cell r="Q1174" t="str">
            <v/>
          </cell>
        </row>
        <row r="1175">
          <cell r="Q1175" t="str">
            <v/>
          </cell>
        </row>
        <row r="1176">
          <cell r="Q1176" t="str">
            <v/>
          </cell>
        </row>
        <row r="1177">
          <cell r="Q1177" t="str">
            <v/>
          </cell>
        </row>
        <row r="1178">
          <cell r="Q1178" t="str">
            <v/>
          </cell>
        </row>
        <row r="1179">
          <cell r="Q1179" t="str">
            <v/>
          </cell>
        </row>
        <row r="1180">
          <cell r="Q1180" t="str">
            <v/>
          </cell>
        </row>
        <row r="1181">
          <cell r="Q1181" t="str">
            <v/>
          </cell>
        </row>
        <row r="1182">
          <cell r="Q1182" t="str">
            <v/>
          </cell>
        </row>
        <row r="1183">
          <cell r="Q1183" t="str">
            <v/>
          </cell>
        </row>
        <row r="1184">
          <cell r="Q1184" t="str">
            <v/>
          </cell>
        </row>
        <row r="1185">
          <cell r="Q1185" t="str">
            <v/>
          </cell>
        </row>
        <row r="1186">
          <cell r="Q1186" t="str">
            <v/>
          </cell>
        </row>
        <row r="1187">
          <cell r="Q1187" t="str">
            <v/>
          </cell>
        </row>
        <row r="1188">
          <cell r="Q1188" t="str">
            <v/>
          </cell>
        </row>
        <row r="1189">
          <cell r="Q1189" t="str">
            <v/>
          </cell>
        </row>
        <row r="1190">
          <cell r="Q1190" t="str">
            <v/>
          </cell>
        </row>
        <row r="1191">
          <cell r="Q1191" t="str">
            <v/>
          </cell>
        </row>
        <row r="1192">
          <cell r="Q1192" t="str">
            <v/>
          </cell>
        </row>
        <row r="1193">
          <cell r="Q1193" t="str">
            <v/>
          </cell>
        </row>
        <row r="1194">
          <cell r="Q1194" t="str">
            <v/>
          </cell>
        </row>
        <row r="1195">
          <cell r="Q1195" t="str">
            <v/>
          </cell>
        </row>
        <row r="1196">
          <cell r="Q1196" t="str">
            <v/>
          </cell>
        </row>
        <row r="1197">
          <cell r="Q1197" t="str">
            <v/>
          </cell>
        </row>
        <row r="1198">
          <cell r="Q1198" t="str">
            <v/>
          </cell>
        </row>
        <row r="1199">
          <cell r="Q1199" t="str">
            <v/>
          </cell>
        </row>
        <row r="1200">
          <cell r="Q1200" t="str">
            <v/>
          </cell>
        </row>
        <row r="1201">
          <cell r="Q1201" t="str">
            <v/>
          </cell>
        </row>
        <row r="1202">
          <cell r="Q1202" t="str">
            <v/>
          </cell>
        </row>
        <row r="1203">
          <cell r="Q1203" t="str">
            <v/>
          </cell>
        </row>
        <row r="1204">
          <cell r="Q1204" t="str">
            <v/>
          </cell>
        </row>
        <row r="1205">
          <cell r="Q1205" t="str">
            <v/>
          </cell>
        </row>
        <row r="1206">
          <cell r="Q1206" t="str">
            <v/>
          </cell>
        </row>
        <row r="1207">
          <cell r="Q1207" t="str">
            <v/>
          </cell>
        </row>
        <row r="1208">
          <cell r="Q1208" t="str">
            <v/>
          </cell>
        </row>
        <row r="1209">
          <cell r="Q1209" t="str">
            <v/>
          </cell>
        </row>
        <row r="1210">
          <cell r="Q1210" t="str">
            <v/>
          </cell>
        </row>
        <row r="1211">
          <cell r="Q1211" t="str">
            <v/>
          </cell>
        </row>
        <row r="1212">
          <cell r="Q1212" t="str">
            <v/>
          </cell>
        </row>
        <row r="1213">
          <cell r="Q1213" t="str">
            <v/>
          </cell>
        </row>
        <row r="1214">
          <cell r="Q1214" t="str">
            <v/>
          </cell>
        </row>
        <row r="1215">
          <cell r="Q1215" t="str">
            <v/>
          </cell>
        </row>
        <row r="1216">
          <cell r="Q1216" t="str">
            <v/>
          </cell>
        </row>
        <row r="1217">
          <cell r="Q1217" t="str">
            <v/>
          </cell>
        </row>
        <row r="1218">
          <cell r="Q1218" t="str">
            <v/>
          </cell>
        </row>
        <row r="1219">
          <cell r="Q1219" t="str">
            <v/>
          </cell>
        </row>
        <row r="1220">
          <cell r="Q1220" t="str">
            <v/>
          </cell>
        </row>
        <row r="1221">
          <cell r="Q1221" t="str">
            <v/>
          </cell>
        </row>
        <row r="1222">
          <cell r="Q1222" t="str">
            <v/>
          </cell>
        </row>
        <row r="1223">
          <cell r="Q1223" t="str">
            <v/>
          </cell>
        </row>
        <row r="1224">
          <cell r="Q1224" t="str">
            <v/>
          </cell>
        </row>
        <row r="1225">
          <cell r="Q1225" t="str">
            <v/>
          </cell>
        </row>
        <row r="1226">
          <cell r="Q1226" t="str">
            <v/>
          </cell>
        </row>
        <row r="1227">
          <cell r="Q1227" t="str">
            <v/>
          </cell>
        </row>
        <row r="1228">
          <cell r="Q1228" t="str">
            <v/>
          </cell>
        </row>
        <row r="1229">
          <cell r="Q1229" t="str">
            <v/>
          </cell>
        </row>
        <row r="1230">
          <cell r="Q1230" t="str">
            <v/>
          </cell>
        </row>
        <row r="1231">
          <cell r="Q1231" t="str">
            <v/>
          </cell>
        </row>
        <row r="1232">
          <cell r="Q1232" t="str">
            <v/>
          </cell>
        </row>
        <row r="1233">
          <cell r="Q1233" t="str">
            <v/>
          </cell>
        </row>
        <row r="1234">
          <cell r="Q1234" t="str">
            <v/>
          </cell>
        </row>
        <row r="1235">
          <cell r="Q1235" t="str">
            <v/>
          </cell>
        </row>
        <row r="1236">
          <cell r="Q1236" t="str">
            <v/>
          </cell>
        </row>
        <row r="1237">
          <cell r="Q1237" t="str">
            <v/>
          </cell>
        </row>
        <row r="1238">
          <cell r="Q1238" t="str">
            <v/>
          </cell>
        </row>
        <row r="1239">
          <cell r="Q1239" t="str">
            <v/>
          </cell>
        </row>
        <row r="1240">
          <cell r="Q1240" t="str">
            <v/>
          </cell>
        </row>
        <row r="1241">
          <cell r="Q1241" t="str">
            <v/>
          </cell>
        </row>
        <row r="1242">
          <cell r="Q1242" t="str">
            <v/>
          </cell>
        </row>
        <row r="1243">
          <cell r="Q1243" t="str">
            <v/>
          </cell>
        </row>
        <row r="1244">
          <cell r="Q1244" t="str">
            <v/>
          </cell>
        </row>
        <row r="1245">
          <cell r="Q1245" t="str">
            <v/>
          </cell>
        </row>
        <row r="1246">
          <cell r="Q1246" t="str">
            <v/>
          </cell>
        </row>
        <row r="1247">
          <cell r="Q1247" t="str">
            <v/>
          </cell>
        </row>
        <row r="1248">
          <cell r="Q1248" t="str">
            <v/>
          </cell>
        </row>
        <row r="1249">
          <cell r="Q1249" t="str">
            <v/>
          </cell>
        </row>
        <row r="1250">
          <cell r="Q1250" t="str">
            <v/>
          </cell>
        </row>
        <row r="1251">
          <cell r="Q1251" t="str">
            <v/>
          </cell>
        </row>
        <row r="1252">
          <cell r="Q1252" t="str">
            <v/>
          </cell>
        </row>
        <row r="1253">
          <cell r="Q1253" t="str">
            <v/>
          </cell>
        </row>
        <row r="1254">
          <cell r="Q1254" t="str">
            <v/>
          </cell>
        </row>
        <row r="1255">
          <cell r="Q1255" t="str">
            <v/>
          </cell>
        </row>
        <row r="1256">
          <cell r="Q1256" t="str">
            <v/>
          </cell>
        </row>
        <row r="1257">
          <cell r="Q1257" t="str">
            <v/>
          </cell>
        </row>
        <row r="1258">
          <cell r="Q1258" t="str">
            <v/>
          </cell>
        </row>
        <row r="1259">
          <cell r="Q1259" t="str">
            <v/>
          </cell>
        </row>
        <row r="1260">
          <cell r="Q1260" t="str">
            <v/>
          </cell>
        </row>
        <row r="1261">
          <cell r="Q1261" t="str">
            <v/>
          </cell>
        </row>
        <row r="1262">
          <cell r="Q1262" t="str">
            <v/>
          </cell>
        </row>
        <row r="1263">
          <cell r="Q1263" t="str">
            <v/>
          </cell>
        </row>
        <row r="1264">
          <cell r="Q1264" t="str">
            <v/>
          </cell>
        </row>
        <row r="1265">
          <cell r="Q1265" t="str">
            <v/>
          </cell>
        </row>
        <row r="1266">
          <cell r="Q1266" t="str">
            <v/>
          </cell>
        </row>
        <row r="1267">
          <cell r="Q1267" t="str">
            <v/>
          </cell>
        </row>
        <row r="1268">
          <cell r="Q1268" t="str">
            <v/>
          </cell>
        </row>
        <row r="1269">
          <cell r="Q1269" t="str">
            <v/>
          </cell>
        </row>
        <row r="1270">
          <cell r="Q1270" t="str">
            <v/>
          </cell>
        </row>
        <row r="1271">
          <cell r="Q1271" t="str">
            <v/>
          </cell>
        </row>
        <row r="1272">
          <cell r="Q1272" t="str">
            <v/>
          </cell>
        </row>
        <row r="1273">
          <cell r="Q1273" t="str">
            <v/>
          </cell>
        </row>
        <row r="1274">
          <cell r="Q1274" t="str">
            <v/>
          </cell>
        </row>
        <row r="1275">
          <cell r="Q1275" t="str">
            <v/>
          </cell>
        </row>
        <row r="1276">
          <cell r="Q1276" t="str">
            <v/>
          </cell>
        </row>
        <row r="1277">
          <cell r="Q1277" t="str">
            <v/>
          </cell>
        </row>
        <row r="1278">
          <cell r="Q1278" t="str">
            <v/>
          </cell>
        </row>
        <row r="1279">
          <cell r="Q1279" t="str">
            <v/>
          </cell>
        </row>
        <row r="1280">
          <cell r="Q1280" t="str">
            <v/>
          </cell>
        </row>
        <row r="1281">
          <cell r="Q1281" t="str">
            <v/>
          </cell>
        </row>
        <row r="1282">
          <cell r="Q1282" t="str">
            <v/>
          </cell>
        </row>
        <row r="1283">
          <cell r="Q1283" t="str">
            <v/>
          </cell>
        </row>
        <row r="1284">
          <cell r="Q1284" t="str">
            <v/>
          </cell>
        </row>
        <row r="1285">
          <cell r="Q1285" t="str">
            <v/>
          </cell>
        </row>
        <row r="1286">
          <cell r="Q1286" t="str">
            <v/>
          </cell>
        </row>
        <row r="1287">
          <cell r="Q1287" t="str">
            <v/>
          </cell>
        </row>
        <row r="1288">
          <cell r="Q1288" t="str">
            <v/>
          </cell>
        </row>
        <row r="1289">
          <cell r="Q1289" t="str">
            <v/>
          </cell>
        </row>
        <row r="1290">
          <cell r="Q1290" t="str">
            <v/>
          </cell>
        </row>
        <row r="1291">
          <cell r="Q1291" t="str">
            <v/>
          </cell>
        </row>
        <row r="1292">
          <cell r="Q1292" t="str">
            <v/>
          </cell>
        </row>
        <row r="1293">
          <cell r="Q1293" t="str">
            <v/>
          </cell>
        </row>
        <row r="1294">
          <cell r="Q1294" t="str">
            <v/>
          </cell>
        </row>
        <row r="1295">
          <cell r="Q1295" t="str">
            <v/>
          </cell>
        </row>
        <row r="1296">
          <cell r="Q1296" t="str">
            <v/>
          </cell>
        </row>
        <row r="1297">
          <cell r="Q1297" t="str">
            <v/>
          </cell>
        </row>
        <row r="1298">
          <cell r="Q1298" t="str">
            <v/>
          </cell>
        </row>
        <row r="1299">
          <cell r="Q1299" t="str">
            <v/>
          </cell>
        </row>
        <row r="1300">
          <cell r="Q1300" t="str">
            <v/>
          </cell>
        </row>
        <row r="1301">
          <cell r="Q1301" t="str">
            <v/>
          </cell>
        </row>
        <row r="1302">
          <cell r="Q1302" t="str">
            <v/>
          </cell>
        </row>
        <row r="1303">
          <cell r="Q1303" t="str">
            <v/>
          </cell>
        </row>
        <row r="1304">
          <cell r="Q1304" t="str">
            <v/>
          </cell>
        </row>
        <row r="1305">
          <cell r="Q1305" t="str">
            <v/>
          </cell>
        </row>
        <row r="1306">
          <cell r="Q1306" t="str">
            <v/>
          </cell>
        </row>
        <row r="1307">
          <cell r="Q1307" t="str">
            <v/>
          </cell>
        </row>
        <row r="1308">
          <cell r="Q1308" t="str">
            <v/>
          </cell>
        </row>
        <row r="1309">
          <cell r="Q1309" t="str">
            <v/>
          </cell>
        </row>
        <row r="1310">
          <cell r="Q1310" t="str">
            <v/>
          </cell>
        </row>
        <row r="1311">
          <cell r="Q1311" t="str">
            <v/>
          </cell>
        </row>
        <row r="1312">
          <cell r="Q1312" t="str">
            <v/>
          </cell>
        </row>
        <row r="1313">
          <cell r="Q1313" t="str">
            <v/>
          </cell>
        </row>
        <row r="1314">
          <cell r="Q1314" t="str">
            <v/>
          </cell>
        </row>
        <row r="1315">
          <cell r="Q1315" t="str">
            <v/>
          </cell>
        </row>
        <row r="1316">
          <cell r="Q1316" t="str">
            <v/>
          </cell>
        </row>
        <row r="1317">
          <cell r="Q1317" t="str">
            <v/>
          </cell>
        </row>
        <row r="1318">
          <cell r="Q1318" t="str">
            <v/>
          </cell>
        </row>
        <row r="1319">
          <cell r="Q1319" t="str">
            <v/>
          </cell>
        </row>
        <row r="1320">
          <cell r="Q1320" t="str">
            <v/>
          </cell>
        </row>
        <row r="1321">
          <cell r="Q1321" t="str">
            <v/>
          </cell>
        </row>
        <row r="1322">
          <cell r="Q1322" t="str">
            <v/>
          </cell>
        </row>
        <row r="1323">
          <cell r="Q1323" t="str">
            <v/>
          </cell>
        </row>
        <row r="1324">
          <cell r="Q1324" t="str">
            <v/>
          </cell>
        </row>
        <row r="1325">
          <cell r="Q1325" t="str">
            <v/>
          </cell>
        </row>
        <row r="1326">
          <cell r="Q1326" t="str">
            <v/>
          </cell>
        </row>
        <row r="1327">
          <cell r="Q1327" t="str">
            <v/>
          </cell>
        </row>
        <row r="1328">
          <cell r="Q1328" t="str">
            <v/>
          </cell>
        </row>
        <row r="1329">
          <cell r="Q1329" t="str">
            <v/>
          </cell>
        </row>
        <row r="1330">
          <cell r="Q1330" t="str">
            <v/>
          </cell>
        </row>
        <row r="1331">
          <cell r="Q1331" t="str">
            <v/>
          </cell>
        </row>
        <row r="1332">
          <cell r="Q1332" t="str">
            <v/>
          </cell>
        </row>
        <row r="1333">
          <cell r="Q1333" t="str">
            <v/>
          </cell>
        </row>
        <row r="1334">
          <cell r="Q1334" t="str">
            <v/>
          </cell>
        </row>
        <row r="1335">
          <cell r="Q1335" t="str">
            <v/>
          </cell>
        </row>
        <row r="1336">
          <cell r="Q1336" t="str">
            <v/>
          </cell>
        </row>
        <row r="1337">
          <cell r="Q1337" t="str">
            <v/>
          </cell>
        </row>
        <row r="1338">
          <cell r="Q1338" t="str">
            <v/>
          </cell>
        </row>
        <row r="1339">
          <cell r="Q1339" t="str">
            <v/>
          </cell>
        </row>
        <row r="1340">
          <cell r="Q1340" t="str">
            <v/>
          </cell>
        </row>
        <row r="1341">
          <cell r="Q1341" t="str">
            <v/>
          </cell>
        </row>
        <row r="1342">
          <cell r="Q1342" t="str">
            <v/>
          </cell>
        </row>
        <row r="1343">
          <cell r="Q1343" t="str">
            <v/>
          </cell>
        </row>
        <row r="1344">
          <cell r="Q1344" t="str">
            <v/>
          </cell>
        </row>
        <row r="1345">
          <cell r="Q1345" t="str">
            <v/>
          </cell>
        </row>
        <row r="1346">
          <cell r="Q1346" t="str">
            <v/>
          </cell>
        </row>
        <row r="1347">
          <cell r="Q1347" t="str">
            <v/>
          </cell>
        </row>
        <row r="1348">
          <cell r="Q1348" t="str">
            <v/>
          </cell>
        </row>
        <row r="1349">
          <cell r="Q1349" t="str">
            <v/>
          </cell>
        </row>
        <row r="1350">
          <cell r="Q1350" t="str">
            <v/>
          </cell>
        </row>
        <row r="1351">
          <cell r="Q1351" t="str">
            <v/>
          </cell>
        </row>
        <row r="1352">
          <cell r="Q1352" t="str">
            <v/>
          </cell>
        </row>
        <row r="1353">
          <cell r="Q1353" t="str">
            <v/>
          </cell>
        </row>
        <row r="1354">
          <cell r="Q1354" t="str">
            <v/>
          </cell>
        </row>
        <row r="1355">
          <cell r="Q1355" t="str">
            <v/>
          </cell>
        </row>
        <row r="1356">
          <cell r="Q1356" t="str">
            <v/>
          </cell>
        </row>
        <row r="1357">
          <cell r="Q1357" t="str">
            <v/>
          </cell>
        </row>
        <row r="1358">
          <cell r="Q1358" t="str">
            <v/>
          </cell>
        </row>
        <row r="1359">
          <cell r="Q1359" t="str">
            <v/>
          </cell>
        </row>
        <row r="1360">
          <cell r="Q1360" t="str">
            <v/>
          </cell>
        </row>
        <row r="1361">
          <cell r="Q1361" t="str">
            <v/>
          </cell>
        </row>
        <row r="1362">
          <cell r="Q1362" t="str">
            <v/>
          </cell>
        </row>
        <row r="1363">
          <cell r="Q1363" t="str">
            <v/>
          </cell>
        </row>
        <row r="1364">
          <cell r="Q1364" t="str">
            <v/>
          </cell>
        </row>
        <row r="1365">
          <cell r="Q1365" t="str">
            <v/>
          </cell>
        </row>
        <row r="1366">
          <cell r="Q1366" t="str">
            <v/>
          </cell>
        </row>
        <row r="1367">
          <cell r="Q1367" t="str">
            <v/>
          </cell>
        </row>
        <row r="1368">
          <cell r="Q1368" t="str">
            <v/>
          </cell>
        </row>
        <row r="1369">
          <cell r="Q1369" t="str">
            <v/>
          </cell>
        </row>
        <row r="1370">
          <cell r="Q1370" t="str">
            <v/>
          </cell>
        </row>
        <row r="1371">
          <cell r="Q1371" t="str">
            <v/>
          </cell>
        </row>
        <row r="1372">
          <cell r="Q1372" t="str">
            <v/>
          </cell>
        </row>
        <row r="1373">
          <cell r="Q1373" t="str">
            <v/>
          </cell>
        </row>
        <row r="1374">
          <cell r="Q1374" t="str">
            <v/>
          </cell>
        </row>
        <row r="1375">
          <cell r="Q1375" t="str">
            <v/>
          </cell>
        </row>
        <row r="1376">
          <cell r="Q1376" t="str">
            <v/>
          </cell>
        </row>
        <row r="1377">
          <cell r="Q1377" t="str">
            <v/>
          </cell>
        </row>
        <row r="1378">
          <cell r="Q1378" t="str">
            <v/>
          </cell>
        </row>
        <row r="1379">
          <cell r="Q1379" t="str">
            <v/>
          </cell>
        </row>
        <row r="1380">
          <cell r="Q1380" t="str">
            <v/>
          </cell>
        </row>
        <row r="1381">
          <cell r="Q1381" t="str">
            <v/>
          </cell>
        </row>
        <row r="1382">
          <cell r="Q1382" t="str">
            <v/>
          </cell>
        </row>
        <row r="1383">
          <cell r="Q1383" t="str">
            <v/>
          </cell>
        </row>
        <row r="1384">
          <cell r="Q1384" t="str">
            <v/>
          </cell>
        </row>
        <row r="1385">
          <cell r="Q1385" t="str">
            <v/>
          </cell>
        </row>
        <row r="1386">
          <cell r="Q1386" t="str">
            <v/>
          </cell>
        </row>
        <row r="1387">
          <cell r="Q1387" t="str">
            <v/>
          </cell>
        </row>
        <row r="1388">
          <cell r="Q1388" t="str">
            <v/>
          </cell>
        </row>
        <row r="1389">
          <cell r="Q1389" t="str">
            <v/>
          </cell>
        </row>
        <row r="1390">
          <cell r="Q1390" t="str">
            <v/>
          </cell>
        </row>
        <row r="1391">
          <cell r="Q1391" t="str">
            <v/>
          </cell>
        </row>
        <row r="1392">
          <cell r="Q1392" t="str">
            <v/>
          </cell>
        </row>
        <row r="1393">
          <cell r="Q1393" t="str">
            <v/>
          </cell>
        </row>
        <row r="1394">
          <cell r="Q1394" t="str">
            <v/>
          </cell>
        </row>
        <row r="1395">
          <cell r="Q1395" t="str">
            <v/>
          </cell>
        </row>
        <row r="1396">
          <cell r="Q1396" t="str">
            <v/>
          </cell>
        </row>
        <row r="1397">
          <cell r="Q1397" t="str">
            <v/>
          </cell>
        </row>
        <row r="1398">
          <cell r="Q1398" t="str">
            <v/>
          </cell>
        </row>
        <row r="1399">
          <cell r="Q1399" t="str">
            <v/>
          </cell>
        </row>
        <row r="1400">
          <cell r="Q1400" t="str">
            <v/>
          </cell>
        </row>
        <row r="1401">
          <cell r="Q1401" t="str">
            <v/>
          </cell>
        </row>
        <row r="1402">
          <cell r="Q1402" t="str">
            <v/>
          </cell>
        </row>
        <row r="1403">
          <cell r="Q1403" t="str">
            <v/>
          </cell>
        </row>
        <row r="1404">
          <cell r="Q1404" t="str">
            <v/>
          </cell>
        </row>
        <row r="1405">
          <cell r="Q1405" t="str">
            <v/>
          </cell>
        </row>
        <row r="1406">
          <cell r="Q1406" t="str">
            <v/>
          </cell>
        </row>
        <row r="1407">
          <cell r="Q1407" t="str">
            <v/>
          </cell>
        </row>
        <row r="1408">
          <cell r="Q1408" t="str">
            <v/>
          </cell>
        </row>
        <row r="1409">
          <cell r="Q1409" t="str">
            <v/>
          </cell>
        </row>
        <row r="1410">
          <cell r="Q1410" t="str">
            <v/>
          </cell>
        </row>
        <row r="1411">
          <cell r="Q1411" t="str">
            <v/>
          </cell>
        </row>
        <row r="1412">
          <cell r="Q1412" t="str">
            <v/>
          </cell>
        </row>
        <row r="1413">
          <cell r="Q1413" t="str">
            <v/>
          </cell>
        </row>
        <row r="1414">
          <cell r="Q1414" t="str">
            <v/>
          </cell>
        </row>
        <row r="1415">
          <cell r="Q1415" t="str">
            <v/>
          </cell>
        </row>
        <row r="1416">
          <cell r="Q1416" t="str">
            <v/>
          </cell>
        </row>
        <row r="1417">
          <cell r="Q1417" t="str">
            <v/>
          </cell>
        </row>
        <row r="1418">
          <cell r="Q1418" t="str">
            <v/>
          </cell>
        </row>
        <row r="1419">
          <cell r="Q1419" t="str">
            <v/>
          </cell>
        </row>
        <row r="1420">
          <cell r="Q1420" t="str">
            <v/>
          </cell>
        </row>
        <row r="1421">
          <cell r="Q1421" t="str">
            <v/>
          </cell>
        </row>
        <row r="1422">
          <cell r="Q1422" t="str">
            <v/>
          </cell>
        </row>
        <row r="1423">
          <cell r="Q1423" t="str">
            <v/>
          </cell>
        </row>
        <row r="1424">
          <cell r="Q1424" t="str">
            <v/>
          </cell>
        </row>
        <row r="1425">
          <cell r="Q1425" t="str">
            <v/>
          </cell>
        </row>
        <row r="1426">
          <cell r="Q1426" t="str">
            <v/>
          </cell>
        </row>
        <row r="1427">
          <cell r="Q1427" t="str">
            <v/>
          </cell>
        </row>
        <row r="1428">
          <cell r="Q1428" t="str">
            <v/>
          </cell>
        </row>
        <row r="1429">
          <cell r="Q1429" t="str">
            <v/>
          </cell>
        </row>
        <row r="1430">
          <cell r="Q1430" t="str">
            <v/>
          </cell>
        </row>
        <row r="1431">
          <cell r="Q1431" t="str">
            <v/>
          </cell>
        </row>
        <row r="1432">
          <cell r="Q1432" t="str">
            <v/>
          </cell>
        </row>
        <row r="1433">
          <cell r="Q1433" t="str">
            <v/>
          </cell>
        </row>
        <row r="1434">
          <cell r="Q1434" t="str">
            <v/>
          </cell>
        </row>
        <row r="1435">
          <cell r="Q1435" t="str">
            <v/>
          </cell>
        </row>
        <row r="1436">
          <cell r="Q1436" t="str">
            <v/>
          </cell>
        </row>
        <row r="1437">
          <cell r="Q1437" t="str">
            <v/>
          </cell>
        </row>
        <row r="1438">
          <cell r="Q1438" t="str">
            <v/>
          </cell>
        </row>
        <row r="1439">
          <cell r="Q1439" t="str">
            <v/>
          </cell>
        </row>
        <row r="1440">
          <cell r="Q1440" t="str">
            <v/>
          </cell>
        </row>
        <row r="1441">
          <cell r="Q1441" t="str">
            <v/>
          </cell>
        </row>
        <row r="1442">
          <cell r="Q1442" t="str">
            <v/>
          </cell>
        </row>
        <row r="1443">
          <cell r="Q1443" t="str">
            <v/>
          </cell>
        </row>
        <row r="1444">
          <cell r="Q1444" t="str">
            <v/>
          </cell>
        </row>
        <row r="1445">
          <cell r="Q1445" t="str">
            <v/>
          </cell>
        </row>
        <row r="1446">
          <cell r="Q1446" t="str">
            <v/>
          </cell>
        </row>
        <row r="1447">
          <cell r="Q1447" t="str">
            <v/>
          </cell>
        </row>
        <row r="1448">
          <cell r="Q1448" t="str">
            <v/>
          </cell>
        </row>
        <row r="1449">
          <cell r="Q1449" t="str">
            <v/>
          </cell>
        </row>
        <row r="1450">
          <cell r="Q1450" t="str">
            <v/>
          </cell>
        </row>
        <row r="1451">
          <cell r="Q1451" t="str">
            <v/>
          </cell>
        </row>
        <row r="1452">
          <cell r="Q1452" t="str">
            <v/>
          </cell>
        </row>
        <row r="1453">
          <cell r="Q1453" t="str">
            <v/>
          </cell>
        </row>
        <row r="1454">
          <cell r="Q1454" t="str">
            <v/>
          </cell>
        </row>
        <row r="1455">
          <cell r="Q1455" t="str">
            <v/>
          </cell>
        </row>
        <row r="1456">
          <cell r="Q1456" t="str">
            <v/>
          </cell>
        </row>
        <row r="1457">
          <cell r="Q1457" t="str">
            <v/>
          </cell>
        </row>
        <row r="1458">
          <cell r="Q1458" t="str">
            <v/>
          </cell>
        </row>
        <row r="1459">
          <cell r="Q1459" t="str">
            <v/>
          </cell>
        </row>
        <row r="1460">
          <cell r="Q1460" t="str">
            <v/>
          </cell>
        </row>
        <row r="1461">
          <cell r="Q1461" t="str">
            <v/>
          </cell>
        </row>
        <row r="1462">
          <cell r="Q1462" t="str">
            <v/>
          </cell>
        </row>
        <row r="1463">
          <cell r="Q1463" t="str">
            <v/>
          </cell>
        </row>
        <row r="1464">
          <cell r="Q1464" t="str">
            <v/>
          </cell>
        </row>
        <row r="1465">
          <cell r="Q1465" t="str">
            <v/>
          </cell>
        </row>
        <row r="1466">
          <cell r="Q1466" t="str">
            <v/>
          </cell>
        </row>
        <row r="1467">
          <cell r="Q1467" t="str">
            <v/>
          </cell>
        </row>
        <row r="1468">
          <cell r="Q1468" t="str">
            <v/>
          </cell>
        </row>
        <row r="1469">
          <cell r="Q1469" t="str">
            <v/>
          </cell>
        </row>
        <row r="1470">
          <cell r="Q1470" t="str">
            <v/>
          </cell>
        </row>
        <row r="1471">
          <cell r="Q1471" t="str">
            <v/>
          </cell>
        </row>
        <row r="1472">
          <cell r="Q1472" t="str">
            <v/>
          </cell>
        </row>
        <row r="1473">
          <cell r="Q1473" t="str">
            <v/>
          </cell>
        </row>
        <row r="1474">
          <cell r="Q1474" t="str">
            <v/>
          </cell>
        </row>
        <row r="1475">
          <cell r="Q1475" t="str">
            <v/>
          </cell>
        </row>
        <row r="1476">
          <cell r="Q1476" t="str">
            <v/>
          </cell>
        </row>
        <row r="1477">
          <cell r="Q1477" t="str">
            <v/>
          </cell>
        </row>
        <row r="1478">
          <cell r="Q1478" t="str">
            <v/>
          </cell>
        </row>
        <row r="1479">
          <cell r="Q1479" t="str">
            <v/>
          </cell>
        </row>
        <row r="1480">
          <cell r="Q1480" t="str">
            <v/>
          </cell>
        </row>
        <row r="1481">
          <cell r="Q1481" t="str">
            <v/>
          </cell>
        </row>
        <row r="1482">
          <cell r="Q1482" t="str">
            <v/>
          </cell>
        </row>
        <row r="1483">
          <cell r="Q1483" t="str">
            <v/>
          </cell>
        </row>
        <row r="1484">
          <cell r="Q1484" t="str">
            <v/>
          </cell>
        </row>
        <row r="1485">
          <cell r="Q1485" t="str">
            <v/>
          </cell>
        </row>
        <row r="1486">
          <cell r="Q1486" t="str">
            <v/>
          </cell>
        </row>
        <row r="1487">
          <cell r="Q1487" t="str">
            <v/>
          </cell>
        </row>
        <row r="1488">
          <cell r="Q1488" t="str">
            <v/>
          </cell>
        </row>
        <row r="1489">
          <cell r="Q1489" t="str">
            <v/>
          </cell>
        </row>
        <row r="1490">
          <cell r="Q1490" t="str">
            <v/>
          </cell>
        </row>
        <row r="1491">
          <cell r="Q1491" t="str">
            <v/>
          </cell>
        </row>
        <row r="1492">
          <cell r="Q1492" t="str">
            <v/>
          </cell>
        </row>
        <row r="1493">
          <cell r="Q1493" t="str">
            <v/>
          </cell>
        </row>
        <row r="1494">
          <cell r="Q1494" t="str">
            <v/>
          </cell>
        </row>
        <row r="1495">
          <cell r="Q1495" t="str">
            <v/>
          </cell>
        </row>
        <row r="1496">
          <cell r="Q1496" t="str">
            <v/>
          </cell>
        </row>
        <row r="1497">
          <cell r="Q1497" t="str">
            <v/>
          </cell>
        </row>
        <row r="1498">
          <cell r="Q1498" t="str">
            <v/>
          </cell>
        </row>
        <row r="1499">
          <cell r="Q1499" t="str">
            <v/>
          </cell>
        </row>
        <row r="1500">
          <cell r="Q1500" t="str">
            <v/>
          </cell>
        </row>
        <row r="1501">
          <cell r="Q1501" t="str">
            <v/>
          </cell>
        </row>
        <row r="1502">
          <cell r="Q1502" t="str">
            <v/>
          </cell>
        </row>
        <row r="1503">
          <cell r="Q1503" t="str">
            <v/>
          </cell>
        </row>
        <row r="1504">
          <cell r="Q1504" t="str">
            <v/>
          </cell>
        </row>
        <row r="1505">
          <cell r="Q1505" t="str">
            <v/>
          </cell>
        </row>
        <row r="1506">
          <cell r="Q1506" t="str">
            <v/>
          </cell>
        </row>
        <row r="1507">
          <cell r="Q1507" t="str">
            <v/>
          </cell>
        </row>
        <row r="1508">
          <cell r="Q1508" t="str">
            <v/>
          </cell>
        </row>
        <row r="1509">
          <cell r="Q1509" t="str">
            <v/>
          </cell>
        </row>
        <row r="1510">
          <cell r="Q1510" t="str">
            <v/>
          </cell>
        </row>
        <row r="1511">
          <cell r="Q1511" t="str">
            <v/>
          </cell>
        </row>
        <row r="1512">
          <cell r="Q1512" t="str">
            <v/>
          </cell>
        </row>
        <row r="1513">
          <cell r="Q1513" t="str">
            <v/>
          </cell>
        </row>
        <row r="1514">
          <cell r="Q1514" t="str">
            <v/>
          </cell>
        </row>
        <row r="1515">
          <cell r="Q1515" t="str">
            <v/>
          </cell>
        </row>
        <row r="1516">
          <cell r="Q1516" t="str">
            <v/>
          </cell>
        </row>
        <row r="1517">
          <cell r="Q1517" t="str">
            <v/>
          </cell>
        </row>
        <row r="1518">
          <cell r="Q1518" t="str">
            <v/>
          </cell>
        </row>
        <row r="1519">
          <cell r="Q1519" t="str">
            <v/>
          </cell>
        </row>
        <row r="1520">
          <cell r="Q1520" t="str">
            <v/>
          </cell>
        </row>
        <row r="1521">
          <cell r="Q1521" t="str">
            <v/>
          </cell>
        </row>
        <row r="1522">
          <cell r="Q1522" t="str">
            <v/>
          </cell>
        </row>
        <row r="1523">
          <cell r="Q1523" t="str">
            <v/>
          </cell>
        </row>
        <row r="1524">
          <cell r="Q1524" t="str">
            <v/>
          </cell>
        </row>
        <row r="1525">
          <cell r="Q1525" t="str">
            <v/>
          </cell>
        </row>
        <row r="1526">
          <cell r="Q1526" t="str">
            <v/>
          </cell>
        </row>
        <row r="1527">
          <cell r="Q1527" t="str">
            <v/>
          </cell>
        </row>
        <row r="1528">
          <cell r="Q1528" t="str">
            <v/>
          </cell>
        </row>
        <row r="1529">
          <cell r="Q1529" t="str">
            <v/>
          </cell>
        </row>
        <row r="1530">
          <cell r="Q1530" t="str">
            <v/>
          </cell>
        </row>
        <row r="1531">
          <cell r="Q1531" t="str">
            <v/>
          </cell>
        </row>
        <row r="1532">
          <cell r="Q1532" t="str">
            <v/>
          </cell>
        </row>
        <row r="1533">
          <cell r="Q1533" t="str">
            <v/>
          </cell>
        </row>
        <row r="1534">
          <cell r="Q1534" t="str">
            <v/>
          </cell>
        </row>
        <row r="1535">
          <cell r="Q1535" t="str">
            <v/>
          </cell>
        </row>
        <row r="1536">
          <cell r="Q1536" t="str">
            <v/>
          </cell>
        </row>
        <row r="1537">
          <cell r="Q1537" t="str">
            <v/>
          </cell>
        </row>
        <row r="1538">
          <cell r="Q1538" t="str">
            <v/>
          </cell>
        </row>
        <row r="1539">
          <cell r="Q1539" t="str">
            <v/>
          </cell>
        </row>
        <row r="1540">
          <cell r="Q1540" t="str">
            <v/>
          </cell>
        </row>
        <row r="1541">
          <cell r="Q1541" t="str">
            <v/>
          </cell>
        </row>
        <row r="1542">
          <cell r="Q1542" t="str">
            <v/>
          </cell>
        </row>
        <row r="1543">
          <cell r="Q1543" t="str">
            <v/>
          </cell>
        </row>
        <row r="1544">
          <cell r="Q1544" t="str">
            <v/>
          </cell>
        </row>
        <row r="1545">
          <cell r="Q1545" t="str">
            <v/>
          </cell>
        </row>
        <row r="1546">
          <cell r="Q1546" t="str">
            <v/>
          </cell>
        </row>
        <row r="1547">
          <cell r="Q1547" t="str">
            <v/>
          </cell>
        </row>
        <row r="1548">
          <cell r="Q1548" t="str">
            <v/>
          </cell>
        </row>
        <row r="1549">
          <cell r="Q1549" t="str">
            <v/>
          </cell>
        </row>
        <row r="1550">
          <cell r="Q1550" t="str">
            <v/>
          </cell>
        </row>
        <row r="1551">
          <cell r="Q1551" t="str">
            <v/>
          </cell>
        </row>
        <row r="1552">
          <cell r="Q1552" t="str">
            <v/>
          </cell>
        </row>
        <row r="1553">
          <cell r="Q1553" t="str">
            <v/>
          </cell>
        </row>
        <row r="1554">
          <cell r="Q1554" t="str">
            <v/>
          </cell>
        </row>
        <row r="1555">
          <cell r="Q1555" t="str">
            <v/>
          </cell>
        </row>
        <row r="1556">
          <cell r="Q1556" t="str">
            <v/>
          </cell>
        </row>
        <row r="1557">
          <cell r="Q1557" t="str">
            <v/>
          </cell>
        </row>
        <row r="1558">
          <cell r="Q1558" t="str">
            <v/>
          </cell>
        </row>
        <row r="1559">
          <cell r="Q1559" t="str">
            <v/>
          </cell>
        </row>
        <row r="1560">
          <cell r="Q1560" t="str">
            <v/>
          </cell>
        </row>
        <row r="1561">
          <cell r="Q1561" t="str">
            <v/>
          </cell>
        </row>
        <row r="1562">
          <cell r="Q1562" t="str">
            <v/>
          </cell>
        </row>
        <row r="1563">
          <cell r="Q1563" t="str">
            <v/>
          </cell>
        </row>
        <row r="1564">
          <cell r="Q1564" t="str">
            <v/>
          </cell>
        </row>
        <row r="1565">
          <cell r="Q1565" t="str">
            <v/>
          </cell>
        </row>
        <row r="1566">
          <cell r="Q1566" t="str">
            <v/>
          </cell>
        </row>
        <row r="1567">
          <cell r="Q1567" t="str">
            <v/>
          </cell>
        </row>
        <row r="1568">
          <cell r="Q1568" t="str">
            <v/>
          </cell>
        </row>
        <row r="1569">
          <cell r="Q1569" t="str">
            <v/>
          </cell>
        </row>
        <row r="1570">
          <cell r="Q1570" t="str">
            <v/>
          </cell>
        </row>
        <row r="1571">
          <cell r="Q1571" t="str">
            <v/>
          </cell>
        </row>
        <row r="1572">
          <cell r="Q1572" t="str">
            <v/>
          </cell>
        </row>
        <row r="1573">
          <cell r="Q1573" t="str">
            <v/>
          </cell>
        </row>
        <row r="1574">
          <cell r="Q1574" t="str">
            <v/>
          </cell>
        </row>
        <row r="1575">
          <cell r="Q1575" t="str">
            <v/>
          </cell>
        </row>
        <row r="1576">
          <cell r="Q1576" t="str">
            <v/>
          </cell>
        </row>
        <row r="1577">
          <cell r="Q1577" t="str">
            <v/>
          </cell>
        </row>
        <row r="1578">
          <cell r="Q1578" t="str">
            <v/>
          </cell>
        </row>
        <row r="1579">
          <cell r="Q1579" t="str">
            <v/>
          </cell>
        </row>
        <row r="1580">
          <cell r="Q1580" t="str">
            <v/>
          </cell>
        </row>
        <row r="1581">
          <cell r="Q1581" t="str">
            <v/>
          </cell>
        </row>
        <row r="1582">
          <cell r="Q1582" t="str">
            <v/>
          </cell>
        </row>
        <row r="1583">
          <cell r="Q1583" t="str">
            <v/>
          </cell>
        </row>
        <row r="1584">
          <cell r="Q1584" t="str">
            <v/>
          </cell>
        </row>
        <row r="1585">
          <cell r="Q1585" t="str">
            <v/>
          </cell>
        </row>
        <row r="1586">
          <cell r="Q1586" t="str">
            <v/>
          </cell>
        </row>
        <row r="1587">
          <cell r="Q1587" t="str">
            <v/>
          </cell>
        </row>
        <row r="1588">
          <cell r="Q1588" t="str">
            <v/>
          </cell>
        </row>
        <row r="1589">
          <cell r="Q1589" t="str">
            <v/>
          </cell>
        </row>
        <row r="1590">
          <cell r="Q1590" t="str">
            <v/>
          </cell>
        </row>
        <row r="1591">
          <cell r="Q1591" t="str">
            <v/>
          </cell>
        </row>
        <row r="1592">
          <cell r="Q1592" t="str">
            <v/>
          </cell>
        </row>
        <row r="1593">
          <cell r="Q1593" t="str">
            <v/>
          </cell>
        </row>
        <row r="1594">
          <cell r="Q1594" t="str">
            <v/>
          </cell>
        </row>
        <row r="1595">
          <cell r="Q1595" t="str">
            <v/>
          </cell>
        </row>
        <row r="1596">
          <cell r="Q1596" t="str">
            <v/>
          </cell>
        </row>
        <row r="1597">
          <cell r="Q1597" t="str">
            <v/>
          </cell>
        </row>
        <row r="1598">
          <cell r="Q1598" t="str">
            <v/>
          </cell>
        </row>
        <row r="1599">
          <cell r="Q1599" t="str">
            <v/>
          </cell>
        </row>
        <row r="1600">
          <cell r="Q1600" t="str">
            <v/>
          </cell>
        </row>
        <row r="1601">
          <cell r="Q1601" t="str">
            <v/>
          </cell>
        </row>
        <row r="1602">
          <cell r="Q1602" t="str">
            <v/>
          </cell>
        </row>
        <row r="1603">
          <cell r="Q1603" t="str">
            <v/>
          </cell>
        </row>
        <row r="1604">
          <cell r="Q1604" t="str">
            <v/>
          </cell>
        </row>
        <row r="1605">
          <cell r="Q1605" t="str">
            <v/>
          </cell>
        </row>
        <row r="1606">
          <cell r="Q1606" t="str">
            <v/>
          </cell>
        </row>
        <row r="1607">
          <cell r="Q1607" t="str">
            <v/>
          </cell>
        </row>
        <row r="1608">
          <cell r="Q1608" t="str">
            <v/>
          </cell>
        </row>
        <row r="1609">
          <cell r="Q1609" t="str">
            <v/>
          </cell>
        </row>
        <row r="1610">
          <cell r="Q1610" t="str">
            <v/>
          </cell>
        </row>
        <row r="1611">
          <cell r="Q1611" t="str">
            <v/>
          </cell>
        </row>
        <row r="1612">
          <cell r="Q1612" t="str">
            <v/>
          </cell>
        </row>
        <row r="1613">
          <cell r="Q1613" t="str">
            <v/>
          </cell>
        </row>
        <row r="1614">
          <cell r="Q1614" t="str">
            <v/>
          </cell>
        </row>
        <row r="1615">
          <cell r="Q1615" t="str">
            <v/>
          </cell>
        </row>
        <row r="1616">
          <cell r="Q1616" t="str">
            <v/>
          </cell>
        </row>
        <row r="1617">
          <cell r="Q1617" t="str">
            <v/>
          </cell>
        </row>
        <row r="1618">
          <cell r="Q1618" t="str">
            <v/>
          </cell>
        </row>
        <row r="1619">
          <cell r="Q1619" t="str">
            <v/>
          </cell>
        </row>
        <row r="1620">
          <cell r="Q1620" t="str">
            <v/>
          </cell>
        </row>
        <row r="1621">
          <cell r="Q1621" t="str">
            <v/>
          </cell>
        </row>
        <row r="1622">
          <cell r="Q1622" t="str">
            <v/>
          </cell>
        </row>
        <row r="1623">
          <cell r="Q1623" t="str">
            <v/>
          </cell>
        </row>
        <row r="1624">
          <cell r="Q1624" t="str">
            <v/>
          </cell>
        </row>
        <row r="1625">
          <cell r="Q1625" t="str">
            <v/>
          </cell>
        </row>
        <row r="1626">
          <cell r="Q1626" t="str">
            <v/>
          </cell>
        </row>
        <row r="1627">
          <cell r="Q1627" t="str">
            <v/>
          </cell>
        </row>
        <row r="1628">
          <cell r="Q1628" t="str">
            <v/>
          </cell>
        </row>
        <row r="1629">
          <cell r="Q1629" t="str">
            <v/>
          </cell>
        </row>
        <row r="1630">
          <cell r="Q1630" t="str">
            <v/>
          </cell>
        </row>
        <row r="1631">
          <cell r="Q1631" t="str">
            <v/>
          </cell>
        </row>
        <row r="1632">
          <cell r="Q1632" t="str">
            <v/>
          </cell>
        </row>
        <row r="1633">
          <cell r="Q1633" t="str">
            <v/>
          </cell>
        </row>
        <row r="1634">
          <cell r="Q1634" t="str">
            <v/>
          </cell>
        </row>
        <row r="1635">
          <cell r="Q1635" t="str">
            <v/>
          </cell>
        </row>
        <row r="1636">
          <cell r="Q1636" t="str">
            <v/>
          </cell>
        </row>
        <row r="1637">
          <cell r="Q1637" t="str">
            <v/>
          </cell>
        </row>
        <row r="1638">
          <cell r="Q1638" t="str">
            <v/>
          </cell>
        </row>
        <row r="1639">
          <cell r="Q1639" t="str">
            <v/>
          </cell>
        </row>
        <row r="1640">
          <cell r="Q1640" t="str">
            <v/>
          </cell>
        </row>
        <row r="1641">
          <cell r="Q1641" t="str">
            <v/>
          </cell>
        </row>
        <row r="1642">
          <cell r="Q1642" t="str">
            <v/>
          </cell>
        </row>
        <row r="1643">
          <cell r="Q1643" t="str">
            <v/>
          </cell>
        </row>
        <row r="1644">
          <cell r="Q1644" t="str">
            <v/>
          </cell>
        </row>
        <row r="1645">
          <cell r="Q1645" t="str">
            <v/>
          </cell>
        </row>
        <row r="1646">
          <cell r="Q1646" t="str">
            <v/>
          </cell>
        </row>
        <row r="1647">
          <cell r="Q1647" t="str">
            <v/>
          </cell>
        </row>
        <row r="1648">
          <cell r="Q1648" t="str">
            <v/>
          </cell>
        </row>
        <row r="1649">
          <cell r="Q1649" t="str">
            <v/>
          </cell>
        </row>
        <row r="1650">
          <cell r="Q1650" t="str">
            <v/>
          </cell>
        </row>
        <row r="1651">
          <cell r="Q1651" t="str">
            <v/>
          </cell>
        </row>
        <row r="1652">
          <cell r="Q1652" t="str">
            <v/>
          </cell>
        </row>
        <row r="1653">
          <cell r="Q1653" t="str">
            <v/>
          </cell>
        </row>
        <row r="1654">
          <cell r="Q1654" t="str">
            <v/>
          </cell>
        </row>
        <row r="1655">
          <cell r="Q1655" t="str">
            <v/>
          </cell>
        </row>
        <row r="1656">
          <cell r="Q1656" t="str">
            <v/>
          </cell>
        </row>
        <row r="1657">
          <cell r="Q1657" t="str">
            <v/>
          </cell>
        </row>
        <row r="1658">
          <cell r="Q1658" t="str">
            <v/>
          </cell>
        </row>
        <row r="1659">
          <cell r="Q1659" t="str">
            <v/>
          </cell>
        </row>
        <row r="1660">
          <cell r="Q1660" t="str">
            <v/>
          </cell>
        </row>
        <row r="1661">
          <cell r="Q1661" t="str">
            <v/>
          </cell>
        </row>
        <row r="1662">
          <cell r="Q1662" t="str">
            <v/>
          </cell>
        </row>
        <row r="1663">
          <cell r="Q1663" t="str">
            <v/>
          </cell>
        </row>
        <row r="1664">
          <cell r="Q1664" t="str">
            <v/>
          </cell>
        </row>
        <row r="1665">
          <cell r="Q1665" t="str">
            <v/>
          </cell>
        </row>
        <row r="1666">
          <cell r="Q1666" t="str">
            <v/>
          </cell>
        </row>
        <row r="1667">
          <cell r="Q1667" t="str">
            <v/>
          </cell>
        </row>
        <row r="1668">
          <cell r="Q1668" t="str">
            <v/>
          </cell>
        </row>
        <row r="1669">
          <cell r="Q1669" t="str">
            <v/>
          </cell>
        </row>
        <row r="1670">
          <cell r="Q1670" t="str">
            <v/>
          </cell>
        </row>
        <row r="1671">
          <cell r="Q1671" t="str">
            <v/>
          </cell>
        </row>
        <row r="1672">
          <cell r="Q1672" t="str">
            <v/>
          </cell>
        </row>
        <row r="1673">
          <cell r="Q1673" t="str">
            <v/>
          </cell>
        </row>
        <row r="1674">
          <cell r="Q1674" t="str">
            <v/>
          </cell>
        </row>
        <row r="1675">
          <cell r="Q1675" t="str">
            <v/>
          </cell>
        </row>
        <row r="1676">
          <cell r="Q1676" t="str">
            <v/>
          </cell>
        </row>
        <row r="1677">
          <cell r="Q1677" t="str">
            <v/>
          </cell>
        </row>
        <row r="1678">
          <cell r="Q1678" t="str">
            <v/>
          </cell>
        </row>
        <row r="1679">
          <cell r="Q1679" t="str">
            <v/>
          </cell>
        </row>
        <row r="1680">
          <cell r="Q1680" t="str">
            <v/>
          </cell>
        </row>
        <row r="1681">
          <cell r="Q1681" t="str">
            <v/>
          </cell>
        </row>
        <row r="1682">
          <cell r="Q1682" t="str">
            <v/>
          </cell>
        </row>
        <row r="1683">
          <cell r="Q1683" t="str">
            <v/>
          </cell>
        </row>
        <row r="1684">
          <cell r="Q1684" t="str">
            <v/>
          </cell>
        </row>
        <row r="1685">
          <cell r="Q1685" t="str">
            <v/>
          </cell>
        </row>
        <row r="1686">
          <cell r="Q1686" t="str">
            <v/>
          </cell>
        </row>
        <row r="1687">
          <cell r="Q1687" t="str">
            <v/>
          </cell>
        </row>
        <row r="1688">
          <cell r="Q1688" t="str">
            <v/>
          </cell>
        </row>
        <row r="1689">
          <cell r="Q1689" t="str">
            <v/>
          </cell>
        </row>
        <row r="1690">
          <cell r="Q1690" t="str">
            <v/>
          </cell>
        </row>
        <row r="1691">
          <cell r="Q1691" t="str">
            <v/>
          </cell>
        </row>
        <row r="1692">
          <cell r="Q1692" t="str">
            <v/>
          </cell>
        </row>
        <row r="1693">
          <cell r="Q1693" t="str">
            <v/>
          </cell>
        </row>
        <row r="1694">
          <cell r="Q1694" t="str">
            <v/>
          </cell>
        </row>
        <row r="1695">
          <cell r="Q1695" t="str">
            <v/>
          </cell>
        </row>
        <row r="1696">
          <cell r="Q1696" t="str">
            <v/>
          </cell>
        </row>
        <row r="1697">
          <cell r="Q1697" t="str">
            <v/>
          </cell>
        </row>
        <row r="1698">
          <cell r="Q1698" t="str">
            <v/>
          </cell>
        </row>
        <row r="1699">
          <cell r="Q169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lternateUrl r:id="rId3"/>
    </xxl21:alternateUrls>
    <sheetNames>
      <sheetName val="FU"/>
      <sheetName val="XML export"/>
      <sheetName val="UVOD"/>
      <sheetName val="XML_export"/>
      <sheetName val="Moje daně"/>
      <sheetName val="ZAKL_DATA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SP1"/>
      <sheetName val="SP2"/>
      <sheetName val="SP_zam"/>
      <sheetName val="SP_stud"/>
      <sheetName val="SP_prijem"/>
      <sheetName val="VZP"/>
      <sheetName val="Ostatní ZP"/>
      <sheetName val="Zálohy"/>
      <sheetName val="Účetní_závěrka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B121" tableType="xml" totalsRowShown="0" headerRowDxfId="42">
  <autoFilter ref="R120:AB121"/>
  <tableColumns count="11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  <tableColumn id="11" uniqueName="kc_10dan" name="kc_10dan">
      <calculatedColumnFormula>'3Př_a'!F14</calculatedColumnFormula>
      <xmlColumnPr mapId="7" xpath="/Pisemnost/DPFDP6/VetaL/@kc_10dan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8" tableType="xml" totalsRowShown="0" headerRowDxfId="26">
  <autoFilter ref="R177:W258"/>
  <tableColumns count="6">
    <tableColumn id="1" uniqueName="c_listu" name="c_listu" dataDxfId="25">
      <calculatedColumnFormula>$Q$178</calculatedColumnFormula>
      <xmlColumnPr mapId="7" xpath="/Pisemnost/DPFDP6/VetaUA/@c_listu" xmlDataType="decimal"/>
    </tableColumn>
    <tableColumn id="2" uniqueName="c_radku" name="c_radku" dataDxfId="24">
      <calculatedColumnFormula>IF($B$38="P",Y178,IF($B$38="Z",IF(Z178&lt;&gt;"",Z178,""),IF($B$38="M",IF(AA178&lt;&gt;"",AA178,""),Y178)))</calculatedColumnFormula>
      <xmlColumnPr mapId="7" xpath="/Pisemnost/DPFDP6/VetaUA/@c_radku" xmlDataType="decimal"/>
    </tableColumn>
    <tableColumn id="3" uniqueName="kc_brutto" name="kc_brutto" dataDxfId="23">
      <calculatedColumnFormula>IF(Účetní_závěrka!D12&lt;&gt;"",Účetní_závěrka!D12,"")</calculatedColumnFormula>
      <xmlColumnPr mapId="7" xpath="/Pisemnost/DPFDP6/VetaUA/@kc_brutto" xmlDataType="decimal"/>
    </tableColumn>
    <tableColumn id="4" uniqueName="kc_korekce" name="kc_korekce" dataDxfId="22">
      <calculatedColumnFormula>IF(Účetní_závěrka!E12&lt;&gt;"",ABS(Účetní_závěrka!E12),"")</calculatedColumnFormula>
      <xmlColumnPr mapId="7" xpath="/Pisemnost/DPFDP6/VetaUA/@kc_korekce" xmlDataType="decimal"/>
    </tableColumn>
    <tableColumn id="5" uniqueName="kc_netto" name="kc_netto" dataDxfId="21">
      <calculatedColumnFormula>IF(Účetní_závěrka!F12&lt;&gt;"",Účetní_závěrka!F12,"")</calculatedColumnFormula>
      <xmlColumnPr mapId="7" xpath="/Pisemnost/DPFDP6/VetaUA/@kc_netto" xmlDataType="decimal"/>
    </tableColumn>
    <tableColumn id="6" uniqueName="kc_netto_min" name="kc_netto_min" dataDxfId="20">
      <calculatedColumnFormula>IF(Účetní_závěrka!G12&lt;&gt;"",Účetní_závěrka!G12,"")</calculatedColumnFormula>
      <xmlColumnPr mapId="7" xpath="/Pisemnost/DPFDP6/VetaUA/@kc_netto_min" xmlDataType="decimal"/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ableType="xml" totalsRowShown="0" headerRowDxfId="19">
  <autoFilter ref="AB177:AE233"/>
  <tableColumns count="4">
    <tableColumn id="1" uniqueName="c_listu" name="c_listu" dataDxfId="18">
      <calculatedColumnFormula>$AB$176</calculatedColumnFormula>
      <xmlColumnPr mapId="7" xpath="/Pisemnost/DPFDP6/VetaUB/@c_listu" xmlDataType="decimal"/>
    </tableColumn>
    <tableColumn id="2" uniqueName="c_radku" name="c_radku" dataDxfId="17">
      <calculatedColumnFormula>IF($B$38="P",AG178,IF(AH178&lt;&gt;"",AH178,""))</calculatedColumnFormula>
      <xmlColumnPr mapId="7" xpath="/Pisemnost/DPFDP6/VetaUB/@c_radku" xmlDataType="decimal"/>
    </tableColumn>
    <tableColumn id="3" uniqueName="kc_min" name="kc_min" dataDxfId="16">
      <calculatedColumnFormula>IF(Účetní_závěrka!E96&lt;&gt;"",Účetní_závěrka!E96,"")</calculatedColumnFormula>
      <xmlColumnPr mapId="7" xpath="/Pisemnost/DPFDP6/VetaUB/@kc_min" xmlDataType="decimal"/>
    </tableColumn>
    <tableColumn id="4" uniqueName="kc_sled" name="kc_sled" dataDxfId="15">
      <calculatedColumnFormula>IF(Účetní_závěrka!D96&lt;&gt;"",Účetní_závěrka!D96,"")</calculatedColumnFormula>
      <xmlColumnPr mapId="7" xpath="/Pisemnost/DPFDP6/VetaUB/@kc_sled" xmlDataType="decimal"/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5" tableType="xml" totalsRowShown="0" headerRowDxfId="13">
  <autoFilter ref="AQ177:AT245"/>
  <tableColumns count="4">
    <tableColumn id="1" uniqueName="c_listu" name="c_listu" dataDxfId="12">
      <calculatedColumnFormula>$AP$178</calculatedColumnFormula>
      <xmlColumnPr mapId="7" xpath="/Pisemnost/DPFDP6/VetaUD/@c_listu" xmlDataType="decimal"/>
    </tableColumn>
    <tableColumn id="2" uniqueName="c_radku" name="c_radku" dataDxfId="11">
      <calculatedColumnFormula>IF($B$38="P",AV178,IF($B$38="Z",IF(AW178&lt;&gt;"",AW178,""),IF($B$38="M",IF(AX178&lt;&gt;"",AX178,""),AV178)))</calculatedColumnFormula>
      <xmlColumnPr mapId="7" xpath="/Pisemnost/DPFDP6/VetaUD/@c_radku" xmlDataType="decimal"/>
    </tableColumn>
    <tableColumn id="3" uniqueName="kc_min" name="kc_min" dataDxfId="10">
      <calculatedColumnFormula>IF(Účetní_závěrka!L12&lt;&gt;"",Účetní_závěrka!L12,"")</calculatedColumnFormula>
      <xmlColumnPr mapId="7" xpath="/Pisemnost/DPFDP6/VetaUD/@kc_min" xmlDataType="decimal"/>
    </tableColumn>
    <tableColumn id="4" uniqueName="kc_sled" name="kc_sled" dataDxfId="9">
      <calculatedColumnFormula>IF(Účetní_závěrka!K12&lt;&gt;"",Účetní_závěrka!K12,"")</calculatedColumnFormula>
      <xmlColumnPr mapId="7" xpath="/Pisemnost/DPFDP6/VetaUD/@kc_sled" xmlDataType="decimal"/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odprij" name="ucsdruz_podprij" dataDxfId="64">
      <calculatedColumnFormula>IF('1Př2'!F33&lt;&gt;"",'1Př2'!F33*100,"")</calculatedColumnFormula>
      <xmlColumnPr mapId="7" xpath="/Pisemnost/DPFDP6/VetaF/@ucsdruz_podprij" xmlDataType="decimal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rijmeni" name="ucsdruz_prijmeni" dataDxfId="62">
      <calculatedColumnFormula>IF('1Př2'!C33&lt;&gt;"",'1Př2'!C33,"")</calculatedColumnFormula>
      <xmlColumnPr mapId="7" xpath="/Pisemnost/DPFDP6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16" connectionId="0">
    <xmlCellPr id="1" uniqueName="kc_csprij">
      <xmlPr mapId="7" xpath="/Pisemnost/DPFDP6/VetaD/@kc_csprij" xmlDataType="decimal"/>
    </xmlCellPr>
  </singleXmlCell>
  <singleXmlCell id="2" r="B49" connectionId="0">
    <xmlCellPr id="1" uniqueName="kod_popl">
      <xmlPr mapId="7" xpath="/Pisemnost/DPFDP6/VetaD/@kod_popl" xmlDataType="string"/>
    </xmlCellPr>
  </singleXmlCell>
  <singleXmlCell id="3" r="B26" connectionId="0">
    <xmlCellPr id="1" uniqueName="kc_op15_1e1">
      <xmlPr mapId="7" xpath="/Pisemnost/DPFDP6/VetaD/@kc_op15_1e1" xmlDataType="decimal"/>
    </xmlCellPr>
  </singleXmlCell>
  <singleXmlCell id="4" r="B69" connectionId="0">
    <xmlCellPr id="1" uniqueName="uv_rozsah">
      <xmlPr mapId="7" xpath="/Pisemnost/DPFDP6/VetaD/@uv_rozsah" xmlDataType="string"/>
    </xmlCellPr>
  </singleXmlCell>
  <singleXmlCell id="5" r="B9" connectionId="0">
    <xmlCellPr id="1" uniqueName="da_slevy35ba">
      <xmlPr mapId="7" xpath="/Pisemnost/DPFDP6/VetaD/@da_slevy35ba" xmlDataType="decimal"/>
    </xmlCellPr>
  </singleXmlCell>
  <singleXmlCell id="6" r="B64" connectionId="0">
    <xmlCellPr id="1" uniqueName="rok">
      <xmlPr mapId="7" xpath="/Pisemnost/DPFDP6/VetaD/@rok" xmlDataType="decimal"/>
    </xmlCellPr>
  </singleXmlCell>
  <singleXmlCell id="7" r="B62" connectionId="0">
    <xmlCellPr id="1" uniqueName="pln_moc">
      <xmlPr mapId="7" xpath="/Pisemnost/DPFDP6/VetaD/@pln_moc" xmlDataType="string"/>
    </xmlCellPr>
  </singleXmlCell>
  <singleXmlCell id="8" r="B50" connectionId="0">
    <xmlCellPr id="1" uniqueName="m_cinvduch">
      <xmlPr mapId="7" xpath="/Pisemnost/DPFDP6/VetaD/@m_cinvduch" xmlDataType="decimal"/>
    </xmlCellPr>
  </singleXmlCell>
  <singleXmlCell id="9" r="B13" connectionId="0">
    <xmlCellPr id="1" uniqueName="dokument">
      <xmlPr mapId="7" xpath="/Pisemnost/DPFDP6/VetaD/@dokument" xmlDataType="anyType"/>
    </xmlCellPr>
  </singleXmlCell>
  <singleXmlCell id="10" r="B2" connectionId="0">
    <xmlCellPr id="1" uniqueName="audit">
      <xmlPr mapId="7" xpath="/Pisemnost/DPFDP6/VetaD/@audit" xmlDataType="string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0" r="B46" connectionId="0">
    <xmlCellPr id="1" uniqueName="kc_zbyvpred">
      <xmlPr mapId="7" xpath="/Pisemnost/DPFDP6/VetaD/@kc_zbyvpre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70" connectionId="0">
    <xmlCellPr id="1" uniqueName="uv_vyhl">
      <xmlPr mapId="7" xpath="/Pisemnost/DPFDP6/VetaD/@uv_vyhl" xmlDataType="decimal"/>
    </xmlCellPr>
  </singleXmlCell>
  <singleXmlCell id="23" r="B24" connectionId="0">
    <xmlCellPr id="1" uniqueName="kc_op15_1c">
      <xmlPr mapId="7" xpath="/Pisemnost/DPFDP6/VetaD/@kc_op15_1c" xmlDataType="decimal"/>
    </xmlCellPr>
  </singleXmlCell>
  <singleXmlCell id="24" r="B57" connectionId="0">
    <xmlCellPr id="1" uniqueName="m_ztpp">
      <xmlPr mapId="7" xpath="/Pisemnost/DPFDP6/VetaD/@m_ztpp" xmlDataType="decimal"/>
    </xmlCellPr>
  </singleXmlCell>
  <singleXmlCell id="25" r="B7" connectionId="0">
    <xmlCellPr id="1" uniqueName="da_celod13">
      <xmlPr mapId="7" xpath="/Pisemnost/DPFDP6/VetaD/@da_celod13" xmlDataType="decimal"/>
    </xmlCellPr>
  </singleXmlCell>
  <singleXmlCell id="26" r="B14" connectionId="0">
    <xmlCellPr id="1" uniqueName="duvpoddapdpf">
      <xmlPr mapId="7" xpath="/Pisemnost/DPFDP6/VetaD/@duvpoddapdpf" xmlDataType="string"/>
    </xmlCellPr>
  </singleXmlCell>
  <singleXmlCell id="27" r="B51" connectionId="0">
    <xmlCellPr id="1" uniqueName="m_deti">
      <xmlPr mapId="7" xpath="/Pisemnost/DPFDP6/VetaD/@m_deti" xmlDataType="decimal"/>
    </xmlCellPr>
  </singleXmlCell>
  <singleXmlCell id="28" r="B67" connectionId="0">
    <xmlCellPr id="1" uniqueName="uhrn_slevy35ba">
      <xmlPr mapId="7" xpath="/Pisemnost/DPFDP6/VetaD/@uhrn_slevy35ba" xmlDataType="decimal"/>
    </xmlCellPr>
  </singleXmlCell>
  <singleXmlCell id="29" r="B55" connectionId="0">
    <xmlCellPr id="1" uniqueName="m_stud">
      <xmlPr mapId="7" xpath="/Pisemnost/DPFDP6/VetaD/@m_stud" xmlDataType="decimal"/>
    </xmlCellPr>
  </singleXmlCell>
  <singleXmlCell id="30" r="B6" connectionId="0">
    <xmlCellPr id="1" uniqueName="d_zjist">
      <xmlPr mapId="7" xpath="/Pisemnost/DPFDP6/VetaD/@d_zjist" xmlDataType="string"/>
    </xmlCellPr>
  </singleXmlCell>
  <singleXmlCell id="31" r="B28" connectionId="0">
    <xmlCellPr id="1" uniqueName="kc_pausal">
      <xmlPr mapId="7" xpath="/Pisemnost/DPFDP6/VetaD/@kc_pausal" xmlDataType="decimal"/>
    </xmlCellPr>
  </singleXmlCell>
  <singleXmlCell id="32" r="B45" connectionId="0">
    <xmlCellPr id="1" uniqueName="kc_zalzavc">
      <xmlPr mapId="7" xpath="/Pisemnost/DPFDP6/VetaD/@kc_zalzavc" xmlDataType="decimal"/>
    </xmlCellPr>
  </singleXmlCell>
  <singleXmlCell id="33" r="B41" connectionId="0">
    <xmlCellPr id="1" uniqueName="kc_sraz_rezehp">
      <xmlPr mapId="7" xpath="/Pisemnost/DPFDP6/VetaD/@kc_sraz_rezehp" xmlDataType="decimal"/>
    </xmlCellPr>
  </singleXmlCell>
  <singleXmlCell id="34" r="B17" connectionId="0">
    <xmlCellPr id="1" uniqueName="kc_danbonus">
      <xmlPr mapId="7" xpath="/Pisemnost/DPFDP6/VetaD/@kc_danbonus" xmlDataType="decimal"/>
    </xmlCellPr>
  </singleXmlCell>
  <singleXmlCell id="35" r="B23" connectionId="0">
    <xmlCellPr id="1" uniqueName="kc_op15_1a">
      <xmlPr mapId="7" xpath="/Pisemnost/DPFDP6/VetaD/@kc_op15_1a" xmlDataType="decimal"/>
    </xmlCellPr>
  </singleXmlCell>
  <singleXmlCell id="36" r="B33" connectionId="0">
    <xmlCellPr id="1" uniqueName="kc_rozdil_dp">
      <xmlPr mapId="7" xpath="/Pisemnost/DPFDP6/VetaD/@kc_rozdil_dp" xmlDataType="decimal"/>
    </xmlCellPr>
  </singleXmlCell>
  <singleXmlCell id="37" r="B5" connectionId="0">
    <xmlCellPr id="1" uniqueName="d_uv">
      <xmlPr mapId="7" xpath="/Pisemnost/DPFDP6/VetaD/@d_uv" xmlDataType="string"/>
    </xmlCellPr>
  </singleXmlCell>
  <singleXmlCell id="38" r="B68" connectionId="0">
    <xmlCellPr id="1" uniqueName="uv_podpis">
      <xmlPr mapId="7" xpath="/Pisemnost/DPFDP6/VetaD/@uv_podpis" xmlDataType="string"/>
    </xmlCellPr>
  </singleXmlCell>
  <singleXmlCell id="39" r="B63" connectionId="0">
    <xmlCellPr id="1" uniqueName="prop_zahr">
      <xmlPr mapId="7" xpath="/Pisemnost/DPFDP6/VetaD/@prop_zahr" xmlDataType="string"/>
    </xmlCellPr>
  </singleXmlCell>
  <singleXmlCell id="40" r="B18" connectionId="0">
    <xmlCellPr id="1" uniqueName="kc_dazvyhod">
      <xmlPr mapId="7" xpath="/Pisemnost/DPFDP6/VetaD/@kc_dazvyho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2" r="B48" connectionId="0">
    <xmlCellPr id="1" uniqueName="kc_zjizt">
      <xmlPr mapId="7" xpath="/Pisemnost/DPFDP6/VetaD/@kc_zjizt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7" connectionId="0">
    <xmlCellPr id="1" uniqueName="kc_zjidp">
      <xmlPr mapId="7" xpath="/Pisemnost/DPFDP6/VetaD/@kc_zjidp" xmlDataType="decimal"/>
    </xmlCellPr>
  </singleXmlCell>
  <singleXmlCell id="48" r="B60" connectionId="0">
    <xmlCellPr id="1" uniqueName="manz_r_cislo">
      <xmlPr mapId="7" xpath="/Pisemnost/DPFDP6/VetaD/@manz_r_cislo" xmlDataType="string"/>
    </xmlCellPr>
  </singleXmlCell>
  <singleXmlCell id="49" r="B56" connectionId="0">
    <xmlCellPr id="1" uniqueName="m_vyzmanzl">
      <xmlPr mapId="7" xpath="/Pisemnost/DPFDP6/VetaD/@m_vyzmanzl" xmlDataType="decimal"/>
    </xmlCellPr>
  </singleXmlCell>
  <singleXmlCell id="50" r="B10" connectionId="0">
    <xmlCellPr id="1" uniqueName="da_slevy35c">
      <xmlPr mapId="7" xpath="/Pisemnost/DPFDP6/VetaD/@da_slevy35c" xmlDataType="decimal"/>
    </xmlCellPr>
  </singleXmlCell>
  <singleXmlCell id="51" r="B43" connectionId="0">
    <xmlCellPr id="1" uniqueName="kc_vyplbonus">
      <xmlPr mapId="7" xpath="/Pisemnost/DPFDP6/VetaD/@kc_vyplbonus" xmlDataType="decimal"/>
    </xmlCellPr>
  </singleXmlCell>
  <singleXmlCell id="52" r="B42" connectionId="0">
    <xmlCellPr id="1" uniqueName="kc_stud">
      <xmlPr mapId="7" xpath="/Pisemnost/DPFDP6/VetaD/@kc_stud" xmlDataType="decimal"/>
    </xmlCellPr>
  </singleXmlCell>
  <singleXmlCell id="53" r="B11" connectionId="0">
    <xmlCellPr id="1" uniqueName="da_slezap">
      <xmlPr mapId="7" xpath="/Pisemnost/DPFDP6/VetaD/@da_slezap" xmlDataType="decimal"/>
    </xmlCellPr>
  </singleXmlCell>
  <singleXmlCell id="54" r="B54" connectionId="0">
    <xmlCellPr id="1" uniqueName="m_manz">
      <xmlPr mapId="7" xpath="/Pisemnost/DPFDP6/VetaD/@m_manz" xmlDataType="decimal"/>
    </xmlCellPr>
  </singleXmlCell>
  <singleXmlCell id="55" r="B31" connectionId="0">
    <xmlCellPr id="1" uniqueName="kc_pzzt">
      <xmlPr mapId="7" xpath="/Pisemnost/DPFDP6/VetaD/@kc_pzzt" xmlDataType="decimal"/>
    </xmlCellPr>
  </singleXmlCell>
  <singleXmlCell id="56" r="B65" connectionId="0">
    <xmlCellPr id="1" uniqueName="sleva_rp">
      <xmlPr mapId="7" xpath="/Pisemnost/DPFDP6/VetaD/@sleva_rp" xmlDataType="decimal"/>
    </xmlCellPr>
  </singleXmlCell>
  <singleXmlCell id="57" r="B39" connectionId="0">
    <xmlCellPr id="1" uniqueName="kc_sraz385">
      <xmlPr mapId="7" xpath="/Pisemnost/DPFDP6/VetaD/@kc_sraz385" xmlDataType="decimal"/>
    </xmlCellPr>
  </singleXmlCell>
  <singleXmlCell id="58" r="B52" connectionId="0">
    <xmlCellPr id="1" uniqueName="m_detiztpp">
      <xmlPr mapId="7" xpath="/Pisemnost/DPFDP6/VetaD/@m_detiztpp" xmlDataType="decimal"/>
    </xmlCellPr>
  </singleXmlCell>
  <singleXmlCell id="59" r="B35" connectionId="0">
    <xmlCellPr id="1" uniqueName="kc_slevy35c">
      <xmlPr mapId="7" xpath="/Pisemnost/DPFDP6/VetaD/@kc_slevy35c" xmlDataType="decimal"/>
    </xmlCellPr>
  </singleXmlCell>
  <singleXmlCell id="60" r="B53" connectionId="0">
    <xmlCellPr id="1" uniqueName="m_invduch">
      <xmlPr mapId="7" xpath="/Pisemnost/DPFDP6/VetaD/@m_invduch" xmlDataType="decimal"/>
    </xmlCellPr>
  </singleXmlCell>
  <singleXmlCell id="61" r="B61" connectionId="0">
    <xmlCellPr id="1" uniqueName="manz_titul">
      <xmlPr mapId="7" xpath="/Pisemnost/DPFDP6/VetaD/@manz_titul" xmlDataType="string"/>
    </xmlCellPr>
  </singleXmlCell>
  <singleXmlCell id="62" r="B12" connectionId="0">
    <xmlCellPr id="1" uniqueName="dap_typ">
      <xmlPr mapId="7" xpath="/Pisemnost/DPFDP6/VetaD/@dap_typ" xmlDataType="string"/>
    </xmlCellPr>
  </singleXmlCell>
  <singleXmlCell id="63" r="B27" connectionId="0">
    <xmlCellPr id="1" uniqueName="kc_op15_1e2">
      <xmlPr mapId="7" xpath="/Pisemnost/DPFDP6/VetaD/@kc_op15_1e2" xmlDataType="decimal"/>
    </xmlCellPr>
  </singleXmlCell>
  <singleXmlCell id="64" r="B19" connectionId="0">
    <xmlCellPr id="1" uniqueName="kc_dite_ms">
      <xmlPr mapId="7" xpath="/Pisemnost/DPFDP6/VetaD/@kc_dite_ms" xmlDataType="decimal"/>
    </xmlCellPr>
  </singleXmlCell>
  <singleXmlCell id="65" r="B40" connectionId="0">
    <xmlCellPr id="1" uniqueName="kc_sraz_6_4">
      <xmlPr mapId="7" xpath="/Pisemnost/DPFDP6/VetaD/@kc_sraz_6_4" xmlDataType="decimal"/>
    </xmlCellPr>
  </singleXmlCell>
  <singleXmlCell id="66" r="B73" connectionId="0">
    <xmlCellPr id="1" uniqueName="m_deti2">
      <xmlPr mapId="7" xpath="/Pisemnost/DPFDP6/VetaD/@m_deti2" xmlDataType="decimal"/>
    </xmlCellPr>
  </singleXmlCell>
  <singleXmlCell id="67" r="B75" connectionId="0">
    <xmlCellPr id="1" uniqueName="m_detiztpp2">
      <xmlPr mapId="7" xpath="/Pisemnost/DPFDP6/VetaD/@m_detiztpp2" xmlDataType="decimal"/>
    </xmlCellPr>
  </singleXmlCell>
  <singleXmlCell id="68" r="B74" connectionId="0">
    <xmlCellPr id="1" uniqueName="m_deti3">
      <xmlPr mapId="7" xpath="/Pisemnost/DPFDP6/VetaD/@m_deti3" xmlDataType="decimal"/>
    </xmlCellPr>
  </singleXmlCell>
  <singleXmlCell id="69" r="B76" connectionId="0">
    <xmlCellPr id="1" uniqueName="m_detiztpp3">
      <xmlPr mapId="7" xpath="/Pisemnost/DPFDP6/VetaD/@m_detiztpp3" xmlDataType="decimal"/>
    </xmlCellPr>
  </singleXmlCell>
  <singleXmlCell id="70" r="B77" connectionId="0">
    <xmlCellPr id="1" uniqueName="manz_d_nar">
      <xmlPr mapId="7" xpath="/Pisemnost/DPFDP6/VetaD/@manz_d_nar" xmlDataType="string"/>
    </xmlCellPr>
  </singleXmlCell>
  <singleXmlCell id="71" r="B80" connectionId="0">
    <xmlCellPr id="1" uniqueName="da_samzakl">
      <xmlPr mapId="7" xpath="/Pisemnost/DPFDP6/VetaD/@da_samzakl" xmlDataType="decimal"/>
    </xmlCellPr>
  </singleXmlCell>
  <singleXmlCell id="72" r="B81" connectionId="0">
    <xmlCellPr id="1" uniqueName="kc_dan_celk">
      <xmlPr mapId="7" xpath="/Pisemnost/DPFDP6/VetaD/@kc_dan_celk" xmlDataType="decimal"/>
    </xmlCellPr>
  </singleXmlCell>
  <singleXmlCell id="73" r="B82" connectionId="0">
    <xmlCellPr id="1" uniqueName="kc_dan_po_db">
      <xmlPr mapId="7" xpath="/Pisemnost/DPFDP6/VetaD/@kc_dan_po_db" xmlDataType="decimal"/>
    </xmlCellPr>
  </singleXmlCell>
  <singleXmlCell id="74" r="B83" connectionId="0">
    <xmlCellPr id="1" uniqueName="kc_db_po_odpd">
      <xmlPr mapId="7" xpath="/Pisemnost/DPFDP6/VetaD/@kc_db_po_odpd" xmlDataType="decimal"/>
    </xmlCellPr>
  </singleXmlCell>
  <singleXmlCell id="75" r="F51" connectionId="0">
    <xmlCellPr id="1" uniqueName="uv_rozsah_rozv">
      <xmlPr mapId="7" xpath="/Pisemnost/DPFDP6/VetaD/@uv_rozsah_rozv" xmlDataType="string"/>
    </xmlCellPr>
  </singleXmlCell>
  <singleXmlCell id="76" r="F52" connectionId="0">
    <xmlCellPr id="1" uniqueName="uv_rozsah_vzz">
      <xmlPr mapId="7" xpath="/Pisemnost/DPFDP6/VetaD/@uv_rozsah_vzz" xmlDataType="string"/>
    </xmlCellPr>
  </singleXmlCell>
  <singleXmlCell id="77" r="F30" connectionId="0">
    <xmlCellPr id="1" uniqueName="ulice">
      <xmlPr mapId="7" xpath="/Pisemnost/DPFDP6/VetaP/@ulice" xmlDataType="string"/>
    </xmlCellPr>
  </singleXmlCell>
  <singleXmlCell id="78" r="F24" connectionId="0">
    <xmlCellPr id="1" uniqueName="psc">
      <xmlPr mapId="7" xpath="/Pisemnost/DPFDP6/VetaP/@psc" xmlDataType="string"/>
    </xmlCellPr>
  </singleXmlCell>
  <singleXmlCell id="79" r="F20" connectionId="0">
    <xmlCellPr id="1" uniqueName="opr_jmeno">
      <xmlPr mapId="7" xpath="/Pisemnost/DPFDP6/VetaP/@opr_jmeno" xmlDataType="string"/>
    </xmlCellPr>
  </singleXmlCell>
  <singleXmlCell id="80" r="F10" connectionId="0">
    <xmlCellPr id="1" uniqueName="email">
      <xmlPr mapId="7" xpath="/Pisemnost/DPFDP6/VetaP/@email" xmlDataType="string"/>
    </xmlCellPr>
  </singleXmlCell>
  <singleXmlCell id="81" r="F39" connectionId="0">
    <xmlCellPr id="1" uniqueName="z_ulice">
      <xmlPr mapId="7" xpath="/Pisemnost/DPFDP6/VetaP/@z_ulice" xmlDataType="string"/>
    </xmlCellPr>
  </singleXmlCell>
  <singleXmlCell id="82" r="F13" connectionId="0">
    <xmlCellPr id="1" uniqueName="krok_c_obce">
      <xmlPr mapId="7" xpath="/Pisemnost/DPFDP6/VetaP/@krok_c_obce" xmlDataType="decimal"/>
    </xmlCellPr>
  </singleXmlCell>
  <singleXmlCell id="83" r="F36" connectionId="0">
    <xmlCellPr id="1" uniqueName="z_email">
      <xmlPr mapId="7" xpath="/Pisemnost/DPFDP6/VetaP/@z_email" xmlDataType="string"/>
    </xmlCellPr>
  </singleXmlCell>
  <singleXmlCell id="84" r="F40" connectionId="0">
    <xmlCellPr id="1" uniqueName="zast_dat_nar">
      <xmlPr mapId="7" xpath="/Pisemnost/DPFDP6/VetaP/@zast_dat_nar" xmlDataType="string"/>
    </xmlCellPr>
  </singleXmlCell>
  <singleXmlCell id="85" r="F12" connectionId="0">
    <xmlCellPr id="1" uniqueName="k_stat">
      <xmlPr mapId="7" xpath="/Pisemnost/DPFDP6/VetaP/@k_stat" xmlDataType="string"/>
    </xmlCellPr>
  </singleXmlCell>
  <singleXmlCell id="86" r="F42" connectionId="0">
    <xmlCellPr id="1" uniqueName="zast_ic">
      <xmlPr mapId="7" xpath="/Pisemnost/DPFDP6/VetaP/@zast_ic" xmlDataType="string"/>
    </xmlCellPr>
  </singleXmlCell>
  <singleXmlCell id="87" r="F43" connectionId="0">
    <xmlCellPr id="1" uniqueName="zast_jmeno">
      <xmlPr mapId="7" xpath="/Pisemnost/DPFDP6/VetaP/@zast_jmeno" xmlDataType="string"/>
    </xmlCellPr>
  </singleXmlCell>
  <singleXmlCell id="88" r="F44" connectionId="0">
    <xmlCellPr id="1" uniqueName="zast_kod">
      <xmlPr mapId="7" xpath="/Pisemnost/DPFDP6/VetaP/@zast_kod" xmlDataType="string"/>
    </xmlCellPr>
  </singleXmlCell>
  <singleXmlCell id="89" r="F15" connectionId="0">
    <xmlCellPr id="1" uniqueName="krok_c_pop">
      <xmlPr mapId="7" xpath="/Pisemnost/DPFDP6/VetaP/@krok_c_pop" xmlDataType="decimal"/>
    </xmlCellPr>
  </singleXmlCell>
  <singleXmlCell id="90" r="F25" connectionId="0">
    <xmlCellPr id="1" uniqueName="rod_c">
      <xmlPr mapId="7" xpath="/Pisemnost/DPFDP6/VetaP/@rod_c" xmlDataType="string"/>
    </xmlCellPr>
  </singleXmlCell>
  <singleXmlCell id="91" r="F5" connectionId="0">
    <xmlCellPr id="1" uniqueName="c_pasu">
      <xmlPr mapId="7" xpath="/Pisemnost/DPFDP6/VetaP/@c_pasu" xmlDataType="string"/>
    </xmlCellPr>
  </singleXmlCell>
  <singleXmlCell id="92" r="F29" connectionId="0">
    <xmlCellPr id="1" uniqueName="titul">
      <xmlPr mapId="7" xpath="/Pisemnost/DPFDP6/VetaP/@titul" xmlDataType="string"/>
    </xmlCellPr>
  </singleXmlCell>
  <singleXmlCell id="93" r="F26" connectionId="0">
    <xmlCellPr id="1" uniqueName="rodnepr">
      <xmlPr mapId="7" xpath="/Pisemnost/DPFDP6/VetaP/@rodnepr" xmlDataType="string"/>
    </xmlCellPr>
  </singleXmlCell>
  <singleXmlCell id="94" r="F17" connectionId="0">
    <xmlCellPr id="1" uniqueName="krok_psc">
      <xmlPr mapId="7" xpath="/Pisemnost/DPFDP6/VetaP/@krok_psc" xmlDataType="string"/>
    </xmlCellPr>
  </singleXmlCell>
  <singleXmlCell id="95" r="F6" connectionId="0">
    <xmlCellPr id="1" uniqueName="c_pop">
      <xmlPr mapId="7" xpath="/Pisemnost/DPFDP6/VetaP/@c_pop" xmlDataType="decimal"/>
    </xmlCellPr>
  </singleXmlCell>
  <singleXmlCell id="96" r="F38" connectionId="0">
    <xmlCellPr id="1" uniqueName="z_psc">
      <xmlPr mapId="7" xpath="/Pisemnost/DPFDP6/VetaP/@z_psc" xmlDataType="string"/>
    </xmlCellPr>
  </singleXmlCell>
  <singleXmlCell id="97" r="F46" connectionId="0">
    <xmlCellPr id="1" uniqueName="zast_prijmeni">
      <xmlPr mapId="7" xpath="/Pisemnost/DPFDP6/VetaP/@zast_prijmeni" xmlDataType="string"/>
    </xmlCellPr>
  </singleXmlCell>
  <singleXmlCell id="98" r="F3" connectionId="0">
    <xmlCellPr id="1" uniqueName="c_obce">
      <xmlPr mapId="7" xpath="/Pisemnost/DPFDP6/VetaP/@c_obce" xmlDataType="decimal"/>
    </xmlCellPr>
  </singleXmlCell>
  <singleXmlCell id="99" r="F4" connectionId="0">
    <xmlCellPr id="1" uniqueName="c_orient">
      <xmlPr mapId="7" xpath="/Pisemnost/DPFDP6/VetaP/@c_orient" xmlDataType="string"/>
    </xmlCellPr>
  </singleXmlCell>
  <singleXmlCell id="100" r="F22" connectionId="0">
    <xmlCellPr id="1" uniqueName="opr_prijmeni">
      <xmlPr mapId="7" xpath="/Pisemnost/DPFDP6/VetaP/@opr_prijmeni" xmlDataType="string"/>
    </xmlCellPr>
  </singleXmlCell>
  <singleXmlCell id="101" r="F32" connectionId="0">
    <xmlCellPr id="1" uniqueName="z_c_obce">
      <xmlPr mapId="7" xpath="/Pisemnost/DPFDP6/VetaP/@z_c_obce" xmlDataType="decimal"/>
    </xmlCellPr>
  </singleXmlCell>
  <singleXmlCell id="102" r="F8" connectionId="0">
    <xmlCellPr id="1" uniqueName="c_telef">
      <xmlPr mapId="7" xpath="/Pisemnost/DPFDP6/VetaP/@c_telef" xmlDataType="string"/>
    </xmlCellPr>
  </singleXmlCell>
  <singleXmlCell id="103" r="F37" connectionId="0">
    <xmlCellPr id="1" uniqueName="z_naz_obce">
      <xmlPr mapId="7" xpath="/Pisemnost/DPFDP6/VetaP/@z_naz_obce" xmlDataType="string"/>
    </xmlCellPr>
  </singleXmlCell>
  <singleXmlCell id="104" r="F16" connectionId="0">
    <xmlCellPr id="1" uniqueName="krok_naz_obce">
      <xmlPr mapId="7" xpath="/Pisemnost/DPFDP6/VetaP/@krok_naz_obce" xmlDataType="string"/>
    </xmlCellPr>
  </singleXmlCell>
  <singleXmlCell id="105" r="F7" connectionId="0">
    <xmlCellPr id="1" uniqueName="c_pracufo">
      <xmlPr mapId="7" xpath="/Pisemnost/DPFDP6/VetaP/@c_pracufo" xmlDataType="decimal"/>
    </xmlCellPr>
  </singleXmlCell>
  <singleXmlCell id="106" r="F23" connectionId="0">
    <xmlCellPr id="1" uniqueName="prijmeni">
      <xmlPr mapId="7" xpath="/Pisemnost/DPFDP6/VetaP/@prijmeni" xmlDataType="string"/>
    </xmlCellPr>
  </singleXmlCell>
  <singleXmlCell id="107" r="F35" connectionId="0">
    <xmlCellPr id="1" uniqueName="z_c_telef">
      <xmlPr mapId="7" xpath="/Pisemnost/DPFDP6/VetaP/@z_c_telef" xmlDataType="string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34" connectionId="0">
    <xmlCellPr id="1" uniqueName="z_c_pop">
      <xmlPr mapId="7" xpath="/Pisemnost/DPFDP6/VetaP/@z_c_pop" xmlDataType="decimal"/>
    </xmlCellPr>
  </singleXmlCell>
  <singleXmlCell id="111" r="F21" connectionId="0">
    <xmlCellPr id="1" uniqueName="opr_postaveni">
      <xmlPr mapId="7" xpath="/Pisemnost/DPFDP6/VetaP/@opr_postaveni" xmlDataType="string"/>
    </xmlCellPr>
  </singleXmlCell>
  <singleXmlCell id="112" r="F28" connectionId="0">
    <xmlCellPr id="1" uniqueName="stat">
      <xmlPr mapId="7" xpath="/Pisemnost/DPFDP6/VetaP/@stat" xmlDataType="string"/>
    </xmlCellPr>
  </singleXmlCell>
  <singleXmlCell id="113" r="F9" connectionId="0">
    <xmlCellPr id="1" uniqueName="dic">
      <xmlPr mapId="7" xpath="/Pisemnost/DPFDP6/VetaP/@dic" xmlDataType="string"/>
    </xmlCellPr>
  </singleXmlCell>
  <singleXmlCell id="114" r="F18" connectionId="0">
    <xmlCellPr id="1" uniqueName="krok_ulice">
      <xmlPr mapId="7" xpath="/Pisemnost/DPFDP6/VetaP/@krok_ulice" xmlDataType="string"/>
    </xmlCellPr>
  </singleXmlCell>
  <singleXmlCell id="115" r="F47" connectionId="0">
    <xmlCellPr id="1" uniqueName="zast_typ">
      <xmlPr mapId="7" xpath="/Pisemnost/DPFDP6/VetaP/@zast_typ" xmlDataType="string"/>
    </xmlCellPr>
  </singleXmlCell>
  <singleXmlCell id="116" r="F27" connectionId="0">
    <xmlCellPr id="1" uniqueName="st_prislus">
      <xmlPr mapId="7" xpath="/Pisemnost/DPFDP6/VetaP/@st_prislus" xmlDataType="string"/>
    </xmlCellPr>
  </singleXmlCell>
  <singleXmlCell id="117" r="F19" connectionId="0">
    <xmlCellPr id="1" uniqueName="naz_obce">
      <xmlPr mapId="7" xpath="/Pisemnost/DPFDP6/VetaP/@naz_obce" xmlDataType="string"/>
    </xmlCellPr>
  </singleXmlCell>
  <singleXmlCell id="118" r="F33" connectionId="0">
    <xmlCellPr id="1" uniqueName="z_c_orient">
      <xmlPr mapId="7" xpath="/Pisemnost/DPFDP6/VetaP/@z_c_orient" xmlDataType="string"/>
    </xmlCellPr>
  </singleXmlCell>
  <singleXmlCell id="119" r="F14" connectionId="0">
    <xmlCellPr id="1" uniqueName="krok_c_orient">
      <xmlPr mapId="7" xpath="/Pisemnost/DPFDP6/VetaP/@krok_c_orient" xmlDataType="string"/>
    </xmlCellPr>
  </singleXmlCell>
  <singleXmlCell id="120" r="F11" connectionId="0">
    <xmlCellPr id="1" uniqueName="jmeno">
      <xmlPr mapId="7" xpath="/Pisemnost/DPFDP6/VetaP/@jmeno" xmlDataType="string"/>
    </xmlCellPr>
  </singleXmlCell>
  <singleXmlCell id="121" r="J2" connectionId="0">
    <xmlCellPr id="1" uniqueName="celk_sl4">
      <xmlPr mapId="7" xpath="/Pisemnost/DPFDP6/VetaO/@celk_sl4" xmlDataType="decimal"/>
    </xmlCellPr>
  </singleXmlCell>
  <singleXmlCell id="122" r="J3" connectionId="0">
    <xmlCellPr id="1" uniqueName="celk_sl5">
      <xmlPr mapId="7" xpath="/Pisemnost/DPFDP6/VetaO/@celk_sl5" xmlDataType="decimal"/>
    </xmlCellPr>
  </singleXmlCell>
  <singleXmlCell id="123" r="J4" connectionId="0">
    <xmlCellPr id="1" uniqueName="kc_dan_zah">
      <xmlPr mapId="7" xpath="/Pisemnost/DPFDP6/VetaO/@kc_dan_zah" xmlDataType="decimal"/>
    </xmlCellPr>
  </singleXmlCell>
  <singleXmlCell id="124" r="J7" connectionId="0">
    <xmlCellPr id="1" uniqueName="kc_prij6">
      <xmlPr mapId="7" xpath="/Pisemnost/DPFDP6/VetaO/@kc_prij6" xmlDataType="decimal"/>
    </xmlCellPr>
  </singleXmlCell>
  <singleXmlCell id="125" r="J9" connectionId="0">
    <xmlCellPr id="1" uniqueName="kc_prij6zahr">
      <xmlPr mapId="7" xpath="/Pisemnost/DPFDP6/VetaO/@kc_prij6zahr" xmlDataType="decimal"/>
    </xmlCellPr>
  </singleXmlCell>
  <singleXmlCell id="126" r="J10" connectionId="0">
    <xmlCellPr id="1" uniqueName="kc_uhrn">
      <xmlPr mapId="7" xpath="/Pisemnost/DPFDP6/VetaO/@kc_uhrn" xmlDataType="decimal"/>
    </xmlCellPr>
  </singleXmlCell>
  <singleXmlCell id="127" r="J13" connectionId="0">
    <xmlCellPr id="1" uniqueName="kc_zakldan">
      <xmlPr mapId="7" xpath="/Pisemnost/DPFDP6/VetaO/@kc_zakldan" xmlDataType="decimal"/>
    </xmlCellPr>
  </singleXmlCell>
  <singleXmlCell id="128" r="J14" connectionId="0">
    <xmlCellPr id="1" uniqueName="kc_zakldan23">
      <xmlPr mapId="7" xpath="/Pisemnost/DPFDP6/VetaO/@kc_zakldan23" xmlDataType="decimal"/>
    </xmlCellPr>
  </singleXmlCell>
  <singleXmlCell id="129" r="J15" connectionId="0">
    <xmlCellPr id="1" uniqueName="kc_zakldan8">
      <xmlPr mapId="7" xpath="/Pisemnost/DPFDP6/VetaO/@kc_zakldan8" xmlDataType="decimal"/>
    </xmlCellPr>
  </singleXmlCell>
  <singleXmlCell id="130" r="J16" connectionId="0">
    <xmlCellPr id="1" uniqueName="kc_zd10">
      <xmlPr mapId="7" xpath="/Pisemnost/DPFDP6/VetaO/@kc_zd10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18" connectionId="0">
    <xmlCellPr id="1" uniqueName="kc_zd6p">
      <xmlPr mapId="7" xpath="/Pisemnost/DPFDP6/VetaO/@kc_zd6p" xmlDataType="decimal"/>
    </xmlCellPr>
  </singleXmlCell>
  <singleXmlCell id="133" r="J19" connectionId="0">
    <xmlCellPr id="1" uniqueName="kc_zd7">
      <xmlPr mapId="7" xpath="/Pisemnost/DPFDP6/VetaO/@kc_zd7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J21" connectionId="0">
    <xmlCellPr id="1" uniqueName="kc_ztrata2">
      <xmlPr mapId="7" xpath="/Pisemnost/DPFDP6/VetaO/@kc_ztrata2" xmlDataType="decimal"/>
    </xmlCellPr>
  </singleXmlCell>
  <singleXmlCell id="136" r="N2" connectionId="0">
    <xmlCellPr id="1" uniqueName="da_dan16">
      <xmlPr mapId="7" xpath="/Pisemnost/DPFDP6/VetaS/@da_dan16" xmlDataType="decimal"/>
    </xmlCellPr>
  </singleXmlCell>
  <singleXmlCell id="137" r="N3" connectionId="0">
    <xmlCellPr id="1" uniqueName="kc_dalsivzd">
      <xmlPr mapId="7" xpath="/Pisemnost/DPFDP6/VetaS/@kc_dalsivzd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5" connectionId="0">
    <xmlCellPr id="1" uniqueName="kc_op15_12">
      <xmlPr mapId="7" xpath="/Pisemnost/DPFDP6/VetaS/@kc_op15_12" xmlDataType="decimal"/>
    </xmlCellPr>
  </singleXmlCell>
  <singleXmlCell id="140" r="N6" connectionId="0">
    <xmlCellPr id="1" uniqueName="kc_op15_13">
      <xmlPr mapId="7" xpath="/Pisemnost/DPFDP6/VetaS/@kc_op15_13" xmlDataType="decimal"/>
    </xmlCellPr>
  </singleXmlCell>
  <singleXmlCell id="141" r="N7" connectionId="0">
    <xmlCellPr id="1" uniqueName="kc_op15_14">
      <xmlPr mapId="7" xpath="/Pisemnost/DPFDP6/VetaS/@kc_op15_14" xmlDataType="decimal"/>
    </xmlCellPr>
  </singleXmlCell>
  <singleXmlCell id="142" r="N8" connectionId="0">
    <xmlCellPr id="1" uniqueName="kc_op15_8">
      <xmlPr mapId="7" xpath="/Pisemnost/DPFDP6/VetaS/@kc_op15_8" xmlDataType="decimal"/>
    </xmlCellPr>
  </singleXmlCell>
  <singleXmlCell id="143" r="N9" connectionId="0">
    <xmlCellPr id="1" uniqueName="kc_op28_5">
      <xmlPr mapId="7" xpath="/Pisemnost/DPFDP6/VetaS/@kc_op28_5" xmlDataType="decimal"/>
    </xmlCellPr>
  </singleXmlCell>
  <singleXmlCell id="144" r="N10" connectionId="0">
    <xmlCellPr id="1" uniqueName="kc_op34_4">
      <xmlPr mapId="7" xpath="/Pisemnost/DPFDP6/VetaS/@kc_op34_4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4" connectionId="0">
    <xmlCellPr id="1" uniqueName="kc_zdzaokr">
      <xmlPr mapId="7" xpath="/Pisemnost/DPFDP6/VetaS/@kc_zdzaokr" xmlDataType="decimal"/>
    </xmlCellPr>
  </singleXmlCell>
  <singleXmlCell id="147" r="N16" connectionId="0">
    <xmlCellPr id="1" uniqueName="m_uroky">
      <xmlPr mapId="7" xpath="/Pisemnost/DPFDP6/VetaS/@m_uroky" xmlDataType="decimal"/>
    </xmlCellPr>
  </singleXmlCell>
  <singleXmlCell id="148" r="N12" connectionId="0">
    <xmlCellPr id="1" uniqueName="kc_podvzdel">
      <xmlPr mapId="7" xpath="/Pisemnost/DPFDP6/VetaS/@kc_podvzdel" xmlDataType="decimal"/>
    </xmlCellPr>
  </singleXmlCell>
  <singleXmlCell id="149" r="J31" connectionId="0">
    <xmlCellPr id="1" uniqueName="dal_prilohy">
      <xmlPr mapId="7" xpath="/Pisemnost/DPFDP6/VetaB/@dal_prilohy" xmlDataType="decimal"/>
    </xmlCellPr>
  </singleXmlCell>
  <singleXmlCell id="150" r="J32" connectionId="0">
    <xmlCellPr id="1" uniqueName="doklad_dar">
      <xmlPr mapId="7" xpath="/Pisemnost/DPFDP6/VetaB/@doklad_dar" xmlDataType="decimal"/>
    </xmlCellPr>
  </singleXmlCell>
  <singleXmlCell id="151" r="J33" connectionId="0">
    <xmlCellPr id="1" uniqueName="duvody_dodap">
      <xmlPr mapId="7" xpath="/Pisemnost/DPFDP6/VetaB/@duvody_dodap" xmlDataType="decimal"/>
    </xmlCellPr>
  </singleXmlCell>
  <singleXmlCell id="152" r="J35" connectionId="0">
    <xmlCellPr id="1" uniqueName="potv_36">
      <xmlPr mapId="7" xpath="/Pisemnost/DPFDP6/VetaB/@potv_36" xmlDataType="decimal"/>
    </xmlCellPr>
  </singleXmlCell>
  <singleXmlCell id="153" r="J36" connectionId="0">
    <xmlCellPr id="1" uniqueName="potv_dalsivzd">
      <xmlPr mapId="7" xpath="/Pisemnost/DPFDP6/VetaB/@potv_dalsivzd" xmlDataType="decimal"/>
    </xmlCellPr>
  </singleXmlCell>
  <singleXmlCell id="154" r="J37" connectionId="0">
    <xmlCellPr id="1" uniqueName="potv_ms">
      <xmlPr mapId="7" xpath="/Pisemnost/DPFDP6/VetaB/@potv_ms" xmlDataType="decimal"/>
    </xmlCellPr>
  </singleXmlCell>
  <singleXmlCell id="155" r="J38" connectionId="0">
    <xmlCellPr id="1" uniqueName="potv_penpri">
      <xmlPr mapId="7" xpath="/Pisemnost/DPFDP6/VetaB/@potv_penpri" xmlDataType="decimal"/>
    </xmlCellPr>
  </singleXmlCell>
  <singleXmlCell id="157" r="J40" connectionId="0">
    <xmlCellPr id="1" uniqueName="potv_uver">
      <xmlPr mapId="7" xpath="/Pisemnost/DPFDP6/VetaB/@potv_uver" xmlDataType="decimal"/>
    </xmlCellPr>
  </singleXmlCell>
  <singleXmlCell id="158" r="J41" connectionId="0">
    <xmlCellPr id="1" uniqueName="potv_zahrsd">
      <xmlPr mapId="7" xpath="/Pisemnost/DPFDP6/VetaB/@potv_zahrsd" xmlDataType="decimal"/>
    </xmlCellPr>
  </singleXmlCell>
  <singleXmlCell id="159" r="J42" connectionId="0">
    <xmlCellPr id="1" uniqueName="potv_zam">
      <xmlPr mapId="7" xpath="/Pisemnost/DPFDP6/VetaB/@potv_zam" xmlDataType="decimal"/>
    </xmlCellPr>
  </singleXmlCell>
  <singleXmlCell id="160" r="J43" connectionId="0">
    <xmlCellPr id="1" uniqueName="potv_zivpoj">
      <xmlPr mapId="7" xpath="/Pisemnost/DPFDP6/VetaB/@potv_zivpoj" xmlDataType="decimal"/>
    </xmlCellPr>
  </singleXmlCell>
  <singleXmlCell id="161" r="J44" connectionId="0">
    <xmlCellPr id="1" uniqueName="pril3_samlist">
      <xmlPr mapId="7" xpath="/Pisemnost/DPFDP6/VetaB/@pril3_samlist" xmlDataType="decimal"/>
    </xmlCellPr>
  </singleXmlCell>
  <singleXmlCell id="162" r="J45" connectionId="0">
    <xmlCellPr id="1" uniqueName="pril_poduv">
      <xmlPr mapId="7" xpath="/Pisemnost/DPFDP6/VetaB/@pril_poduv" xmlDataType="decimal"/>
    </xmlCellPr>
  </singleXmlCell>
  <singleXmlCell id="163" r="J46" connectionId="0">
    <xmlCellPr id="1" uniqueName="pril_ztraty">
      <xmlPr mapId="7" xpath="/Pisemnost/DPFDP6/VetaB/@pril_ztraty" xmlDataType="decimal"/>
    </xmlCellPr>
  </singleXmlCell>
  <singleXmlCell id="164" r="J47" connectionId="0">
    <xmlCellPr id="1" uniqueName="priloh_celk">
      <xmlPr mapId="7" xpath="/Pisemnost/DPFDP6/VetaB/@priloh_celk" xmlDataType="decimal"/>
    </xmlCellPr>
  </singleXmlCell>
  <singleXmlCell id="165" r="J48" connectionId="0">
    <xmlCellPr id="1" uniqueName="priloha1">
      <xmlPr mapId="7" xpath="/Pisemnost/DPFDP6/VetaB/@priloha1" xmlDataType="string"/>
    </xmlCellPr>
  </singleXmlCell>
  <singleXmlCell id="166" r="J49" connectionId="0">
    <xmlCellPr id="1" uniqueName="priloha2">
      <xmlPr mapId="7" xpath="/Pisemnost/DPFDP6/VetaB/@priloha2" xmlDataType="string"/>
    </xmlCellPr>
  </singleXmlCell>
  <singleXmlCell id="167" r="J50" connectionId="0">
    <xmlCellPr id="1" uniqueName="seznam">
      <xmlPr mapId="7" xpath="/Pisemnost/DPFDP6/VetaB/@seznam" xmlDataType="decimal"/>
    </xmlCellPr>
  </singleXmlCell>
  <singleXmlCell id="168" r="J51" connectionId="0">
    <xmlCellPr id="1" uniqueName="vklad_ku">
      <xmlPr mapId="7" xpath="/Pisemnost/DPFDP6/VetaB/@vklad_ku" xmlDataType="decimal"/>
    </xmlCellPr>
  </singleXmlCell>
  <singleXmlCell id="169" r="J52" connectionId="0">
    <xmlCellPr id="1" uniqueName="potv_dazvyh">
      <xmlPr mapId="7" xpath="/Pisemnost/DPFDP6/VetaB/@potv_dazvyh" xmlDataType="decimal"/>
    </xmlCellPr>
  </singleXmlCell>
  <singleXmlCell id="171" r="J53" connectionId="0">
    <xmlCellPr id="1" uniqueName="pril_loto">
      <xmlPr mapId="7" xpath="/Pisemnost/DPFDP6/VetaB/@pril_loto" xmlDataType="decimal"/>
    </xmlCellPr>
  </singleXmlCell>
  <singleXmlCell id="172" r="J54" connectionId="0">
    <xmlCellPr id="1" uniqueName="priloha4">
      <xmlPr mapId="7" xpath="/Pisemnost/DPFDP6/VetaB/@priloha4" xmlDataType="decimal"/>
    </xmlCellPr>
  </singleXmlCell>
  <singleXmlCell id="173" r="N31" connectionId="0">
    <xmlCellPr id="1" uniqueName="c_nace">
      <xmlPr mapId="7" xpath="/Pisemnost/DPFDP6/VetaT/@c_nace" xmlDataType="decimal"/>
    </xmlCellPr>
  </singleXmlCell>
  <singleXmlCell id="174" r="N32" connectionId="0">
    <xmlCellPr id="1" uniqueName="celk_pr_prij7">
      <xmlPr mapId="7" xpath="/Pisemnost/DPFDP6/VetaT/@celk_pr_prij7" xmlDataType="decimal"/>
    </xmlCellPr>
  </singleXmlCell>
  <singleXmlCell id="175" r="N33" connectionId="0">
    <xmlCellPr id="1" uniqueName="celk_pr_vyd7">
      <xmlPr mapId="7" xpath="/Pisemnost/DPFDP6/VetaT/@celk_pr_vyd7" xmlDataType="decimal"/>
    </xmlCellPr>
  </singleXmlCell>
  <singleXmlCell id="176" r="N34" connectionId="0">
    <xmlCellPr id="1" uniqueName="d_obnocin">
      <xmlPr mapId="7" xpath="/Pisemnost/DPFDP6/VetaT/@d_obnocin" xmlDataType="string"/>
    </xmlCellPr>
  </singleXmlCell>
  <singleXmlCell id="177" r="N35" connectionId="0">
    <xmlCellPr id="1" uniqueName="d_precin">
      <xmlPr mapId="7" xpath="/Pisemnost/DPFDP6/VetaT/@d_precin" xmlDataType="string"/>
    </xmlCellPr>
  </singleXmlCell>
  <singleXmlCell id="178" r="N36" connectionId="0">
    <xmlCellPr id="1" uniqueName="d_ukoncin">
      <xmlPr mapId="7" xpath="/Pisemnost/DPFDP6/VetaT/@d_ukoncin" xmlDataType="string"/>
    </xmlCellPr>
  </singleXmlCell>
  <singleXmlCell id="179" r="N37" connectionId="0">
    <xmlCellPr id="1" uniqueName="d_zahcin">
      <xmlPr mapId="7" xpath="/Pisemnost/DPFDP6/VetaT/@d_zahcin" xmlDataType="string"/>
    </xmlCellPr>
  </singleXmlCell>
  <singleXmlCell id="180" r="N38" connectionId="0">
    <xmlCellPr id="1" uniqueName="kc_cisobr">
      <xmlPr mapId="7" xpath="/Pisemnost/DPFDP6/VetaT/@kc_cisobr" xmlDataType="decimal"/>
    </xmlCellPr>
  </singleXmlCell>
  <singleXmlCell id="181" r="N39" connectionId="0">
    <xmlCellPr id="1" uniqueName="kc_hosp_rozd">
      <xmlPr mapId="7" xpath="/Pisemnost/DPFDP6/VetaT/@kc_hosp_rozd" xmlDataType="decimal"/>
    </xmlCellPr>
  </singleXmlCell>
  <singleXmlCell id="182" r="N40" connectionId="0">
    <xmlCellPr id="1" uniqueName="kc_odpcelk">
      <xmlPr mapId="7" xpath="/Pisemnost/DPFDP6/VetaT/@kc_odpcelk" xmlDataType="decimal"/>
    </xmlCellPr>
  </singleXmlCell>
  <singleXmlCell id="183" r="N41" connectionId="0">
    <xmlCellPr id="1" uniqueName="kc_odpnem">
      <xmlPr mapId="7" xpath="/Pisemnost/DPFDP6/VetaT/@kc_odpnem" xmlDataType="decimal"/>
    </xmlCellPr>
  </singleXmlCell>
  <singleXmlCell id="184" r="N42" connectionId="0">
    <xmlCellPr id="1" uniqueName="kc_pod_komp">
      <xmlPr mapId="7" xpath="/Pisemnost/DPFDP6/VetaT/@kc_pod_komp" xmlDataType="decimal"/>
    </xmlCellPr>
  </singleXmlCell>
  <singleXmlCell id="185" r="N43" connectionId="0">
    <xmlCellPr id="1" uniqueName="kc_pod_so">
      <xmlPr mapId="7" xpath="/Pisemnost/DPFDP6/VetaT/@kc_pod_so" xmlDataType="decimal"/>
    </xmlCellPr>
  </singleXmlCell>
  <singleXmlCell id="186" r="N44" connectionId="0">
    <xmlCellPr id="1" uniqueName="kc_pod_vaso">
      <xmlPr mapId="7" xpath="/Pisemnost/DPFDP6/VetaT/@kc_pod_vaso" xmlDataType="decimal"/>
    </xmlCellPr>
  </singleXmlCell>
  <singleXmlCell id="187" r="N45" connectionId="0">
    <xmlCellPr id="1" uniqueName="pr_prij7">
      <xmlPr mapId="7" xpath="/Pisemnost/DPFDP6/VetaT/@pr_prij7" xmlDataType="decimal"/>
    </xmlCellPr>
  </singleXmlCell>
  <singleXmlCell id="189" r="N46" connectionId="0">
    <xmlCellPr id="1" uniqueName="kc_uhsniz">
      <xmlPr mapId="7" xpath="/Pisemnost/DPFDP6/VetaT/@kc_uhsniz" xmlDataType="decimal"/>
    </xmlCellPr>
  </singleXmlCell>
  <singleXmlCell id="190" r="N47" connectionId="0">
    <xmlCellPr id="1" uniqueName="kc_uhzvys">
      <xmlPr mapId="7" xpath="/Pisemnost/DPFDP6/VetaT/@kc_uhzvys" xmlDataType="decimal"/>
    </xmlCellPr>
  </singleXmlCell>
  <singleXmlCell id="191" r="N48" connectionId="0">
    <xmlCellPr id="1" uniqueName="kc_vyd7">
      <xmlPr mapId="7" xpath="/Pisemnost/DPFDP6/VetaT/@kc_vyd7" xmlDataType="decimal"/>
    </xmlCellPr>
  </singleXmlCell>
  <singleXmlCell id="192" r="N49" connectionId="0">
    <xmlCellPr id="1" uniqueName="kc_vyd_so">
      <xmlPr mapId="7" xpath="/Pisemnost/DPFDP6/VetaT/@kc_vyd_so" xmlDataType="decimal"/>
    </xmlCellPr>
  </singleXmlCell>
  <singleXmlCell id="193" r="N50" connectionId="0">
    <xmlCellPr id="1" uniqueName="kc_vyd_vaso">
      <xmlPr mapId="7" xpath="/Pisemnost/DPFDP6/VetaT/@kc_vyd_vaso" xmlDataType="decimal"/>
    </xmlCellPr>
  </singleXmlCell>
  <singleXmlCell id="194" r="N51" connectionId="0">
    <xmlCellPr id="1" uniqueName="kc_zd7p">
      <xmlPr mapId="7" xpath="/Pisemnost/DPFDP6/VetaT/@kc_zd7p" xmlDataType="decimal"/>
    </xmlCellPr>
  </singleXmlCell>
  <singleXmlCell id="195" r="N53" connectionId="0">
    <xmlCellPr id="1" uniqueName="m_podnik">
      <xmlPr mapId="7" xpath="/Pisemnost/DPFDP6/VetaT/@m_podnik" xmlDataType="decimal"/>
    </xmlCellPr>
  </singleXmlCell>
  <singleXmlCell id="196" r="N54" connectionId="0">
    <xmlCellPr id="1" uniqueName="kc_prij7">
      <xmlPr mapId="7" xpath="/Pisemnost/DPFDP6/VetaT/@kc_prij7" xmlDataType="decimal"/>
    </xmlCellPr>
  </singleXmlCell>
  <singleXmlCell id="197" r="N55" connectionId="0">
    <xmlCellPr id="1" uniqueName="pr_sazba">
      <xmlPr mapId="7" xpath="/Pisemnost/DPFDP6/VetaT/@pr_sazba" xmlDataType="decimal"/>
    </xmlCellPr>
  </singleXmlCell>
  <singleXmlCell id="198" r="N56" connectionId="0">
    <xmlCellPr id="1" uniqueName="pr_vyd7">
      <xmlPr mapId="7" xpath="/Pisemnost/DPFDP6/VetaT/@pr_vyd7" xmlDataType="decimal"/>
    </xmlCellPr>
  </singleXmlCell>
  <singleXmlCell id="199" r="N57" connectionId="0">
    <xmlCellPr id="1" uniqueName="uc_soust">
      <xmlPr mapId="7" xpath="/Pisemnost/DPFDP6/VetaT/@uc_soust" xmlDataType="string"/>
    </xmlCellPr>
  </singleXmlCell>
  <singleXmlCell id="200" r="N58" connectionId="0">
    <xmlCellPr id="1" uniqueName="vyd7proc">
      <xmlPr mapId="7" xpath="/Pisemnost/DPFDP6/VetaT/@vyd7proc" xmlDataType="string"/>
    </xmlCellPr>
  </singleXmlCell>
  <singleXmlCell id="201" r="F61" connectionId="0">
    <xmlCellPr id="1" uniqueName="kc_dpfmz02">
      <xmlPr mapId="7" xpath="/Pisemnost/DPFDP6/VetaU/@kc_dpfmz02" xmlDataType="decimal"/>
    </xmlCellPr>
  </singleXmlCell>
  <singleXmlCell id="202" r="F62" connectionId="0">
    <xmlCellPr id="1" uniqueName="kc_dpfmz03">
      <xmlPr mapId="7" xpath="/Pisemnost/DPFDP6/VetaU/@kc_dpfmz03" xmlDataType="decimal"/>
    </xmlCellPr>
  </singleXmlCell>
  <singleXmlCell id="203" r="F63" connectionId="0">
    <xmlCellPr id="1" uniqueName="kc_dpfmz04">
      <xmlPr mapId="7" xpath="/Pisemnost/DPFDP6/VetaU/@kc_dpfmz04" xmlDataType="decimal"/>
    </xmlCellPr>
  </singleXmlCell>
  <singleXmlCell id="204" r="F64" connectionId="0">
    <xmlCellPr id="1" uniqueName="kc_dpfmz05a">
      <xmlPr mapId="7" xpath="/Pisemnost/DPFDP6/VetaU/@kc_dpfmz05a" xmlDataType="decimal"/>
    </xmlCellPr>
  </singleXmlCell>
  <singleXmlCell id="205" r="F65" connectionId="0">
    <xmlCellPr id="1" uniqueName="kc_dpfmz06">
      <xmlPr mapId="7" xpath="/Pisemnost/DPFDP6/VetaU/@kc_dpfmz06" xmlDataType="decimal"/>
    </xmlCellPr>
  </singleXmlCell>
  <singleXmlCell id="206" r="F66" connectionId="0">
    <xmlCellPr id="1" uniqueName="kc_dpfmz08">
      <xmlPr mapId="7" xpath="/Pisemnost/DPFDP6/VetaU/@kc_dpfmz08" xmlDataType="decimal"/>
    </xmlCellPr>
  </singleXmlCell>
  <singleXmlCell id="207" r="F67" connectionId="0">
    <xmlCellPr id="1" uniqueName="kc_dpfmz10">
      <xmlPr mapId="7" xpath="/Pisemnost/DPFDP6/VetaU/@kc_dpfmz10" xmlDataType="decimal"/>
    </xmlCellPr>
  </singleXmlCell>
  <singleXmlCell id="208" r="F68" connectionId="0">
    <xmlCellPr id="1" uniqueName="kc_dpfmz11">
      <xmlPr mapId="7" xpath="/Pisemnost/DPFDP6/VetaU/@kc_dpfmz11" xmlDataType="decimal"/>
    </xmlCellPr>
  </singleXmlCell>
  <singleXmlCell id="209" r="F69" connectionId="0">
    <xmlCellPr id="1" uniqueName="kc_dpfmz18">
      <xmlPr mapId="7" xpath="/Pisemnost/DPFDP6/VetaU/@kc_dpfmz18" xmlDataType="decimal"/>
    </xmlCellPr>
  </singleXmlCell>
  <singleXmlCell id="210" r="F70" connectionId="0">
    <xmlCellPr id="1" uniqueName="kc_z_dpfmz02">
      <xmlPr mapId="7" xpath="/Pisemnost/DPFDP6/VetaU/@kc_z_dpfmz02" xmlDataType="decimal"/>
    </xmlCellPr>
  </singleXmlCell>
  <singleXmlCell id="211" r="F71" connectionId="0">
    <xmlCellPr id="1" uniqueName="kc_z_dpfmz03">
      <xmlPr mapId="7" xpath="/Pisemnost/DPFDP6/VetaU/@kc_z_dpfmz03" xmlDataType="decimal"/>
    </xmlCellPr>
  </singleXmlCell>
  <singleXmlCell id="212" r="F72" connectionId="0">
    <xmlCellPr id="1" uniqueName="kc_z_dpfmz04">
      <xmlPr mapId="7" xpath="/Pisemnost/DPFDP6/VetaU/@kc_z_dpfmz04" xmlDataType="decimal"/>
    </xmlCellPr>
  </singleXmlCell>
  <singleXmlCell id="213" r="F73" connectionId="0">
    <xmlCellPr id="1" uniqueName="kc_z_dpfmz05a">
      <xmlPr mapId="7" xpath="/Pisemnost/DPFDP6/VetaU/@kc_z_dpfmz05a" xmlDataType="decimal"/>
    </xmlCellPr>
  </singleXmlCell>
  <singleXmlCell id="214" r="F74" connectionId="0">
    <xmlCellPr id="1" uniqueName="kc_z_dpfmz06">
      <xmlPr mapId="7" xpath="/Pisemnost/DPFDP6/VetaU/@kc_z_dpfmz06" xmlDataType="decimal"/>
    </xmlCellPr>
  </singleXmlCell>
  <singleXmlCell id="215" r="F75" connectionId="0">
    <xmlCellPr id="1" uniqueName="kc_z_dpfmz08">
      <xmlPr mapId="7" xpath="/Pisemnost/DPFDP6/VetaU/@kc_z_dpfmz08" xmlDataType="decimal"/>
    </xmlCellPr>
  </singleXmlCell>
  <singleXmlCell id="216" r="F76" connectionId="0">
    <xmlCellPr id="1" uniqueName="kc_z_dpfmz10">
      <xmlPr mapId="7" xpath="/Pisemnost/DPFDP6/VetaU/@kc_z_dpfmz10" xmlDataType="decimal"/>
    </xmlCellPr>
  </singleXmlCell>
  <singleXmlCell id="217" r="F77" connectionId="0">
    <xmlCellPr id="1" uniqueName="kc_z_dpfmz11">
      <xmlPr mapId="7" xpath="/Pisemnost/DPFDP6/VetaU/@kc_z_dpfmz11" xmlDataType="decimal"/>
    </xmlCellPr>
  </singleXmlCell>
  <singleXmlCell id="219" r="J61" connectionId="0">
    <xmlCellPr id="1" uniqueName="kc_par9_nem">
      <xmlPr mapId="7" xpath="/Pisemnost/DPFDP6/VetaV/@kc_par9_nem" xmlDataType="decimal"/>
    </xmlCellPr>
  </singleXmlCell>
  <singleXmlCell id="221" r="J62" connectionId="0">
    <xmlCellPr id="1" uniqueName="kc_prij10">
      <xmlPr mapId="7" xpath="/Pisemnost/DPFDP6/VetaV/@kc_prij10" xmlDataType="decimal"/>
    </xmlCellPr>
  </singleXmlCell>
  <singleXmlCell id="222" r="J63" connectionId="0">
    <xmlCellPr id="1" uniqueName="kc_prij9">
      <xmlPr mapId="7" xpath="/Pisemnost/DPFDP6/VetaV/@kc_prij9" xmlDataType="decimal"/>
    </xmlCellPr>
  </singleXmlCell>
  <singleXmlCell id="223" r="J64" connectionId="0">
    <xmlCellPr id="1" uniqueName="kc_rezerv_k">
      <xmlPr mapId="7" xpath="/Pisemnost/DPFDP6/VetaV/@kc_rezerv_k" xmlDataType="decimal"/>
    </xmlCellPr>
  </singleXmlCell>
  <singleXmlCell id="224" r="J65" connectionId="0">
    <xmlCellPr id="1" uniqueName="kc_rezerv_z">
      <xmlPr mapId="7" xpath="/Pisemnost/DPFDP6/VetaV/@kc_rezerv_z" xmlDataType="decimal"/>
    </xmlCellPr>
  </singleXmlCell>
  <singleXmlCell id="225" r="J66" connectionId="0">
    <xmlCellPr id="1" uniqueName="kc_rozdil9">
      <xmlPr mapId="7" xpath="/Pisemnost/DPFDP6/VetaV/@kc_rozdil9" xmlDataType="decimal"/>
    </xmlCellPr>
  </singleXmlCell>
  <singleXmlCell id="226" r="J67" connectionId="0">
    <xmlCellPr id="1" uniqueName="kc_snizukon9">
      <xmlPr mapId="7" xpath="/Pisemnost/DPFDP6/VetaV/@kc_snizukon9" xmlDataType="decimal"/>
    </xmlCellPr>
  </singleXmlCell>
  <singleXmlCell id="227" r="J68" connectionId="0">
    <xmlCellPr id="1" uniqueName="kc_vyd10">
      <xmlPr mapId="7" xpath="/Pisemnost/DPFDP6/VetaV/@kc_vyd10" xmlDataType="decimal"/>
    </xmlCellPr>
  </singleXmlCell>
  <singleXmlCell id="228" r="J69" connectionId="0">
    <xmlCellPr id="1" uniqueName="kc_vyd9">
      <xmlPr mapId="7" xpath="/Pisemnost/DPFDP6/VetaV/@kc_vyd9" xmlDataType="decimal"/>
    </xmlCellPr>
  </singleXmlCell>
  <singleXmlCell id="229" r="J70" connectionId="0">
    <xmlCellPr id="1" uniqueName="kc_zd10p">
      <xmlPr mapId="7" xpath="/Pisemnost/DPFDP6/VetaV/@kc_zd10p" xmlDataType="decimal"/>
    </xmlCellPr>
  </singleXmlCell>
  <singleXmlCell id="230" r="J71" connectionId="0">
    <xmlCellPr id="1" uniqueName="kc_zd9p">
      <xmlPr mapId="7" xpath="/Pisemnost/DPFDP6/VetaV/@kc_zd9p" xmlDataType="decimal"/>
    </xmlCellPr>
  </singleXmlCell>
  <singleXmlCell id="231" r="J72" connectionId="0">
    <xmlCellPr id="1" uniqueName="kc_zvysukon9">
      <xmlPr mapId="7" xpath="/Pisemnost/DPFDP6/VetaV/@kc_zvysukon9" xmlDataType="decimal"/>
    </xmlCellPr>
  </singleXmlCell>
  <singleXmlCell id="232" r="J73" connectionId="0">
    <xmlCellPr id="1" uniqueName="spol_jm_manz">
      <xmlPr mapId="7" xpath="/Pisemnost/DPFDP6/VetaV/@spol_jm_manz" xmlDataType="string"/>
    </xmlCellPr>
  </singleXmlCell>
  <singleXmlCell id="233" r="J74" connectionId="0">
    <xmlCellPr id="1" uniqueName="uhrn_prijmy10">
      <xmlPr mapId="7" xpath="/Pisemnost/DPFDP6/VetaV/@uhrn_prijmy10" xmlDataType="decimal"/>
    </xmlCellPr>
  </singleXmlCell>
  <singleXmlCell id="234" r="J75" connectionId="0">
    <xmlCellPr id="1" uniqueName="uhrn_rozdil10">
      <xmlPr mapId="7" xpath="/Pisemnost/DPFDP6/VetaV/@uhrn_rozdil10" xmlDataType="decimal"/>
    </xmlCellPr>
  </singleXmlCell>
  <singleXmlCell id="235" r="J76" connectionId="0">
    <xmlCellPr id="1" uniqueName="uhrn_vydaje10">
      <xmlPr mapId="7" xpath="/Pisemnost/DPFDP6/VetaV/@uhrn_vydaje10" xmlDataType="decimal"/>
    </xmlCellPr>
  </singleXmlCell>
  <singleXmlCell id="236" r="J77" connectionId="0">
    <xmlCellPr id="1" uniqueName="vyd9proc">
      <xmlPr mapId="7" xpath="/Pisemnost/DPFDP6/VetaV/@vyd9proc" xmlDataType="string"/>
    </xmlCellPr>
  </singleXmlCell>
  <singleXmlCell id="237" r="N71" connectionId="0">
    <xmlCellPr id="1" uniqueName="da_zazahr">
      <xmlPr mapId="7" xpath="/Pisemnost/DPFDP6/VetaW/@da_zazahr" xmlDataType="decimal"/>
    </xmlCellPr>
  </singleXmlCell>
  <singleXmlCell id="244" r="N72" connectionId="0">
    <xmlCellPr id="1" uniqueName="uhrn_neuzndan">
      <xmlPr mapId="7" xpath="/Pisemnost/DPFDP6/VetaW/@uhrn_neuzndan" xmlDataType="decimal"/>
    </xmlCellPr>
  </singleXmlCell>
  <singleXmlCell id="245" r="N73" connectionId="0">
    <xmlCellPr id="1" uniqueName="uhrn_uzndan">
      <xmlPr mapId="7" xpath="/Pisemnost/DPFDP6/VetaW/@uhrn_uzndan" xmlDataType="decimal"/>
    </xmlCellPr>
  </singleXmlCell>
  <singleXmlCell id="246" r="N74" connectionId="0">
    <xmlCellPr id="1" uniqueName="kc_vynprij">
      <xmlPr mapId="7" xpath="/Pisemnost/DPFDP6/VetaW/@kc_vynprij" xmlDataType="decimal"/>
    </xmlCellPr>
  </singleXmlCell>
  <singleXmlCell id="247" r="N75" connectionId="0">
    <xmlCellPr id="1" uniqueName="kc_vynprij_6">
      <xmlPr mapId="7" xpath="/Pisemnost/DPFDP6/VetaW/@kc_vynprij_6" xmlDataType="decimal"/>
    </xmlCellPr>
  </singleXmlCell>
  <singleXmlCell id="248" r="N76" connectionId="0">
    <xmlCellPr id="1" uniqueName="roz_od10">
      <xmlPr mapId="7" xpath="/Pisemnost/DPFDP6/VetaW/@roz_od10" xmlDataType="decimal"/>
    </xmlCellPr>
  </singleXmlCell>
  <singleXmlCell id="249" r="N77" connectionId="0">
    <xmlCellPr id="1" uniqueName="kc_zakztr">
      <xmlPr mapId="7" xpath="/Pisemnost/DPFDP6/VetaW/@kc_zakztr" xmlDataType="decimal"/>
    </xmlCellPr>
  </singleXmlCell>
  <singleXmlCell id="250" r="N78" connectionId="0">
    <xmlCellPr id="1" uniqueName="proc_od10">
      <xmlPr mapId="7" xpath="/Pisemnost/DPFDP6/VetaW/@proc_od10" xmlDataType="decimal"/>
    </xmlCellPr>
  </singleXmlCell>
  <singleXmlCell id="251" r="N79" connectionId="0">
    <xmlCellPr id="1" uniqueName="da_vzahod9">
      <xmlPr mapId="7" xpath="/Pisemnost/DPFDP6/VetaW/@da_vzahod9" xmlDataType="decimal"/>
    </xmlCellPr>
  </singleXmlCell>
  <singleXmlCell id="252" r="B88" connectionId="0">
    <xmlCellPr id="1" uniqueName="c_nest_uctu">
      <xmlPr mapId="7" xpath="/Pisemnost/DPFDP6/VetaN/@c_nest_uctu" xmlDataType="string"/>
    </xmlCellPr>
  </singleXmlCell>
  <singleXmlCell id="253" r="B89" connectionId="0">
    <xmlCellPr id="1" uniqueName="id_banky">
      <xmlPr mapId="7" xpath="/Pisemnost/DPFDP6/VetaN/@id_banky" xmlDataType="string"/>
    </xmlCellPr>
  </singleXmlCell>
  <singleXmlCell id="254" r="B90" connectionId="0">
    <xmlCellPr id="1" uniqueName="k_meny_uctu">
      <xmlPr mapId="7" xpath="/Pisemnost/DPFDP6/VetaN/@k_meny_uctu" xmlDataType="string"/>
    </xmlCellPr>
  </singleXmlCell>
  <singleXmlCell id="255" r="B91" connectionId="0">
    <xmlCellPr id="1" uniqueName="k_stat_banky">
      <xmlPr mapId="7" xpath="/Pisemnost/DPFDP6/VetaN/@k_stat_banky" xmlDataType="string"/>
    </xmlCellPr>
  </singleXmlCell>
  <singleXmlCell id="256" r="B92" connectionId="0">
    <xmlCellPr id="1" uniqueName="kc_preplatek">
      <xmlPr mapId="7" xpath="/Pisemnost/DPFDP6/VetaN/@kc_preplatek" xmlDataType="decimal"/>
    </xmlCellPr>
  </singleXmlCell>
  <singleXmlCell id="257" r="B93" connectionId="0">
    <xmlCellPr id="1" uniqueName="mesto_banky">
      <xmlPr mapId="7" xpath="/Pisemnost/DPFDP6/VetaN/@mesto_banky" xmlDataType="string"/>
    </xmlCellPr>
  </singleXmlCell>
  <singleXmlCell id="258" r="B94" connectionId="0">
    <xmlCellPr id="1" uniqueName="mesto_prij">
      <xmlPr mapId="7" xpath="/Pisemnost/DPFDP6/VetaN/@mesto_prij" xmlDataType="string"/>
    </xmlCellPr>
  </singleXmlCell>
  <singleXmlCell id="259" r="B95" connectionId="0">
    <xmlCellPr id="1" uniqueName="naz_adr_banky">
      <xmlPr mapId="7" xpath="/Pisemnost/DPFDP6/VetaN/@naz_adr_banky" xmlDataType="string"/>
    </xmlCellPr>
  </singleXmlCell>
  <singleXmlCell id="260" r="B96" connectionId="0">
    <xmlCellPr id="1" uniqueName="nazev_prij">
      <xmlPr mapId="7" xpath="/Pisemnost/DPFDP6/VetaN/@nazev_prij" xmlDataType="string"/>
    </xmlCellPr>
  </singleXmlCell>
  <singleXmlCell id="261" r="B97" connectionId="0">
    <xmlCellPr id="1" uniqueName="psc_banky">
      <xmlPr mapId="7" xpath="/Pisemnost/DPFDP6/VetaN/@psc_banky" xmlDataType="string"/>
    </xmlCellPr>
  </singleXmlCell>
  <singleXmlCell id="262" r="B98" connectionId="0">
    <xmlCellPr id="1" uniqueName="psc_prij">
      <xmlPr mapId="7" xpath="/Pisemnost/DPFDP6/VetaN/@psc_prij" xmlDataType="string"/>
    </xmlCellPr>
  </singleXmlCell>
  <singleXmlCell id="264" r="B99" connectionId="0">
    <xmlCellPr id="1" uniqueName="region_banky">
      <xmlPr mapId="7" xpath="/Pisemnost/DPFDP6/VetaN/@region_banky" xmlDataType="string"/>
    </xmlCellPr>
  </singleXmlCell>
  <singleXmlCell id="265" r="B100" connectionId="0">
    <xmlCellPr id="1" uniqueName="region_prij">
      <xmlPr mapId="7" xpath="/Pisemnost/DPFDP6/VetaN/@region_prij" xmlDataType="string"/>
    </xmlCellPr>
  </singleXmlCell>
  <singleXmlCell id="266" r="B101" connectionId="0">
    <xmlCellPr id="1" uniqueName="stat_prij">
      <xmlPr mapId="7" xpath="/Pisemnost/DPFDP6/VetaN/@stat_prij" xmlDataType="string"/>
    </xmlCellPr>
  </singleXmlCell>
  <singleXmlCell id="267" r="B102" connectionId="0">
    <xmlCellPr id="1" uniqueName="sym_plvmpv">
      <xmlPr mapId="7" xpath="/Pisemnost/DPFDP6/VetaN/@sym_plvmpv" xmlDataType="string"/>
    </xmlCellPr>
  </singleXmlCell>
  <singleXmlCell id="268" r="B103" connectionId="0">
    <xmlCellPr id="1" uniqueName="ulice_banky">
      <xmlPr mapId="7" xpath="/Pisemnost/DPFDP6/VetaN/@ulice_banky" xmlDataType="string"/>
    </xmlCellPr>
  </singleXmlCell>
  <singleXmlCell id="269" r="B104" connectionId="0">
    <xmlCellPr id="1" uniqueName="ulice_prij">
      <xmlPr mapId="7" xpath="/Pisemnost/DPFDP6/VetaN/@ulice_prij" xmlDataType="string"/>
    </xmlCellPr>
  </singleXmlCell>
  <singleXmlCell id="271" r="B105" connectionId="0">
    <xmlCellPr id="1" uniqueName="zp_vrac">
      <xmlPr mapId="7" xpath="/Pisemnost/DPFDP6/VetaN/@zp_vrac" xmlDataType="string"/>
    </xmlCellPr>
  </singleXmlCell>
  <singleXmlCell id="274" r="B106" connectionId="0">
    <xmlCellPr id="1" uniqueName="zvp_c_komds">
      <xmlPr mapId="7" xpath="/Pisemnost/DPFDP6/VetaN/@zvp_c_komds" xmlDataType="string"/>
    </xmlCellPr>
  </singleXmlCell>
  <singleXmlCell id="275" r="B107" connectionId="0">
    <xmlCellPr id="1" uniqueName="zvp_c_obce">
      <xmlPr mapId="7" xpath="/Pisemnost/DPFDP6/VetaN/@zvp_c_obce" xmlDataType="decimal"/>
    </xmlCellPr>
  </singleXmlCell>
  <singleXmlCell id="276" r="B108" connectionId="0">
    <xmlCellPr id="1" uniqueName="zvp_c_orient">
      <xmlPr mapId="7" xpath="/Pisemnost/DPFDP6/VetaN/@zvp_c_orient" xmlDataType="string"/>
    </xmlCellPr>
  </singleXmlCell>
  <singleXmlCell id="277" r="B109" connectionId="0">
    <xmlCellPr id="1" uniqueName="zvp_c_pop">
      <xmlPr mapId="7" xpath="/Pisemnost/DPFDP6/VetaN/@zvp_c_pop" xmlDataType="decimal"/>
    </xmlCellPr>
  </singleXmlCell>
  <singleXmlCell id="278" r="B110" connectionId="0">
    <xmlCellPr id="1" uniqueName="zvp_jmeno">
      <xmlPr mapId="7" xpath="/Pisemnost/DPFDP6/VetaN/@zvp_jmeno" xmlDataType="string"/>
    </xmlCellPr>
  </singleXmlCell>
  <singleXmlCell id="279" r="B111" connectionId="0">
    <xmlCellPr id="1" uniqueName="zvp_k_bank">
      <xmlPr mapId="7" xpath="/Pisemnost/DPFDP6/VetaN/@zvp_k_bank" xmlDataType="decimal"/>
    </xmlCellPr>
  </singleXmlCell>
  <singleXmlCell id="280" r="B112" connectionId="0">
    <xmlCellPr id="1" uniqueName="zvp_naz_bank">
      <xmlPr mapId="7" xpath="/Pisemnost/DPFDP6/VetaN/@zvp_naz_bank" xmlDataType="string"/>
    </xmlCellPr>
  </singleXmlCell>
  <singleXmlCell id="281" r="B113" connectionId="0">
    <xmlCellPr id="1" uniqueName="zvp_naz_obce">
      <xmlPr mapId="7" xpath="/Pisemnost/DPFDP6/VetaN/@zvp_naz_obce" xmlDataType="string"/>
    </xmlCellPr>
  </singleXmlCell>
  <singleXmlCell id="282" r="B114" connectionId="0">
    <xmlCellPr id="1" uniqueName="zvp_pbu">
      <xmlPr mapId="7" xpath="/Pisemnost/DPFDP6/VetaN/@zvp_pbu" xmlDataType="decimal"/>
    </xmlCellPr>
  </singleXmlCell>
  <singleXmlCell id="283" r="B115" connectionId="0">
    <xmlCellPr id="1" uniqueName="zvp_prijmeni">
      <xmlPr mapId="7" xpath="/Pisemnost/DPFDP6/VetaN/@zvp_prijmeni" xmlDataType="string"/>
    </xmlCellPr>
  </singleXmlCell>
  <singleXmlCell id="284" r="B116" connectionId="0">
    <xmlCellPr id="1" uniqueName="zvp_psc">
      <xmlPr mapId="7" xpath="/Pisemnost/DPFDP6/VetaN/@zvp_psc" xmlDataType="decimal"/>
    </xmlCellPr>
  </singleXmlCell>
  <singleXmlCell id="285" r="B117" connectionId="0">
    <xmlCellPr id="1" uniqueName="zvp_spec_symb">
      <xmlPr mapId="7" xpath="/Pisemnost/DPFDP6/VetaN/@zvp_spec_symb" xmlDataType="string"/>
    </xmlCellPr>
  </singleXmlCell>
  <singleXmlCell id="286" r="B118" connectionId="0">
    <xmlCellPr id="1" uniqueName="zvp_titul">
      <xmlPr mapId="7" xpath="/Pisemnost/DPFDP6/VetaN/@zvp_titul" xmlDataType="string"/>
    </xmlCellPr>
  </singleXmlCell>
  <singleXmlCell id="287" r="B119" connectionId="0">
    <xmlCellPr id="1" uniqueName="zvp_ulice">
      <xmlPr mapId="7" xpath="/Pisemnost/DPFDP6/VetaN/@zvp_ulice" xmlDataType="string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comments" Target="../comments10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comments" Target="../comments14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comments" Target="../comments20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comments" Target="../comments23.xml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9.vml" /><Relationship Id="rId4" Type="http://schemas.openxmlformats.org/officeDocument/2006/relationships/printerSettings" Target="../printerSettings/printerSettings22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comments" Target="../comments24.xml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10.vml" /><Relationship Id="rId4" Type="http://schemas.openxmlformats.org/officeDocument/2006/relationships/printerSettings" Target="../printerSettings/printerSettings23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24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Relationship Id="rId2" Type="http://schemas.openxmlformats.org/officeDocument/2006/relationships/printerSettings" Target="../printerSettings/printerSettings25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comments" Target="../comments28.xml" /><Relationship Id="rId2" Type="http://schemas.openxmlformats.org/officeDocument/2006/relationships/drawing" Target="../drawings/drawing6.xml" /><Relationship Id="rId3" Type="http://schemas.openxmlformats.org/officeDocument/2006/relationships/vmlDrawing" Target="../drawings/vmlDrawing11.vml" /><Relationship Id="rId4" Type="http://schemas.openxmlformats.org/officeDocument/2006/relationships/printerSettings" Target="../printerSettings/printerSettings27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comments" Target="../comments29.xml" /><Relationship Id="rId2" Type="http://schemas.openxmlformats.org/officeDocument/2006/relationships/drawing" Target="../drawings/drawing7.xml" /><Relationship Id="rId3" Type="http://schemas.openxmlformats.org/officeDocument/2006/relationships/vmlDrawing" Target="../drawings/vmlDrawing12.vml" /><Relationship Id="rId4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comments" Target="../comments30.xml" /><Relationship Id="rId2" Type="http://schemas.openxmlformats.org/officeDocument/2006/relationships/vmlDrawing" Target="../drawings/vmlDrawing13.vml" /><Relationship Id="rId3" Type="http://schemas.openxmlformats.org/officeDocument/2006/relationships/printerSettings" Target="../printerSettings/printerSettings29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8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271"/>
      <c r="B1" s="271"/>
      <c r="C1" s="271"/>
      <c r="D1" s="272"/>
      <c r="E1" s="271"/>
      <c r="F1" s="271"/>
      <c r="G1" s="271"/>
      <c r="H1" s="271"/>
      <c r="I1" s="271"/>
      <c r="O1" s="273"/>
    </row>
    <row r="2" spans="1:17" ht="12.75" customHeight="1" thickBot="1">
      <c r="A2" s="271"/>
      <c r="B2" s="274" t="s">
        <v>746</v>
      </c>
      <c r="C2" s="275"/>
      <c r="D2" s="276"/>
      <c r="E2" s="277" t="s">
        <v>747</v>
      </c>
      <c r="F2" s="278"/>
      <c r="G2" s="277">
        <f>COUNTIF(H3:H210,"?*")</f>
        <v>202</v>
      </c>
      <c r="H2" s="279"/>
      <c r="I2" s="271"/>
      <c r="J2" s="280" t="s">
        <v>748</v>
      </c>
      <c r="M2" s="281" t="s">
        <v>749</v>
      </c>
      <c r="N2" s="282" t="s">
        <v>750</v>
      </c>
      <c r="O2" s="283" t="s">
        <v>751</v>
      </c>
      <c r="P2" s="284"/>
      <c r="Q2" s="280"/>
    </row>
    <row r="3" spans="1:26" ht="12.75" customHeight="1">
      <c r="A3" s="271"/>
      <c r="B3" s="285" t="s">
        <v>752</v>
      </c>
      <c r="C3" s="286">
        <v>451</v>
      </c>
      <c r="D3" s="287">
        <f>IF(ISNUMBER(SEARCH(ZAKL_DATA!$B$14,E3)),MAX($D$2:D2)+1,0)</f>
        <v>1</v>
      </c>
      <c r="E3" s="288" t="s">
        <v>753</v>
      </c>
      <c r="F3" s="289">
        <v>2001</v>
      </c>
      <c r="G3" s="290"/>
      <c r="H3" s="291" t="str">
        <f>IFERROR(VLOOKUP(ROWS($H$3:H3),$D$3:$E$204,2,0),"")</f>
        <v>PRAHA 1</v>
      </c>
      <c r="I3" s="271"/>
      <c r="J3" s="292" t="s">
        <v>754</v>
      </c>
      <c r="K3" s="293" t="s">
        <v>176</v>
      </c>
      <c r="M3" s="294">
        <f>IF(ISNUMBER(SEARCH(ZAKL_DATA!$B$29,N3)),MAX($M$2:M2)+1,0)</f>
        <v>1</v>
      </c>
      <c r="N3" s="295" t="s">
        <v>755</v>
      </c>
      <c r="O3" s="296" t="s">
        <v>756</v>
      </c>
      <c r="Q3" s="297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295" t="s">
        <v>755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295" t="s">
        <v>755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295" t="s">
        <v>755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271"/>
      <c r="B4" s="298" t="s">
        <v>757</v>
      </c>
      <c r="C4" s="299">
        <v>452</v>
      </c>
      <c r="D4" s="287">
        <f>IF(ISNUMBER(SEARCH(ZAKL_DATA!$B$14,E4)),MAX($D$2:D3)+1,0)</f>
        <v>2</v>
      </c>
      <c r="E4" s="300" t="s">
        <v>758</v>
      </c>
      <c r="F4" s="301">
        <v>2002</v>
      </c>
      <c r="G4" s="302"/>
      <c r="H4" s="303" t="str">
        <f>IFERROR(VLOOKUP(ROWS($H$3:H4),$D$3:$E$204,2,0),"")</f>
        <v>PRAHA 2</v>
      </c>
      <c r="I4" s="271"/>
      <c r="J4" s="304" t="s">
        <v>759</v>
      </c>
      <c r="K4" s="293" t="s">
        <v>760</v>
      </c>
      <c r="M4" s="294">
        <f>IF(ISNUMBER(SEARCH(ZAKL_DATA!$B$29,N4)),MAX($M$2:M3)+1,0)</f>
        <v>2</v>
      </c>
      <c r="N4" s="295" t="s">
        <v>761</v>
      </c>
      <c r="O4" s="296" t="s">
        <v>762</v>
      </c>
      <c r="Q4" s="297" t="str">
        <f>IFERROR(VLOOKUP(ROWS($Q$3:Q4),$M$3:$N$992,2,0),"")</f>
        <v>Lesnictví a těžba dřeva</v>
      </c>
      <c r="R4">
        <f>IF(ISNUMBER(SEARCH('1Př1'!$A$32,N4)),MAX($M$2:M3)+1,0)</f>
        <v>2</v>
      </c>
      <c r="S4" s="295" t="s">
        <v>761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295" t="s">
        <v>761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295" t="s">
        <v>761</v>
      </c>
      <c r="Z4" t="str">
        <f>IFERROR(VLOOKUP(ROWS($Z$3:Z4),$X$3:$Y$992,2,0),"")</f>
        <v>Lesnictví a těžba dřeva</v>
      </c>
    </row>
    <row r="5" spans="1:26" ht="12.75" customHeight="1">
      <c r="A5" s="271"/>
      <c r="B5" s="298" t="s">
        <v>763</v>
      </c>
      <c r="C5" s="299">
        <v>453</v>
      </c>
      <c r="D5" s="287">
        <f>IF(ISNUMBER(SEARCH(ZAKL_DATA!$B$14,E5)),MAX($D$2:D4)+1,0)</f>
        <v>3</v>
      </c>
      <c r="E5" s="300" t="s">
        <v>764</v>
      </c>
      <c r="F5" s="301">
        <v>2003</v>
      </c>
      <c r="G5" s="302"/>
      <c r="H5" s="303" t="str">
        <f>IFERROR(VLOOKUP(ROWS($H$3:H5),$D$3:$E$204,2,0),"")</f>
        <v>PRAHA 3</v>
      </c>
      <c r="I5" s="271"/>
      <c r="J5" s="304" t="s">
        <v>765</v>
      </c>
      <c r="K5" s="293" t="s">
        <v>766</v>
      </c>
      <c r="M5" s="294">
        <f>IF(ISNUMBER(SEARCH(ZAKL_DATA!$B$29,N5)),MAX($M$2:M4)+1,0)</f>
        <v>3</v>
      </c>
      <c r="N5" s="295" t="s">
        <v>767</v>
      </c>
      <c r="O5" s="296" t="s">
        <v>768</v>
      </c>
      <c r="Q5" s="297" t="str">
        <f>IFERROR(VLOOKUP(ROWS($Q$3:Q5),$M$3:$N$992,2,0),"")</f>
        <v>Rybolov a akvakultura</v>
      </c>
      <c r="R5">
        <f>IF(ISNUMBER(SEARCH('1Př1'!$A$32,N5)),MAX($M$2:M4)+1,0)</f>
        <v>3</v>
      </c>
      <c r="S5" s="295" t="s">
        <v>767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295" t="s">
        <v>767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295" t="s">
        <v>767</v>
      </c>
      <c r="Z5" t="str">
        <f>IFERROR(VLOOKUP(ROWS($Z$3:Z5),$X$3:$Y$992,2,0),"")</f>
        <v>Rybolov a akvakultura</v>
      </c>
    </row>
    <row r="6" spans="1:26" ht="12.75" customHeight="1">
      <c r="A6" s="271"/>
      <c r="B6" s="298" t="s">
        <v>769</v>
      </c>
      <c r="C6" s="299">
        <v>454</v>
      </c>
      <c r="D6" s="287">
        <f>IF(ISNUMBER(SEARCH(ZAKL_DATA!$B$14,E6)),MAX($D$2:D5)+1,0)</f>
        <v>4</v>
      </c>
      <c r="E6" s="300" t="s">
        <v>770</v>
      </c>
      <c r="F6" s="301">
        <v>2004</v>
      </c>
      <c r="G6" s="302"/>
      <c r="H6" s="303" t="str">
        <f>IFERROR(VLOOKUP(ROWS($H$3:H6),$D$3:$E$204,2,0),"")</f>
        <v>PRAHA 4</v>
      </c>
      <c r="I6" s="271"/>
      <c r="J6" s="305" t="s">
        <v>771</v>
      </c>
      <c r="K6" s="293" t="s">
        <v>772</v>
      </c>
      <c r="M6" s="294">
        <f>IF(ISNUMBER(SEARCH(ZAKL_DATA!$B$29,N6)),MAX($M$2:M5)+1,0)</f>
        <v>4</v>
      </c>
      <c r="N6" s="295" t="s">
        <v>773</v>
      </c>
      <c r="O6" s="296" t="s">
        <v>774</v>
      </c>
      <c r="Q6" s="297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295" t="s">
        <v>773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295" t="s">
        <v>773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295" t="s">
        <v>773</v>
      </c>
      <c r="Z6" t="str">
        <f>IFERROR(VLOOKUP(ROWS($Z$3:Z6),$X$3:$Y$992,2,0),"")</f>
        <v>Těžba a úprava černého a hnědého uhlí</v>
      </c>
    </row>
    <row r="7" spans="1:26" ht="12.75" customHeight="1">
      <c r="A7" s="271"/>
      <c r="B7" s="298" t="s">
        <v>775</v>
      </c>
      <c r="C7" s="299">
        <v>455</v>
      </c>
      <c r="D7" s="287">
        <f>IF(ISNUMBER(SEARCH(ZAKL_DATA!$B$14,E7)),MAX($D$2:D6)+1,0)</f>
        <v>5</v>
      </c>
      <c r="E7" s="300" t="s">
        <v>776</v>
      </c>
      <c r="F7" s="301">
        <v>2005</v>
      </c>
      <c r="G7" s="302"/>
      <c r="H7" s="303" t="str">
        <f>IFERROR(VLOOKUP(ROWS($H$3:H7),$D$3:$E$204,2,0),"")</f>
        <v>PRAHA 5</v>
      </c>
      <c r="I7" s="271"/>
      <c r="J7" s="305" t="s">
        <v>777</v>
      </c>
      <c r="K7" s="293" t="s">
        <v>778</v>
      </c>
      <c r="M7" s="294">
        <f>IF(ISNUMBER(SEARCH(ZAKL_DATA!$B$29,N7)),MAX($M$2:M6)+1,0)</f>
        <v>5</v>
      </c>
      <c r="N7" s="295" t="s">
        <v>779</v>
      </c>
      <c r="O7" s="296" t="s">
        <v>780</v>
      </c>
      <c r="Q7" s="297" t="str">
        <f>IFERROR(VLOOKUP(ROWS($Q$3:Q7),$M$3:$N$992,2,0),"")</f>
        <v>Těžba ropy a zemního plynu</v>
      </c>
      <c r="R7">
        <f>IF(ISNUMBER(SEARCH('1Př1'!$A$32,N7)),MAX($M$2:M6)+1,0)</f>
        <v>5</v>
      </c>
      <c r="S7" s="295" t="s">
        <v>779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295" t="s">
        <v>779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295" t="s">
        <v>779</v>
      </c>
      <c r="Z7" t="str">
        <f>IFERROR(VLOOKUP(ROWS($Z$3:Z7),$X$3:$Y$992,2,0),"")</f>
        <v>Těžba ropy a zemního plynu</v>
      </c>
    </row>
    <row r="8" spans="1:26" ht="12.75" customHeight="1">
      <c r="A8" s="271"/>
      <c r="B8" s="298" t="s">
        <v>781</v>
      </c>
      <c r="C8" s="299">
        <v>456</v>
      </c>
      <c r="D8" s="287">
        <f>IF(ISNUMBER(SEARCH(ZAKL_DATA!$B$14,E8)),MAX($D$2:D7)+1,0)</f>
        <v>6</v>
      </c>
      <c r="E8" s="300" t="s">
        <v>782</v>
      </c>
      <c r="F8" s="301">
        <v>2006</v>
      </c>
      <c r="G8" s="302"/>
      <c r="H8" s="303" t="str">
        <f>IFERROR(VLOOKUP(ROWS($H$3:H8),$D$3:$E$204,2,0),"")</f>
        <v>PRAHA 6</v>
      </c>
      <c r="I8" s="271"/>
      <c r="J8" s="305" t="s">
        <v>783</v>
      </c>
      <c r="K8" s="293" t="s">
        <v>784</v>
      </c>
      <c r="M8" s="294">
        <f>IF(ISNUMBER(SEARCH(ZAKL_DATA!$B$29,N8)),MAX($M$2:M7)+1,0)</f>
        <v>6</v>
      </c>
      <c r="N8" s="295" t="s">
        <v>785</v>
      </c>
      <c r="O8" s="296" t="s">
        <v>786</v>
      </c>
      <c r="Q8" s="297" t="str">
        <f>IFERROR(VLOOKUP(ROWS($Q$3:Q8),$M$3:$N$992,2,0),"")</f>
        <v>Těžba a úprava rud</v>
      </c>
      <c r="R8">
        <f>IF(ISNUMBER(SEARCH('1Př1'!$A$32,N8)),MAX($M$2:M7)+1,0)</f>
        <v>6</v>
      </c>
      <c r="S8" s="295" t="s">
        <v>785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295" t="s">
        <v>785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295" t="s">
        <v>785</v>
      </c>
      <c r="Z8" t="str">
        <f>IFERROR(VLOOKUP(ROWS($Z$3:Z8),$X$3:$Y$992,2,0),"")</f>
        <v>Těžba a úprava rud</v>
      </c>
    </row>
    <row r="9" spans="1:26" ht="12.75" customHeight="1">
      <c r="A9" s="271"/>
      <c r="B9" s="298" t="s">
        <v>787</v>
      </c>
      <c r="C9" s="299">
        <v>457</v>
      </c>
      <c r="D9" s="287">
        <f>IF(ISNUMBER(SEARCH(ZAKL_DATA!$B$14,E9)),MAX($D$2:D8)+1,0)</f>
        <v>7</v>
      </c>
      <c r="E9" s="300" t="s">
        <v>788</v>
      </c>
      <c r="F9" s="301">
        <v>2007</v>
      </c>
      <c r="G9" s="302"/>
      <c r="H9" s="303" t="str">
        <f>IFERROR(VLOOKUP(ROWS($H$3:H9),$D$3:$E$204,2,0),"")</f>
        <v>PRAHA 7</v>
      </c>
      <c r="I9" s="271"/>
      <c r="J9" s="305" t="s">
        <v>789</v>
      </c>
      <c r="K9" s="293" t="s">
        <v>790</v>
      </c>
      <c r="M9" s="294">
        <f>IF(ISNUMBER(SEARCH(ZAKL_DATA!$B$29,N9)),MAX($M$2:M8)+1,0)</f>
        <v>7</v>
      </c>
      <c r="N9" s="295" t="s">
        <v>791</v>
      </c>
      <c r="O9" s="296" t="s">
        <v>792</v>
      </c>
      <c r="Q9" s="297" t="str">
        <f>IFERROR(VLOOKUP(ROWS($Q$3:Q9),$M$3:$N$992,2,0),"")</f>
        <v>Ostatní těžba a dobývání</v>
      </c>
      <c r="R9">
        <f>IF(ISNUMBER(SEARCH('1Př1'!$A$32,N9)),MAX($M$2:M8)+1,0)</f>
        <v>7</v>
      </c>
      <c r="S9" s="295" t="s">
        <v>791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295" t="s">
        <v>791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295" t="s">
        <v>791</v>
      </c>
      <c r="Z9" t="str">
        <f>IFERROR(VLOOKUP(ROWS($Z$3:Z9),$X$3:$Y$992,2,0),"")</f>
        <v>Ostatní těžba a dobývání</v>
      </c>
    </row>
    <row r="10" spans="1:26" ht="12.75" customHeight="1">
      <c r="A10" s="271"/>
      <c r="B10" s="298" t="s">
        <v>793</v>
      </c>
      <c r="C10" s="299">
        <v>458</v>
      </c>
      <c r="D10" s="287">
        <f>IF(ISNUMBER(SEARCH(ZAKL_DATA!$B$14,E10)),MAX($D$2:D9)+1,0)</f>
        <v>8</v>
      </c>
      <c r="E10" s="300" t="s">
        <v>794</v>
      </c>
      <c r="F10" s="301">
        <v>2008</v>
      </c>
      <c r="G10" s="302"/>
      <c r="H10" s="303" t="str">
        <f>IFERROR(VLOOKUP(ROWS($H$3:H10),$D$3:$E$204,2,0),"")</f>
        <v>PRAHA 8</v>
      </c>
      <c r="I10" s="271"/>
      <c r="J10" s="305" t="s">
        <v>795</v>
      </c>
      <c r="K10" s="293" t="s">
        <v>796</v>
      </c>
      <c r="M10" s="294">
        <f>IF(ISNUMBER(SEARCH(ZAKL_DATA!$B$29,N10)),MAX($M$2:M9)+1,0)</f>
        <v>8</v>
      </c>
      <c r="N10" s="295" t="s">
        <v>797</v>
      </c>
      <c r="O10" s="296" t="s">
        <v>798</v>
      </c>
      <c r="Q10" s="297" t="str">
        <f>IFERROR(VLOOKUP(ROWS($Q$3:Q10),$M$3:$N$992,2,0),"")</f>
        <v>Podpůrné činnosti při těžbě</v>
      </c>
      <c r="R10">
        <f>IF(ISNUMBER(SEARCH('1Př1'!$A$32,N10)),MAX($M$2:M9)+1,0)</f>
        <v>8</v>
      </c>
      <c r="S10" s="295" t="s">
        <v>797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295" t="s">
        <v>797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295" t="s">
        <v>797</v>
      </c>
      <c r="Z10" t="str">
        <f>IFERROR(VLOOKUP(ROWS($Z$3:Z10),$X$3:$Y$992,2,0),"")</f>
        <v>Podpůrné činnosti při těžbě</v>
      </c>
    </row>
    <row r="11" spans="1:26" ht="12.75" customHeight="1">
      <c r="A11" s="271"/>
      <c r="B11" s="298" t="s">
        <v>799</v>
      </c>
      <c r="C11" s="299">
        <v>459</v>
      </c>
      <c r="D11" s="287">
        <f>IF(ISNUMBER(SEARCH(ZAKL_DATA!$B$14,E11)),MAX($D$2:D10)+1,0)</f>
        <v>9</v>
      </c>
      <c r="E11" s="300" t="s">
        <v>800</v>
      </c>
      <c r="F11" s="301">
        <v>2009</v>
      </c>
      <c r="G11" s="302"/>
      <c r="H11" s="303" t="str">
        <f>IFERROR(VLOOKUP(ROWS($H$3:H11),$D$3:$E$204,2,0),"")</f>
        <v>PRAHA 9</v>
      </c>
      <c r="I11" s="271"/>
      <c r="J11" s="305" t="s">
        <v>801</v>
      </c>
      <c r="K11" s="293" t="s">
        <v>802</v>
      </c>
      <c r="M11" s="294">
        <f>IF(ISNUMBER(SEARCH(ZAKL_DATA!$B$29,N11)),MAX($M$2:M10)+1,0)</f>
        <v>9</v>
      </c>
      <c r="N11" s="295" t="s">
        <v>803</v>
      </c>
      <c r="O11" s="296" t="s">
        <v>804</v>
      </c>
      <c r="Q11" s="297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295" t="s">
        <v>803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295" t="s">
        <v>803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295" t="s">
        <v>803</v>
      </c>
      <c r="Z11" t="str">
        <f>IFERROR(VLOOKUP(ROWS($Z$3:Z11),$X$3:$Y$992,2,0),"")</f>
        <v>Výroba potravinářských výrobků</v>
      </c>
    </row>
    <row r="12" spans="1:26" ht="12.75" customHeight="1">
      <c r="A12" s="271"/>
      <c r="B12" s="298" t="s">
        <v>805</v>
      </c>
      <c r="C12" s="272">
        <v>460</v>
      </c>
      <c r="D12" s="287">
        <f>IF(ISNUMBER(SEARCH(ZAKL_DATA!$B$14,E12)),MAX($D$2:D11)+1,0)</f>
        <v>10</v>
      </c>
      <c r="E12" s="300" t="s">
        <v>806</v>
      </c>
      <c r="F12" s="301">
        <v>2010</v>
      </c>
      <c r="G12" s="302"/>
      <c r="H12" s="303" t="str">
        <f>IFERROR(VLOOKUP(ROWS($H$3:H12),$D$3:$E$204,2,0),"")</f>
        <v>PRAHA 10</v>
      </c>
      <c r="I12" s="271"/>
      <c r="J12" s="305" t="s">
        <v>807</v>
      </c>
      <c r="K12" s="293" t="s">
        <v>808</v>
      </c>
      <c r="M12" s="294">
        <f>IF(ISNUMBER(SEARCH(ZAKL_DATA!$B$29,N12)),MAX($M$2:M11)+1,0)</f>
        <v>10</v>
      </c>
      <c r="N12" s="295" t="s">
        <v>809</v>
      </c>
      <c r="O12" s="296" t="s">
        <v>810</v>
      </c>
      <c r="Q12" s="297" t="str">
        <f>IFERROR(VLOOKUP(ROWS($Q$3:Q12),$M$3:$N$992,2,0),"")</f>
        <v>Výroba nápojů</v>
      </c>
      <c r="R12">
        <f>IF(ISNUMBER(SEARCH('1Př1'!$A$32,N12)),MAX($M$2:M11)+1,0)</f>
        <v>10</v>
      </c>
      <c r="S12" s="295" t="s">
        <v>809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295" t="s">
        <v>809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295" t="s">
        <v>809</v>
      </c>
      <c r="Z12" t="str">
        <f>IFERROR(VLOOKUP(ROWS($Z$3:Z12),$X$3:$Y$992,2,0),"")</f>
        <v>Výroba nápojů</v>
      </c>
    </row>
    <row r="13" spans="1:26" ht="12.75" customHeight="1">
      <c r="A13" s="271"/>
      <c r="B13" s="298" t="s">
        <v>811</v>
      </c>
      <c r="C13" s="299">
        <v>461</v>
      </c>
      <c r="D13" s="287">
        <f>IF(ISNUMBER(SEARCH(ZAKL_DATA!$B$14,E13)),MAX($D$2:D12)+1,0)</f>
        <v>11</v>
      </c>
      <c r="E13" s="300" t="s">
        <v>812</v>
      </c>
      <c r="F13" s="301">
        <v>2011</v>
      </c>
      <c r="G13" s="302"/>
      <c r="H13" s="303" t="str">
        <f>IFERROR(VLOOKUP(ROWS($H$3:H13),$D$3:$E$204,2,0),"")</f>
        <v>PRAHA-JIŽNÍ MĚSTO</v>
      </c>
      <c r="I13" s="271"/>
      <c r="J13" s="305" t="s">
        <v>813</v>
      </c>
      <c r="K13" s="293" t="s">
        <v>814</v>
      </c>
      <c r="M13" s="294">
        <f>IF(ISNUMBER(SEARCH(ZAKL_DATA!$B$29,N13)),MAX($M$2:M12)+1,0)</f>
        <v>11</v>
      </c>
      <c r="N13" s="295" t="s">
        <v>815</v>
      </c>
      <c r="O13" s="296" t="s">
        <v>816</v>
      </c>
      <c r="Q13" s="297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295" t="s">
        <v>815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295" t="s">
        <v>815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295" t="s">
        <v>815</v>
      </c>
      <c r="Z13" t="str">
        <f>IFERROR(VLOOKUP(ROWS($Z$3:Z13),$X$3:$Y$992,2,0),"")</f>
        <v>Pěstování plodin jiných než trvalých</v>
      </c>
    </row>
    <row r="14" spans="1:26" ht="12.75" customHeight="1">
      <c r="A14" s="271"/>
      <c r="B14" s="298" t="s">
        <v>817</v>
      </c>
      <c r="C14" s="299">
        <v>462</v>
      </c>
      <c r="D14" s="287">
        <f>IF(ISNUMBER(SEARCH(ZAKL_DATA!$B$14,E14)),MAX($D$2:D13)+1,0)</f>
        <v>12</v>
      </c>
      <c r="E14" s="300" t="s">
        <v>818</v>
      </c>
      <c r="F14" s="301">
        <v>2012</v>
      </c>
      <c r="G14" s="302"/>
      <c r="H14" s="303" t="str">
        <f>IFERROR(VLOOKUP(ROWS($H$3:H14),$D$3:$E$204,2,0),"")</f>
        <v>PRAHA-MODŘANY</v>
      </c>
      <c r="I14" s="271"/>
      <c r="J14" s="305" t="s">
        <v>819</v>
      </c>
      <c r="K14" s="293" t="s">
        <v>820</v>
      </c>
      <c r="M14" s="294">
        <f>IF(ISNUMBER(SEARCH(ZAKL_DATA!$B$29,N14)),MAX($M$2:M13)+1,0)</f>
        <v>12</v>
      </c>
      <c r="N14" s="295" t="s">
        <v>821</v>
      </c>
      <c r="O14" s="296" t="s">
        <v>822</v>
      </c>
      <c r="Q14" s="297" t="str">
        <f>IFERROR(VLOOKUP(ROWS($Q$3:Q14),$M$3:$N$992,2,0),"")</f>
        <v>Výroba tabákových výrobků</v>
      </c>
      <c r="R14">
        <f>IF(ISNUMBER(SEARCH('1Př1'!$A$32,N14)),MAX($M$2:M13)+1,0)</f>
        <v>12</v>
      </c>
      <c r="S14" s="295" t="s">
        <v>821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295" t="s">
        <v>821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295" t="s">
        <v>821</v>
      </c>
      <c r="Z14" t="str">
        <f>IFERROR(VLOOKUP(ROWS($Z$3:Z14),$X$3:$Y$992,2,0),"")</f>
        <v>Výroba tabákových výrobků</v>
      </c>
    </row>
    <row r="15" spans="1:26" ht="12.75" customHeight="1">
      <c r="A15" s="271"/>
      <c r="B15" s="298" t="s">
        <v>823</v>
      </c>
      <c r="C15" s="299">
        <v>463</v>
      </c>
      <c r="D15" s="287">
        <f>IF(ISNUMBER(SEARCH(ZAKL_DATA!$B$14,E15)),MAX($D$2:D14)+1,0)</f>
        <v>13</v>
      </c>
      <c r="E15" s="300" t="s">
        <v>824</v>
      </c>
      <c r="F15" s="301">
        <v>2101</v>
      </c>
      <c r="G15" s="302"/>
      <c r="H15" s="303" t="str">
        <f>IFERROR(VLOOKUP(ROWS($H$3:H15),$D$3:$E$204,2,0),"")</f>
        <v>PRAHA - VÝCHOD</v>
      </c>
      <c r="I15" s="271"/>
      <c r="J15" s="305" t="s">
        <v>825</v>
      </c>
      <c r="K15" s="293" t="s">
        <v>826</v>
      </c>
      <c r="M15" s="294">
        <f>IF(ISNUMBER(SEARCH(ZAKL_DATA!$B$29,N15)),MAX($M$2:M14)+1,0)</f>
        <v>13</v>
      </c>
      <c r="N15" s="295" t="s">
        <v>827</v>
      </c>
      <c r="O15" s="296" t="s">
        <v>828</v>
      </c>
      <c r="Q15" s="297" t="str">
        <f>IFERROR(VLOOKUP(ROWS($Q$3:Q15),$M$3:$N$992,2,0),"")</f>
        <v>Pěstování trvalých plodin</v>
      </c>
      <c r="R15">
        <f>IF(ISNUMBER(SEARCH('1Př1'!$A$32,N15)),MAX($M$2:M14)+1,0)</f>
        <v>13</v>
      </c>
      <c r="S15" s="295" t="s">
        <v>827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295" t="s">
        <v>827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295" t="s">
        <v>827</v>
      </c>
      <c r="Z15" t="str">
        <f>IFERROR(VLOOKUP(ROWS($Z$3:Z15),$X$3:$Y$992,2,0),"")</f>
        <v>Pěstování trvalých plodin</v>
      </c>
    </row>
    <row r="16" spans="1:26" ht="12.75" customHeight="1">
      <c r="A16" s="271"/>
      <c r="B16" s="298" t="s">
        <v>829</v>
      </c>
      <c r="C16" s="299">
        <v>464</v>
      </c>
      <c r="D16" s="287">
        <f>IF(ISNUMBER(SEARCH(ZAKL_DATA!$B$14,E16)),MAX($D$2:D15)+1,0)</f>
        <v>14</v>
      </c>
      <c r="E16" s="300" t="s">
        <v>830</v>
      </c>
      <c r="F16" s="301">
        <v>2102</v>
      </c>
      <c r="G16" s="302"/>
      <c r="H16" s="303" t="str">
        <f>IFERROR(VLOOKUP(ROWS($H$3:H16),$D$3:$E$204,2,0),"")</f>
        <v>PRAHA ZÁPAD</v>
      </c>
      <c r="I16" s="271"/>
      <c r="J16" s="305" t="s">
        <v>831</v>
      </c>
      <c r="K16" s="293" t="s">
        <v>832</v>
      </c>
      <c r="M16" s="294">
        <f>IF(ISNUMBER(SEARCH(ZAKL_DATA!$B$29,N16)),MAX($M$2:M15)+1,0)</f>
        <v>14</v>
      </c>
      <c r="N16" s="295" t="s">
        <v>833</v>
      </c>
      <c r="O16" s="296" t="s">
        <v>834</v>
      </c>
      <c r="Q16" s="297" t="str">
        <f>IFERROR(VLOOKUP(ROWS($Q$3:Q16),$M$3:$N$992,2,0),"")</f>
        <v>Výroba textilií</v>
      </c>
      <c r="R16">
        <f>IF(ISNUMBER(SEARCH('1Př1'!$A$32,N16)),MAX($M$2:M15)+1,0)</f>
        <v>14</v>
      </c>
      <c r="S16" s="295" t="s">
        <v>833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295" t="s">
        <v>833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295" t="s">
        <v>833</v>
      </c>
      <c r="Z16" t="str">
        <f>IFERROR(VLOOKUP(ROWS($Z$3:Z16),$X$3:$Y$992,2,0),"")</f>
        <v>Výroba textilií</v>
      </c>
    </row>
    <row r="17" spans="1:26" ht="12.75" customHeight="1" thickBot="1">
      <c r="A17" s="271"/>
      <c r="B17" s="306" t="s">
        <v>835</v>
      </c>
      <c r="C17" s="307">
        <v>13</v>
      </c>
      <c r="D17" s="287">
        <f>IF(ISNUMBER(SEARCH(ZAKL_DATA!$B$14,E17)),MAX($D$2:D16)+1,0)</f>
        <v>15</v>
      </c>
      <c r="E17" s="300" t="s">
        <v>836</v>
      </c>
      <c r="F17" s="301">
        <v>2103</v>
      </c>
      <c r="G17" s="302"/>
      <c r="H17" s="303" t="str">
        <f>IFERROR(VLOOKUP(ROWS($H$3:H17),$D$3:$E$204,2,0),"")</f>
        <v>BENEŠOV</v>
      </c>
      <c r="I17" s="271"/>
      <c r="J17" s="305" t="s">
        <v>837</v>
      </c>
      <c r="K17" s="293" t="s">
        <v>838</v>
      </c>
      <c r="M17" s="294">
        <f>IF(ISNUMBER(SEARCH(ZAKL_DATA!$B$29,N17)),MAX($M$2:M16)+1,0)</f>
        <v>15</v>
      </c>
      <c r="N17" s="295" t="s">
        <v>839</v>
      </c>
      <c r="O17" s="296" t="s">
        <v>840</v>
      </c>
      <c r="Q17" s="297" t="str">
        <f>IFERROR(VLOOKUP(ROWS($Q$3:Q17),$M$3:$N$992,2,0),"")</f>
        <v>Množení rostlin</v>
      </c>
      <c r="R17">
        <f>IF(ISNUMBER(SEARCH('1Př1'!$A$32,N17)),MAX($M$2:M16)+1,0)</f>
        <v>15</v>
      </c>
      <c r="S17" s="295" t="s">
        <v>839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295" t="s">
        <v>839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295" t="s">
        <v>839</v>
      </c>
      <c r="Z17" t="str">
        <f>IFERROR(VLOOKUP(ROWS($Z$3:Z17),$X$3:$Y$992,2,0),"")</f>
        <v>Množení rostlin</v>
      </c>
    </row>
    <row r="18" spans="1:26" ht="12.75" customHeight="1">
      <c r="A18" s="271"/>
      <c r="B18" s="271"/>
      <c r="C18" s="271"/>
      <c r="D18" s="287">
        <f>IF(ISNUMBER(SEARCH(ZAKL_DATA!$B$14,E18)),MAX($D$2:D17)+1,0)</f>
        <v>16</v>
      </c>
      <c r="E18" s="300" t="s">
        <v>841</v>
      </c>
      <c r="F18" s="301">
        <v>2104</v>
      </c>
      <c r="G18" s="302"/>
      <c r="H18" s="303" t="str">
        <f>IFERROR(VLOOKUP(ROWS($H$3:H18),$D$3:$E$204,2,0),"")</f>
        <v>BEROUN</v>
      </c>
      <c r="I18" s="271"/>
      <c r="J18" s="305" t="s">
        <v>842</v>
      </c>
      <c r="K18" s="293" t="s">
        <v>843</v>
      </c>
      <c r="M18" s="294">
        <f>IF(ISNUMBER(SEARCH(ZAKL_DATA!$B$29,N18)),MAX($M$2:M17)+1,0)</f>
        <v>16</v>
      </c>
      <c r="N18" s="295" t="s">
        <v>844</v>
      </c>
      <c r="O18" s="296" t="s">
        <v>845</v>
      </c>
      <c r="Q18" s="297" t="str">
        <f>IFERROR(VLOOKUP(ROWS($Q$3:Q18),$M$3:$N$992,2,0),"")</f>
        <v>Výroba oděvů</v>
      </c>
      <c r="R18">
        <f>IF(ISNUMBER(SEARCH('1Př1'!$A$32,N18)),MAX($M$2:M17)+1,0)</f>
        <v>16</v>
      </c>
      <c r="S18" s="295" t="s">
        <v>844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295" t="s">
        <v>844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295" t="s">
        <v>844</v>
      </c>
      <c r="Z18" t="str">
        <f>IFERROR(VLOOKUP(ROWS($Z$3:Z18),$X$3:$Y$992,2,0),"")</f>
        <v>Výroba oděvů</v>
      </c>
    </row>
    <row r="19" spans="1:26" ht="12.75" customHeight="1">
      <c r="A19" s="271"/>
      <c r="B19" s="271"/>
      <c r="C19" s="271"/>
      <c r="D19" s="287">
        <f>IF(ISNUMBER(SEARCH(ZAKL_DATA!$B$14,E19)),MAX($D$2:D18)+1,0)</f>
        <v>17</v>
      </c>
      <c r="E19" s="300" t="s">
        <v>846</v>
      </c>
      <c r="F19" s="301">
        <v>2105</v>
      </c>
      <c r="G19" s="302"/>
      <c r="H19" s="303" t="str">
        <f>IFERROR(VLOOKUP(ROWS($H$3:H19),$D$3:$E$204,2,0),"")</f>
        <v>BRANDÝS N.L. - ST.BOL.</v>
      </c>
      <c r="I19" s="271"/>
      <c r="J19" s="305" t="s">
        <v>847</v>
      </c>
      <c r="K19" s="293" t="s">
        <v>848</v>
      </c>
      <c r="M19" s="294">
        <f>IF(ISNUMBER(SEARCH(ZAKL_DATA!$B$29,N19)),MAX($M$2:M18)+1,0)</f>
        <v>17</v>
      </c>
      <c r="N19" s="295" t="s">
        <v>849</v>
      </c>
      <c r="O19" s="296" t="s">
        <v>850</v>
      </c>
      <c r="Q19" s="297" t="str">
        <f>IFERROR(VLOOKUP(ROWS($Q$3:Q19),$M$3:$N$992,2,0),"")</f>
        <v>živočišná výroba</v>
      </c>
      <c r="R19">
        <f>IF(ISNUMBER(SEARCH('1Př1'!$A$32,N19)),MAX($M$2:M18)+1,0)</f>
        <v>17</v>
      </c>
      <c r="S19" s="295" t="s">
        <v>849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295" t="s">
        <v>849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295" t="s">
        <v>849</v>
      </c>
      <c r="Z19" t="str">
        <f>IFERROR(VLOOKUP(ROWS($Z$3:Z19),$X$3:$Y$992,2,0),"")</f>
        <v>živočišná výroba</v>
      </c>
    </row>
    <row r="20" spans="1:26" ht="12.75" customHeight="1">
      <c r="A20" s="271"/>
      <c r="B20" s="271"/>
      <c r="C20" s="271"/>
      <c r="D20" s="287">
        <f>IF(ISNUMBER(SEARCH(ZAKL_DATA!$B$14,E20)),MAX($D$2:D19)+1,0)</f>
        <v>18</v>
      </c>
      <c r="E20" s="300" t="s">
        <v>851</v>
      </c>
      <c r="F20" s="301">
        <v>2106</v>
      </c>
      <c r="G20" s="302"/>
      <c r="H20" s="303" t="str">
        <f>IFERROR(VLOOKUP(ROWS($H$3:H20),$D$3:$E$204,2,0),"")</f>
        <v>ČÁSLAV</v>
      </c>
      <c r="I20" s="271"/>
      <c r="J20" s="305" t="s">
        <v>852</v>
      </c>
      <c r="K20" s="293" t="s">
        <v>853</v>
      </c>
      <c r="M20" s="294">
        <f>IF(ISNUMBER(SEARCH(ZAKL_DATA!$B$29,N20)),MAX($M$2:M19)+1,0)</f>
        <v>18</v>
      </c>
      <c r="N20" s="295" t="s">
        <v>854</v>
      </c>
      <c r="O20" s="296" t="s">
        <v>855</v>
      </c>
      <c r="Q20" s="297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295" t="s">
        <v>854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295" t="s">
        <v>854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295" t="s">
        <v>854</v>
      </c>
      <c r="Z20" t="str">
        <f>IFERROR(VLOOKUP(ROWS($Z$3:Z20),$X$3:$Y$992,2,0),"")</f>
        <v>Výroba usní a souvisejících výrobků</v>
      </c>
    </row>
    <row r="21" spans="1:26" ht="12.75" customHeight="1">
      <c r="A21" s="271"/>
      <c r="B21" s="271"/>
      <c r="C21" s="271"/>
      <c r="D21" s="287">
        <f>IF(ISNUMBER(SEARCH(ZAKL_DATA!$B$14,E21)),MAX($D$2:D20)+1,0)</f>
        <v>19</v>
      </c>
      <c r="E21" s="300" t="s">
        <v>856</v>
      </c>
      <c r="F21" s="301">
        <v>2107</v>
      </c>
      <c r="G21" s="302"/>
      <c r="H21" s="303" t="str">
        <f>IFERROR(VLOOKUP(ROWS($H$3:H21),$D$3:$E$204,2,0),"")</f>
        <v>ČESKÝ BROD</v>
      </c>
      <c r="I21" s="271"/>
      <c r="J21" s="305" t="s">
        <v>857</v>
      </c>
      <c r="K21" s="293" t="s">
        <v>858</v>
      </c>
      <c r="M21" s="294">
        <f>IF(ISNUMBER(SEARCH(ZAKL_DATA!$B$29,N21)),MAX($M$2:M20)+1,0)</f>
        <v>19</v>
      </c>
      <c r="N21" s="295" t="s">
        <v>859</v>
      </c>
      <c r="O21" s="296" t="s">
        <v>860</v>
      </c>
      <c r="Q21" s="297" t="str">
        <f>IFERROR(VLOOKUP(ROWS($Q$3:Q21),$M$3:$N$992,2,0),"")</f>
        <v>Smíšené hospodářství</v>
      </c>
      <c r="R21">
        <f>IF(ISNUMBER(SEARCH('1Př1'!$A$32,N21)),MAX($M$2:M20)+1,0)</f>
        <v>19</v>
      </c>
      <c r="S21" s="295" t="s">
        <v>859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295" t="s">
        <v>859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295" t="s">
        <v>859</v>
      </c>
      <c r="Z21" t="str">
        <f>IFERROR(VLOOKUP(ROWS($Z$3:Z21),$X$3:$Y$992,2,0),"")</f>
        <v>Smíšené hospodářství</v>
      </c>
    </row>
    <row r="22" spans="1:26" ht="12.75" customHeight="1">
      <c r="A22" s="271"/>
      <c r="B22" s="271"/>
      <c r="C22" s="271"/>
      <c r="D22" s="287">
        <f>IF(ISNUMBER(SEARCH(ZAKL_DATA!$B$14,E22)),MAX($D$2:D21)+1,0)</f>
        <v>20</v>
      </c>
      <c r="E22" s="300" t="s">
        <v>861</v>
      </c>
      <c r="F22" s="301">
        <v>2108</v>
      </c>
      <c r="G22" s="302"/>
      <c r="H22" s="303" t="str">
        <f>IFERROR(VLOOKUP(ROWS($H$3:H22),$D$3:$E$204,2,0),"")</f>
        <v>DOBŘÍŠ</v>
      </c>
      <c r="I22" s="271"/>
      <c r="J22" s="305" t="s">
        <v>862</v>
      </c>
      <c r="K22" s="293" t="s">
        <v>863</v>
      </c>
      <c r="M22" s="294">
        <f>IF(ISNUMBER(SEARCH(ZAKL_DATA!$B$29,N22)),MAX($M$2:M21)+1,0)</f>
        <v>20</v>
      </c>
      <c r="N22" s="295" t="s">
        <v>864</v>
      </c>
      <c r="O22" s="296" t="s">
        <v>865</v>
      </c>
      <c r="Q22" s="297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295" t="s">
        <v>864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295" t="s">
        <v>864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295" t="s">
        <v>864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271"/>
      <c r="B23" s="271"/>
      <c r="C23" s="271"/>
      <c r="D23" s="287">
        <f>IF(ISNUMBER(SEARCH(ZAKL_DATA!$B$14,E23)),MAX($D$2:D22)+1,0)</f>
        <v>21</v>
      </c>
      <c r="E23" s="300" t="s">
        <v>866</v>
      </c>
      <c r="F23" s="301">
        <v>2109</v>
      </c>
      <c r="G23" s="302"/>
      <c r="H23" s="303" t="str">
        <f>IFERROR(VLOOKUP(ROWS($H$3:H23),$D$3:$E$204,2,0),"")</f>
        <v>HOŘOVICE</v>
      </c>
      <c r="I23" s="271"/>
      <c r="J23" s="305" t="s">
        <v>867</v>
      </c>
      <c r="K23" s="293" t="s">
        <v>868</v>
      </c>
      <c r="M23" s="294">
        <f>IF(ISNUMBER(SEARCH(ZAKL_DATA!$B$29,N23)),MAX($M$2:M22)+1,0)</f>
        <v>21</v>
      </c>
      <c r="N23" s="295" t="s">
        <v>869</v>
      </c>
      <c r="O23" s="296" t="s">
        <v>870</v>
      </c>
      <c r="Q23" s="297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295" t="s">
        <v>869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295" t="s">
        <v>869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295" t="s">
        <v>869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271"/>
      <c r="B24" s="271"/>
      <c r="C24" s="271"/>
      <c r="D24" s="287">
        <f>IF(ISNUMBER(SEARCH(ZAKL_DATA!$B$14,E24)),MAX($D$2:D23)+1,0)</f>
        <v>22</v>
      </c>
      <c r="E24" s="300" t="s">
        <v>871</v>
      </c>
      <c r="F24" s="301">
        <v>2110</v>
      </c>
      <c r="G24" s="302"/>
      <c r="H24" s="303" t="str">
        <f>IFERROR(VLOOKUP(ROWS($H$3:H24),$D$3:$E$204,2,0),"")</f>
        <v>KLADNO</v>
      </c>
      <c r="I24" s="271"/>
      <c r="J24" s="305" t="s">
        <v>872</v>
      </c>
      <c r="K24" s="293" t="s">
        <v>873</v>
      </c>
      <c r="M24" s="294">
        <f>IF(ISNUMBER(SEARCH(ZAKL_DATA!$B$29,N24)),MAX($M$2:M23)+1,0)</f>
        <v>22</v>
      </c>
      <c r="N24" s="295" t="s">
        <v>874</v>
      </c>
      <c r="O24" s="296" t="s">
        <v>875</v>
      </c>
      <c r="Q24" s="297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295" t="s">
        <v>874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295" t="s">
        <v>874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295" t="s">
        <v>874</v>
      </c>
      <c r="Z24" t="str">
        <f>IFERROR(VLOOKUP(ROWS($Z$3:Z24),$X$3:$Y$992,2,0),"")</f>
        <v>Výroba papíru a výrobků z papíru</v>
      </c>
    </row>
    <row r="25" spans="1:26" ht="12.75" customHeight="1">
      <c r="A25" s="271"/>
      <c r="B25" s="271"/>
      <c r="C25" s="271"/>
      <c r="D25" s="287">
        <f>IF(ISNUMBER(SEARCH(ZAKL_DATA!$B$14,E25)),MAX($D$2:D24)+1,0)</f>
        <v>23</v>
      </c>
      <c r="E25" s="300" t="s">
        <v>876</v>
      </c>
      <c r="F25" s="301">
        <v>2111</v>
      </c>
      <c r="G25" s="302"/>
      <c r="H25" s="303" t="str">
        <f>IFERROR(VLOOKUP(ROWS($H$3:H25),$D$3:$E$204,2,0),"")</f>
        <v>KOLÍN</v>
      </c>
      <c r="I25" s="271"/>
      <c r="J25" s="305" t="s">
        <v>877</v>
      </c>
      <c r="K25" s="293" t="s">
        <v>878</v>
      </c>
      <c r="M25" s="294">
        <f>IF(ISNUMBER(SEARCH(ZAKL_DATA!$B$29,N25)),MAX($M$2:M24)+1,0)</f>
        <v>23</v>
      </c>
      <c r="N25" s="295" t="s">
        <v>879</v>
      </c>
      <c r="O25" s="296" t="s">
        <v>880</v>
      </c>
      <c r="Q25" s="297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295" t="s">
        <v>879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295" t="s">
        <v>879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295" t="s">
        <v>879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271"/>
      <c r="B26" s="271"/>
      <c r="C26" s="271"/>
      <c r="D26" s="287">
        <f>IF(ISNUMBER(SEARCH(ZAKL_DATA!$B$14,E26)),MAX($D$2:D25)+1,0)</f>
        <v>24</v>
      </c>
      <c r="E26" s="300" t="s">
        <v>881</v>
      </c>
      <c r="F26" s="301">
        <v>2112</v>
      </c>
      <c r="G26" s="302"/>
      <c r="H26" s="303" t="str">
        <f>IFERROR(VLOOKUP(ROWS($H$3:H26),$D$3:$E$204,2,0),"")</f>
        <v>KRALUPY NAD VLTAVOU</v>
      </c>
      <c r="I26" s="271"/>
      <c r="J26" s="305" t="s">
        <v>882</v>
      </c>
      <c r="K26" s="293" t="s">
        <v>883</v>
      </c>
      <c r="M26" s="294">
        <f>IF(ISNUMBER(SEARCH(ZAKL_DATA!$B$29,N26)),MAX($M$2:M25)+1,0)</f>
        <v>24</v>
      </c>
      <c r="N26" s="295" t="s">
        <v>884</v>
      </c>
      <c r="O26" s="296" t="s">
        <v>885</v>
      </c>
      <c r="Q26" s="297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295" t="s">
        <v>884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295" t="s">
        <v>884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295" t="s">
        <v>884</v>
      </c>
      <c r="Z26" t="str">
        <f>IFERROR(VLOOKUP(ROWS($Z$3:Z26),$X$3:$Y$992,2,0),"")</f>
        <v>Tisk a rozmnožování nahraných nosičů</v>
      </c>
    </row>
    <row r="27" spans="1:26" ht="12.75" customHeight="1">
      <c r="A27" s="271"/>
      <c r="B27" s="271"/>
      <c r="C27" s="271"/>
      <c r="D27" s="287">
        <f>IF(ISNUMBER(SEARCH(ZAKL_DATA!$B$14,E27)),MAX($D$2:D26)+1,0)</f>
        <v>25</v>
      </c>
      <c r="E27" s="300" t="s">
        <v>886</v>
      </c>
      <c r="F27" s="301">
        <v>2113</v>
      </c>
      <c r="G27" s="302"/>
      <c r="H27" s="303" t="str">
        <f>IFERROR(VLOOKUP(ROWS($H$3:H27),$D$3:$E$204,2,0),"")</f>
        <v>KUTNÁ HORA</v>
      </c>
      <c r="I27" s="271"/>
      <c r="J27" s="305" t="s">
        <v>887</v>
      </c>
      <c r="K27" s="293" t="s">
        <v>888</v>
      </c>
      <c r="M27" s="294">
        <f>IF(ISNUMBER(SEARCH(ZAKL_DATA!$B$29,N27)),MAX($M$2:M26)+1,0)</f>
        <v>25</v>
      </c>
      <c r="N27" s="295" t="s">
        <v>889</v>
      </c>
      <c r="O27" s="296" t="s">
        <v>890</v>
      </c>
      <c r="Q27" s="297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295" t="s">
        <v>889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295" t="s">
        <v>889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295" t="s">
        <v>889</v>
      </c>
      <c r="Z27" t="str">
        <f>IFERROR(VLOOKUP(ROWS($Z$3:Z27),$X$3:$Y$992,2,0),"")</f>
        <v>Výroba koksu a rafinovaných ropných produktů</v>
      </c>
    </row>
    <row r="28" spans="1:26" ht="12.75" customHeight="1">
      <c r="A28" s="271"/>
      <c r="B28" s="271"/>
      <c r="C28" s="271"/>
      <c r="D28" s="287">
        <f>IF(ISNUMBER(SEARCH(ZAKL_DATA!$B$14,E28)),MAX($D$2:D27)+1,0)</f>
        <v>26</v>
      </c>
      <c r="E28" s="300" t="s">
        <v>891</v>
      </c>
      <c r="F28" s="301">
        <v>2114</v>
      </c>
      <c r="G28" s="302"/>
      <c r="H28" s="303" t="str">
        <f>IFERROR(VLOOKUP(ROWS($H$3:H28),$D$3:$E$204,2,0),"")</f>
        <v>MĚLNÍK</v>
      </c>
      <c r="I28" s="271"/>
      <c r="J28" s="305" t="s">
        <v>892</v>
      </c>
      <c r="K28" s="293" t="s">
        <v>893</v>
      </c>
      <c r="M28" s="294">
        <f>IF(ISNUMBER(SEARCH(ZAKL_DATA!$B$29,N28)),MAX($M$2:M27)+1,0)</f>
        <v>26</v>
      </c>
      <c r="N28" s="295" t="s">
        <v>894</v>
      </c>
      <c r="O28" s="296" t="s">
        <v>895</v>
      </c>
      <c r="Q28" s="297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295" t="s">
        <v>894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295" t="s">
        <v>894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295" t="s">
        <v>894</v>
      </c>
      <c r="Z28" t="str">
        <f>IFERROR(VLOOKUP(ROWS($Z$3:Z28),$X$3:$Y$992,2,0),"")</f>
        <v>Výroba chemických látek a chemických přípravků</v>
      </c>
    </row>
    <row r="29" spans="1:26" ht="12.75" customHeight="1">
      <c r="A29" s="271"/>
      <c r="B29" s="271"/>
      <c r="C29" s="271"/>
      <c r="D29" s="287">
        <f>IF(ISNUMBER(SEARCH(ZAKL_DATA!$B$14,E29)),MAX($D$2:D28)+1,0)</f>
        <v>27</v>
      </c>
      <c r="E29" s="300" t="s">
        <v>896</v>
      </c>
      <c r="F29" s="301">
        <v>2115</v>
      </c>
      <c r="G29" s="302"/>
      <c r="H29" s="303" t="str">
        <f>IFERROR(VLOOKUP(ROWS($H$3:H29),$D$3:$E$204,2,0),"")</f>
        <v>MLADÁ BOLESLAV</v>
      </c>
      <c r="I29" s="271"/>
      <c r="J29" s="305" t="s">
        <v>897</v>
      </c>
      <c r="K29" s="293" t="s">
        <v>898</v>
      </c>
      <c r="M29" s="294">
        <f>IF(ISNUMBER(SEARCH(ZAKL_DATA!$B$29,N29)),MAX($M$2:M28)+1,0)</f>
        <v>27</v>
      </c>
      <c r="N29" s="295" t="s">
        <v>899</v>
      </c>
      <c r="O29" s="296" t="s">
        <v>900</v>
      </c>
      <c r="Q29" s="297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295" t="s">
        <v>899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295" t="s">
        <v>899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295" t="s">
        <v>899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271"/>
      <c r="B30" s="271"/>
      <c r="C30" s="271"/>
      <c r="D30" s="287">
        <f>IF(ISNUMBER(SEARCH(ZAKL_DATA!$B$14,E30)),MAX($D$2:D29)+1,0)</f>
        <v>28</v>
      </c>
      <c r="E30" s="300" t="s">
        <v>901</v>
      </c>
      <c r="F30" s="301">
        <v>2116</v>
      </c>
      <c r="G30" s="302"/>
      <c r="H30" s="303" t="str">
        <f>IFERROR(VLOOKUP(ROWS($H$3:H30),$D$3:$E$204,2,0),"")</f>
        <v>MNICHOVO HRADIŠTĚ</v>
      </c>
      <c r="I30" s="271"/>
      <c r="J30" s="305" t="s">
        <v>902</v>
      </c>
      <c r="K30" s="293" t="s">
        <v>903</v>
      </c>
      <c r="M30" s="294">
        <f>IF(ISNUMBER(SEARCH(ZAKL_DATA!$B$29,N30)),MAX($M$2:M29)+1,0)</f>
        <v>28</v>
      </c>
      <c r="N30" s="295" t="s">
        <v>904</v>
      </c>
      <c r="O30" s="296" t="s">
        <v>905</v>
      </c>
      <c r="Q30" s="297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295" t="s">
        <v>904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295" t="s">
        <v>904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295" t="s">
        <v>904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271"/>
      <c r="B31" s="271"/>
      <c r="C31" s="271"/>
      <c r="D31" s="287">
        <f>IF(ISNUMBER(SEARCH(ZAKL_DATA!$B$14,E31)),MAX($D$2:D30)+1,0)</f>
        <v>29</v>
      </c>
      <c r="E31" s="300" t="s">
        <v>906</v>
      </c>
      <c r="F31" s="301">
        <v>2117</v>
      </c>
      <c r="G31" s="302"/>
      <c r="H31" s="303" t="str">
        <f>IFERROR(VLOOKUP(ROWS($H$3:H31),$D$3:$E$204,2,0),"")</f>
        <v>NERATOVICE</v>
      </c>
      <c r="I31" s="271"/>
      <c r="J31" s="305" t="s">
        <v>907</v>
      </c>
      <c r="K31" s="293" t="s">
        <v>908</v>
      </c>
      <c r="M31" s="294">
        <f>IF(ISNUMBER(SEARCH(ZAKL_DATA!$B$29,N31)),MAX($M$2:M30)+1,0)</f>
        <v>29</v>
      </c>
      <c r="N31" s="295" t="s">
        <v>909</v>
      </c>
      <c r="O31" s="296" t="s">
        <v>910</v>
      </c>
      <c r="Q31" s="297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295" t="s">
        <v>909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295" t="s">
        <v>909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295" t="s">
        <v>909</v>
      </c>
      <c r="Z31" t="str">
        <f>IFERROR(VLOOKUP(ROWS($Z$3:Z31),$X$3:$Y$992,2,0),"")</f>
        <v>Výroba pryžových a plastových výrobků</v>
      </c>
    </row>
    <row r="32" spans="1:26" ht="12.75" customHeight="1">
      <c r="A32" s="271"/>
      <c r="B32" s="271"/>
      <c r="C32" s="271"/>
      <c r="D32" s="287">
        <f>IF(ISNUMBER(SEARCH(ZAKL_DATA!$B$14,E32)),MAX($D$2:D31)+1,0)</f>
        <v>30</v>
      </c>
      <c r="E32" s="300" t="s">
        <v>911</v>
      </c>
      <c r="F32" s="301">
        <v>2118</v>
      </c>
      <c r="G32" s="302"/>
      <c r="H32" s="303" t="str">
        <f>IFERROR(VLOOKUP(ROWS($H$3:H32),$D$3:$E$204,2,0),"")</f>
        <v>NYMBURK</v>
      </c>
      <c r="I32" s="271"/>
      <c r="J32" s="305" t="s">
        <v>912</v>
      </c>
      <c r="K32" s="293" t="s">
        <v>913</v>
      </c>
      <c r="M32" s="294">
        <f>IF(ISNUMBER(SEARCH(ZAKL_DATA!$B$29,N32)),MAX($M$2:M31)+1,0)</f>
        <v>30</v>
      </c>
      <c r="N32" s="295" t="s">
        <v>914</v>
      </c>
      <c r="O32" s="296" t="s">
        <v>915</v>
      </c>
      <c r="Q32" s="297" t="str">
        <f>IFERROR(VLOOKUP(ROWS($Q$3:Q32),$M$3:$N$992,2,0),"")</f>
        <v>Těžba dřeva</v>
      </c>
      <c r="R32">
        <f>IF(ISNUMBER(SEARCH('1Př1'!$A$32,N32)),MAX($M$2:M31)+1,0)</f>
        <v>30</v>
      </c>
      <c r="S32" s="295" t="s">
        <v>914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295" t="s">
        <v>914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295" t="s">
        <v>914</v>
      </c>
      <c r="Z32" t="str">
        <f>IFERROR(VLOOKUP(ROWS($Z$3:Z32),$X$3:$Y$992,2,0),"")</f>
        <v>Těžba dřeva</v>
      </c>
    </row>
    <row r="33" spans="1:26" ht="12.75" customHeight="1">
      <c r="A33" s="271"/>
      <c r="B33" s="271"/>
      <c r="C33" s="271"/>
      <c r="D33" s="287">
        <f>IF(ISNUMBER(SEARCH(ZAKL_DATA!$B$14,E33)),MAX($D$2:D32)+1,0)</f>
        <v>31</v>
      </c>
      <c r="E33" s="300" t="s">
        <v>916</v>
      </c>
      <c r="F33" s="301">
        <v>2119</v>
      </c>
      <c r="G33" s="302"/>
      <c r="H33" s="303" t="str">
        <f>IFERROR(VLOOKUP(ROWS($H$3:H33),$D$3:$E$204,2,0),"")</f>
        <v>PODĚBRADY</v>
      </c>
      <c r="I33" s="271"/>
      <c r="J33" s="305" t="s">
        <v>917</v>
      </c>
      <c r="K33" s="293" t="s">
        <v>918</v>
      </c>
      <c r="M33" s="294">
        <f>IF(ISNUMBER(SEARCH(ZAKL_DATA!$B$29,N33)),MAX($M$2:M32)+1,0)</f>
        <v>31</v>
      </c>
      <c r="N33" s="295" t="s">
        <v>919</v>
      </c>
      <c r="O33" s="296" t="s">
        <v>920</v>
      </c>
      <c r="Q33" s="297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295" t="s">
        <v>919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295" t="s">
        <v>919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295" t="s">
        <v>919</v>
      </c>
      <c r="Z33" t="str">
        <f>IFERROR(VLOOKUP(ROWS($Z$3:Z33),$X$3:$Y$992,2,0),"")</f>
        <v>Výroba ostatních nekovových minerálních výrobků</v>
      </c>
    </row>
    <row r="34" spans="1:26" ht="12.75" customHeight="1">
      <c r="A34" s="271"/>
      <c r="B34" s="271"/>
      <c r="C34" s="271"/>
      <c r="D34" s="287">
        <f>IF(ISNUMBER(SEARCH(ZAKL_DATA!$B$14,E34)),MAX($D$2:D33)+1,0)</f>
        <v>32</v>
      </c>
      <c r="E34" s="300" t="s">
        <v>921</v>
      </c>
      <c r="F34" s="301">
        <v>2120</v>
      </c>
      <c r="G34" s="302"/>
      <c r="H34" s="303" t="str">
        <f>IFERROR(VLOOKUP(ROWS($H$3:H34),$D$3:$E$204,2,0),"")</f>
        <v>PŘÍBRAM</v>
      </c>
      <c r="I34" s="271"/>
      <c r="J34" s="305" t="s">
        <v>922</v>
      </c>
      <c r="K34" s="293" t="s">
        <v>923</v>
      </c>
      <c r="M34" s="294">
        <f>IF(ISNUMBER(SEARCH(ZAKL_DATA!$B$29,N34)),MAX($M$2:M33)+1,0)</f>
        <v>32</v>
      </c>
      <c r="N34" s="295" t="s">
        <v>924</v>
      </c>
      <c r="O34" s="296" t="s">
        <v>925</v>
      </c>
      <c r="Q34" s="297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295" t="s">
        <v>924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295" t="s">
        <v>924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295" t="s">
        <v>924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271"/>
      <c r="B35" s="271"/>
      <c r="C35" s="271"/>
      <c r="D35" s="287">
        <f>IF(ISNUMBER(SEARCH(ZAKL_DATA!$B$14,E35)),MAX($D$2:D34)+1,0)</f>
        <v>33</v>
      </c>
      <c r="E35" s="300" t="s">
        <v>926</v>
      </c>
      <c r="F35" s="301">
        <v>2121</v>
      </c>
      <c r="G35" s="302"/>
      <c r="H35" s="303" t="str">
        <f>IFERROR(VLOOKUP(ROWS($H$3:H35),$D$3:$E$204,2,0),"")</f>
        <v>RAKOVNÍK</v>
      </c>
      <c r="I35" s="271"/>
      <c r="J35" s="305" t="s">
        <v>927</v>
      </c>
      <c r="K35" s="293" t="s">
        <v>928</v>
      </c>
      <c r="M35" s="294">
        <f>IF(ISNUMBER(SEARCH(ZAKL_DATA!$B$29,N35)),MAX($M$2:M34)+1,0)</f>
        <v>33</v>
      </c>
      <c r="N35" s="295" t="s">
        <v>929</v>
      </c>
      <c r="O35" s="296" t="s">
        <v>930</v>
      </c>
      <c r="Q35" s="297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295" t="s">
        <v>929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295" t="s">
        <v>929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295" t="s">
        <v>929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271"/>
      <c r="B36" s="271"/>
      <c r="C36" s="271"/>
      <c r="D36" s="287">
        <f>IF(ISNUMBER(SEARCH(ZAKL_DATA!$B$14,E36)),MAX($D$2:D35)+1,0)</f>
        <v>34</v>
      </c>
      <c r="E36" s="300" t="s">
        <v>931</v>
      </c>
      <c r="F36" s="301">
        <v>2122</v>
      </c>
      <c r="G36" s="302"/>
      <c r="H36" s="303" t="str">
        <f>IFERROR(VLOOKUP(ROWS($H$3:H36),$D$3:$E$204,2,0),"")</f>
        <v>ŘÍČANY</v>
      </c>
      <c r="I36" s="271"/>
      <c r="J36" s="305" t="s">
        <v>932</v>
      </c>
      <c r="K36" s="293" t="s">
        <v>933</v>
      </c>
      <c r="M36" s="294">
        <f>IF(ISNUMBER(SEARCH(ZAKL_DATA!$B$29,N36)),MAX($M$2:M35)+1,0)</f>
        <v>34</v>
      </c>
      <c r="N36" s="295" t="s">
        <v>934</v>
      </c>
      <c r="O36" s="296" t="s">
        <v>935</v>
      </c>
      <c r="Q36" s="297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295" t="s">
        <v>934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295" t="s">
        <v>934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295" t="s">
        <v>934</v>
      </c>
      <c r="Z36" t="str">
        <f>IFERROR(VLOOKUP(ROWS($Z$3:Z36),$X$3:$Y$992,2,0),"")</f>
        <v>Podpůrné činnosti pro lesnictví</v>
      </c>
    </row>
    <row r="37" spans="1:26" ht="12.75" customHeight="1">
      <c r="A37" s="271"/>
      <c r="B37" s="271"/>
      <c r="C37" s="271"/>
      <c r="D37" s="287">
        <f>IF(ISNUMBER(SEARCH(ZAKL_DATA!$B$14,E37)),MAX($D$2:D36)+1,0)</f>
        <v>35</v>
      </c>
      <c r="E37" s="300" t="s">
        <v>936</v>
      </c>
      <c r="F37" s="301">
        <v>2123</v>
      </c>
      <c r="G37" s="302"/>
      <c r="H37" s="303" t="str">
        <f>IFERROR(VLOOKUP(ROWS($H$3:H37),$D$3:$E$204,2,0),"")</f>
        <v>SEDLČANY</v>
      </c>
      <c r="I37" s="271"/>
      <c r="J37" s="305" t="s">
        <v>937</v>
      </c>
      <c r="K37" s="293" t="s">
        <v>938</v>
      </c>
      <c r="M37" s="294">
        <f>IF(ISNUMBER(SEARCH(ZAKL_DATA!$B$29,N37)),MAX($M$2:M36)+1,0)</f>
        <v>35</v>
      </c>
      <c r="N37" s="295" t="s">
        <v>939</v>
      </c>
      <c r="O37" s="296" t="s">
        <v>940</v>
      </c>
      <c r="Q37" s="297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295" t="s">
        <v>939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295" t="s">
        <v>939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295" t="s">
        <v>939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271"/>
      <c r="B38" s="271"/>
      <c r="C38" s="271"/>
      <c r="D38" s="287">
        <f>IF(ISNUMBER(SEARCH(ZAKL_DATA!$B$14,E38)),MAX($D$2:D37)+1,0)</f>
        <v>36</v>
      </c>
      <c r="E38" s="300" t="s">
        <v>941</v>
      </c>
      <c r="F38" s="301">
        <v>2124</v>
      </c>
      <c r="G38" s="302"/>
      <c r="H38" s="303" t="str">
        <f>IFERROR(VLOOKUP(ROWS($H$3:H38),$D$3:$E$204,2,0),"")</f>
        <v>SLANÝ</v>
      </c>
      <c r="I38" s="271"/>
      <c r="J38" s="305" t="s">
        <v>942</v>
      </c>
      <c r="K38" s="293" t="s">
        <v>943</v>
      </c>
      <c r="M38" s="294">
        <f>IF(ISNUMBER(SEARCH(ZAKL_DATA!$B$29,N38)),MAX($M$2:M37)+1,0)</f>
        <v>36</v>
      </c>
      <c r="N38" s="295" t="s">
        <v>944</v>
      </c>
      <c r="O38" s="296" t="s">
        <v>945</v>
      </c>
      <c r="Q38" s="297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295" t="s">
        <v>944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295" t="s">
        <v>944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295" t="s">
        <v>944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271"/>
      <c r="B39" s="271"/>
      <c r="C39" s="271"/>
      <c r="D39" s="287">
        <f>IF(ISNUMBER(SEARCH(ZAKL_DATA!$B$14,E39)),MAX($D$2:D38)+1,0)</f>
        <v>37</v>
      </c>
      <c r="E39" s="300" t="s">
        <v>946</v>
      </c>
      <c r="F39" s="301">
        <v>2125</v>
      </c>
      <c r="G39" s="302"/>
      <c r="H39" s="303" t="str">
        <f>IFERROR(VLOOKUP(ROWS($H$3:H39),$D$3:$E$204,2,0),"")</f>
        <v>VLAŠIM</v>
      </c>
      <c r="I39" s="271"/>
      <c r="J39" s="305" t="s">
        <v>947</v>
      </c>
      <c r="K39" s="293" t="s">
        <v>948</v>
      </c>
      <c r="M39" s="294">
        <f>IF(ISNUMBER(SEARCH(ZAKL_DATA!$B$29,N39)),MAX($M$2:M38)+1,0)</f>
        <v>37</v>
      </c>
      <c r="N39" s="295" t="s">
        <v>949</v>
      </c>
      <c r="O39" s="296" t="s">
        <v>950</v>
      </c>
      <c r="Q39" s="297" t="str">
        <f>IFERROR(VLOOKUP(ROWS($Q$3:Q39),$M$3:$N$992,2,0),"")</f>
        <v>Výroba elektrických zařízení</v>
      </c>
      <c r="R39">
        <f>IF(ISNUMBER(SEARCH('1Př1'!$A$32,N39)),MAX($M$2:M38)+1,0)</f>
        <v>37</v>
      </c>
      <c r="S39" s="295" t="s">
        <v>949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295" t="s">
        <v>949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295" t="s">
        <v>949</v>
      </c>
      <c r="Z39" t="str">
        <f>IFERROR(VLOOKUP(ROWS($Z$3:Z39),$X$3:$Y$992,2,0),"")</f>
        <v>Výroba elektrických zařízení</v>
      </c>
    </row>
    <row r="40" spans="1:26" ht="12.75" customHeight="1">
      <c r="A40" s="271"/>
      <c r="B40" s="271"/>
      <c r="C40" s="271"/>
      <c r="D40" s="287">
        <f>IF(ISNUMBER(SEARCH(ZAKL_DATA!$B$14,E40)),MAX($D$2:D39)+1,0)</f>
        <v>38</v>
      </c>
      <c r="E40" s="300" t="s">
        <v>951</v>
      </c>
      <c r="F40" s="301">
        <v>2126</v>
      </c>
      <c r="G40" s="302"/>
      <c r="H40" s="303" t="str">
        <f>IFERROR(VLOOKUP(ROWS($H$3:H40),$D$3:$E$204,2,0),"")</f>
        <v>VOTICE</v>
      </c>
      <c r="I40" s="271"/>
      <c r="J40" s="305" t="s">
        <v>952</v>
      </c>
      <c r="K40" s="293" t="s">
        <v>953</v>
      </c>
      <c r="M40" s="294">
        <f>IF(ISNUMBER(SEARCH(ZAKL_DATA!$B$29,N40)),MAX($M$2:M39)+1,0)</f>
        <v>38</v>
      </c>
      <c r="N40" s="295" t="s">
        <v>954</v>
      </c>
      <c r="O40" s="296" t="s">
        <v>955</v>
      </c>
      <c r="Q40" s="297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295" t="s">
        <v>954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295" t="s">
        <v>954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295" t="s">
        <v>954</v>
      </c>
      <c r="Z40" t="str">
        <f>IFERROR(VLOOKUP(ROWS($Z$3:Z40),$X$3:$Y$992,2,0),"")</f>
        <v>Výroba strojů a zařízení j. n.</v>
      </c>
    </row>
    <row r="41" spans="1:26" ht="12.75" customHeight="1">
      <c r="A41" s="271"/>
      <c r="B41" s="271"/>
      <c r="C41" s="271"/>
      <c r="D41" s="287">
        <f>IF(ISNUMBER(SEARCH(ZAKL_DATA!$B$14,E41)),MAX($D$2:D40)+1,0)</f>
        <v>39</v>
      </c>
      <c r="E41" s="300" t="s">
        <v>956</v>
      </c>
      <c r="F41" s="301">
        <v>2201</v>
      </c>
      <c r="G41" s="302"/>
      <c r="H41" s="303" t="str">
        <f>IFERROR(VLOOKUP(ROWS($H$3:H41),$D$3:$E$204,2,0),"")</f>
        <v>ČESKÉ BUDĚJOVICE</v>
      </c>
      <c r="I41" s="271"/>
      <c r="J41" s="305" t="s">
        <v>957</v>
      </c>
      <c r="K41" s="293" t="s">
        <v>958</v>
      </c>
      <c r="M41" s="294">
        <f>IF(ISNUMBER(SEARCH(ZAKL_DATA!$B$29,N41)),MAX($M$2:M40)+1,0)</f>
        <v>39</v>
      </c>
      <c r="N41" s="295" t="s">
        <v>959</v>
      </c>
      <c r="O41" s="296" t="s">
        <v>960</v>
      </c>
      <c r="Q41" s="297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295" t="s">
        <v>959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295" t="s">
        <v>959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295" t="s">
        <v>959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271"/>
      <c r="B42" s="271"/>
      <c r="C42" s="271"/>
      <c r="D42" s="287">
        <f>IF(ISNUMBER(SEARCH(ZAKL_DATA!$B$14,E42)),MAX($D$2:D41)+1,0)</f>
        <v>40</v>
      </c>
      <c r="E42" s="300" t="s">
        <v>961</v>
      </c>
      <c r="F42" s="301">
        <v>2202</v>
      </c>
      <c r="G42" s="302"/>
      <c r="H42" s="303" t="str">
        <f>IFERROR(VLOOKUP(ROWS($H$3:H42),$D$3:$E$204,2,0),"")</f>
        <v>BLATNÁ</v>
      </c>
      <c r="I42" s="271"/>
      <c r="J42" s="305" t="s">
        <v>962</v>
      </c>
      <c r="K42" s="293" t="s">
        <v>963</v>
      </c>
      <c r="M42" s="294">
        <f>IF(ISNUMBER(SEARCH(ZAKL_DATA!$B$29,N42)),MAX($M$2:M41)+1,0)</f>
        <v>40</v>
      </c>
      <c r="N42" s="295" t="s">
        <v>964</v>
      </c>
      <c r="O42" s="296" t="s">
        <v>965</v>
      </c>
      <c r="Q42" s="297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295" t="s">
        <v>964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295" t="s">
        <v>964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295" t="s">
        <v>964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271"/>
      <c r="B43" s="271"/>
      <c r="C43" s="271"/>
      <c r="D43" s="287">
        <f>IF(ISNUMBER(SEARCH(ZAKL_DATA!$B$14,E43)),MAX($D$2:D42)+1,0)</f>
        <v>41</v>
      </c>
      <c r="E43" s="300" t="s">
        <v>966</v>
      </c>
      <c r="F43" s="301">
        <v>2203</v>
      </c>
      <c r="G43" s="302"/>
      <c r="H43" s="303" t="str">
        <f>IFERROR(VLOOKUP(ROWS($H$3:H43),$D$3:$E$204,2,0),"")</f>
        <v>ČESKÝ KRUMLOV</v>
      </c>
      <c r="I43" s="271"/>
      <c r="J43" s="305" t="s">
        <v>967</v>
      </c>
      <c r="K43" s="293" t="s">
        <v>968</v>
      </c>
      <c r="M43" s="294">
        <f>IF(ISNUMBER(SEARCH(ZAKL_DATA!$B$29,N43)),MAX($M$2:M42)+1,0)</f>
        <v>41</v>
      </c>
      <c r="N43" s="295" t="s">
        <v>969</v>
      </c>
      <c r="O43" s="296" t="s">
        <v>970</v>
      </c>
      <c r="Q43" s="297" t="str">
        <f>IFERROR(VLOOKUP(ROWS($Q$3:Q43),$M$3:$N$992,2,0),"")</f>
        <v>Výroba nábytku</v>
      </c>
      <c r="R43">
        <f>IF(ISNUMBER(SEARCH('1Př1'!$A$32,N43)),MAX($M$2:M42)+1,0)</f>
        <v>41</v>
      </c>
      <c r="S43" s="295" t="s">
        <v>969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295" t="s">
        <v>969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295" t="s">
        <v>969</v>
      </c>
      <c r="Z43" t="str">
        <f>IFERROR(VLOOKUP(ROWS($Z$3:Z43),$X$3:$Y$992,2,0),"")</f>
        <v>Výroba nábytku</v>
      </c>
    </row>
    <row r="44" spans="1:26" ht="12.75" customHeight="1">
      <c r="A44" s="271"/>
      <c r="B44" s="271"/>
      <c r="C44" s="271"/>
      <c r="D44" s="287">
        <f>IF(ISNUMBER(SEARCH(ZAKL_DATA!$B$14,E44)),MAX($D$2:D43)+1,0)</f>
        <v>42</v>
      </c>
      <c r="E44" s="300" t="s">
        <v>971</v>
      </c>
      <c r="F44" s="301">
        <v>2204</v>
      </c>
      <c r="G44" s="302"/>
      <c r="H44" s="303" t="str">
        <f>IFERROR(VLOOKUP(ROWS($H$3:H44),$D$3:$E$204,2,0),"")</f>
        <v>DAČICE</v>
      </c>
      <c r="I44" s="271"/>
      <c r="J44" s="305" t="s">
        <v>972</v>
      </c>
      <c r="K44" s="293" t="s">
        <v>973</v>
      </c>
      <c r="M44" s="294">
        <f>IF(ISNUMBER(SEARCH(ZAKL_DATA!$B$29,N44)),MAX($M$2:M43)+1,0)</f>
        <v>42</v>
      </c>
      <c r="N44" s="295" t="s">
        <v>974</v>
      </c>
      <c r="O44" s="296" t="s">
        <v>975</v>
      </c>
      <c r="Q44" s="297" t="str">
        <f>IFERROR(VLOOKUP(ROWS($Q$3:Q44),$M$3:$N$992,2,0),"")</f>
        <v>Rybolov</v>
      </c>
      <c r="R44">
        <f>IF(ISNUMBER(SEARCH('1Př1'!$A$32,N44)),MAX($M$2:M43)+1,0)</f>
        <v>42</v>
      </c>
      <c r="S44" s="295" t="s">
        <v>974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295" t="s">
        <v>974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295" t="s">
        <v>974</v>
      </c>
      <c r="Z44" t="str">
        <f>IFERROR(VLOOKUP(ROWS($Z$3:Z44),$X$3:$Y$992,2,0),"")</f>
        <v>Rybolov</v>
      </c>
    </row>
    <row r="45" spans="1:26" ht="12.75" customHeight="1">
      <c r="A45" s="271"/>
      <c r="B45" s="271"/>
      <c r="C45" s="271"/>
      <c r="D45" s="287">
        <f>IF(ISNUMBER(SEARCH(ZAKL_DATA!$B$14,E45)),MAX($D$2:D44)+1,0)</f>
        <v>43</v>
      </c>
      <c r="E45" s="300" t="s">
        <v>976</v>
      </c>
      <c r="F45" s="301">
        <v>2205</v>
      </c>
      <c r="G45" s="302"/>
      <c r="H45" s="303" t="str">
        <f>IFERROR(VLOOKUP(ROWS($H$3:H45),$D$3:$E$204,2,0),"")</f>
        <v>JINDŘICHŮV HRADEC</v>
      </c>
      <c r="I45" s="271"/>
      <c r="J45" s="304" t="s">
        <v>977</v>
      </c>
      <c r="K45" s="293" t="s">
        <v>978</v>
      </c>
      <c r="M45" s="294">
        <f>IF(ISNUMBER(SEARCH(ZAKL_DATA!$B$29,N45)),MAX($M$2:M44)+1,0)</f>
        <v>43</v>
      </c>
      <c r="N45" s="295" t="s">
        <v>979</v>
      </c>
      <c r="O45" s="296" t="s">
        <v>980</v>
      </c>
      <c r="Q45" s="297" t="str">
        <f>IFERROR(VLOOKUP(ROWS($Q$3:Q45),$M$3:$N$992,2,0),"")</f>
        <v>Ostatní zpracovatelský průmysl</v>
      </c>
      <c r="R45">
        <f>IF(ISNUMBER(SEARCH('1Př1'!$A$32,N45)),MAX($M$2:M44)+1,0)</f>
        <v>43</v>
      </c>
      <c r="S45" s="295" t="s">
        <v>979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295" t="s">
        <v>979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295" t="s">
        <v>979</v>
      </c>
      <c r="Z45" t="str">
        <f>IFERROR(VLOOKUP(ROWS($Z$3:Z45),$X$3:$Y$992,2,0),"")</f>
        <v>Ostatní zpracovatelský průmysl</v>
      </c>
    </row>
    <row r="46" spans="1:26" ht="12.75" customHeight="1">
      <c r="A46" s="271"/>
      <c r="B46" s="271"/>
      <c r="C46" s="271"/>
      <c r="D46" s="287">
        <f>IF(ISNUMBER(SEARCH(ZAKL_DATA!$B$14,E46)),MAX($D$2:D45)+1,0)</f>
        <v>44</v>
      </c>
      <c r="E46" s="300" t="s">
        <v>981</v>
      </c>
      <c r="F46" s="301">
        <v>2206</v>
      </c>
      <c r="G46" s="302"/>
      <c r="H46" s="303" t="str">
        <f>IFERROR(VLOOKUP(ROWS($H$3:H46),$D$3:$E$204,2,0),"")</f>
        <v>KAPLICE</v>
      </c>
      <c r="I46" s="271"/>
      <c r="J46" s="305" t="s">
        <v>982</v>
      </c>
      <c r="K46" s="293" t="s">
        <v>176</v>
      </c>
      <c r="M46" s="294">
        <f>IF(ISNUMBER(SEARCH(ZAKL_DATA!$B$29,N46)),MAX($M$2:M45)+1,0)</f>
        <v>44</v>
      </c>
      <c r="N46" s="295" t="s">
        <v>983</v>
      </c>
      <c r="O46" s="296" t="s">
        <v>984</v>
      </c>
      <c r="Q46" s="297" t="str">
        <f>IFERROR(VLOOKUP(ROWS($Q$3:Q46),$M$3:$N$992,2,0),"")</f>
        <v>Akvakultura</v>
      </c>
      <c r="R46">
        <f>IF(ISNUMBER(SEARCH('1Př1'!$A$32,N46)),MAX($M$2:M45)+1,0)</f>
        <v>44</v>
      </c>
      <c r="S46" s="295" t="s">
        <v>983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295" t="s">
        <v>983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295" t="s">
        <v>983</v>
      </c>
      <c r="Z46" t="str">
        <f>IFERROR(VLOOKUP(ROWS($Z$3:Z46),$X$3:$Y$992,2,0),"")</f>
        <v>Akvakultura</v>
      </c>
    </row>
    <row r="47" spans="1:26" ht="12.75" customHeight="1">
      <c r="A47" s="271"/>
      <c r="B47" s="271"/>
      <c r="C47" s="271"/>
      <c r="D47" s="287">
        <f>IF(ISNUMBER(SEARCH(ZAKL_DATA!$B$14,E47)),MAX($D$2:D46)+1,0)</f>
        <v>45</v>
      </c>
      <c r="E47" s="300" t="s">
        <v>985</v>
      </c>
      <c r="F47" s="301">
        <v>2207</v>
      </c>
      <c r="G47" s="302"/>
      <c r="H47" s="303" t="str">
        <f>IFERROR(VLOOKUP(ROWS($H$3:H47),$D$3:$E$204,2,0),"")</f>
        <v>MILEVSKO</v>
      </c>
      <c r="I47" s="271"/>
      <c r="J47" s="305" t="s">
        <v>986</v>
      </c>
      <c r="K47" s="293" t="s">
        <v>987</v>
      </c>
      <c r="M47" s="294">
        <f>IF(ISNUMBER(SEARCH(ZAKL_DATA!$B$29,N47)),MAX($M$2:M46)+1,0)</f>
        <v>45</v>
      </c>
      <c r="N47" s="295" t="s">
        <v>988</v>
      </c>
      <c r="O47" s="296" t="s">
        <v>989</v>
      </c>
      <c r="Q47" s="297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295" t="s">
        <v>988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295" t="s">
        <v>988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295" t="s">
        <v>988</v>
      </c>
      <c r="Z47" t="str">
        <f>IFERROR(VLOOKUP(ROWS($Z$3:Z47),$X$3:$Y$992,2,0),"")</f>
        <v>Opravy a instalace strojů a zařízení</v>
      </c>
    </row>
    <row r="48" spans="1:26" ht="12.75" customHeight="1">
      <c r="A48" s="271"/>
      <c r="B48" s="271"/>
      <c r="C48" s="271"/>
      <c r="D48" s="287">
        <f>IF(ISNUMBER(SEARCH(ZAKL_DATA!$B$14,E48)),MAX($D$2:D47)+1,0)</f>
        <v>46</v>
      </c>
      <c r="E48" s="300" t="s">
        <v>990</v>
      </c>
      <c r="F48" s="301">
        <v>2208</v>
      </c>
      <c r="G48" s="302"/>
      <c r="H48" s="303" t="str">
        <f>IFERROR(VLOOKUP(ROWS($H$3:H48),$D$3:$E$204,2,0),"")</f>
        <v>PÍSEK</v>
      </c>
      <c r="I48" s="271"/>
      <c r="J48" s="305" t="s">
        <v>991</v>
      </c>
      <c r="K48" s="293" t="s">
        <v>992</v>
      </c>
      <c r="M48" s="294">
        <f>IF(ISNUMBER(SEARCH(ZAKL_DATA!$B$29,N48)),MAX($M$2:M47)+1,0)</f>
        <v>46</v>
      </c>
      <c r="N48" s="295" t="s">
        <v>993</v>
      </c>
      <c r="O48" s="296" t="s">
        <v>994</v>
      </c>
      <c r="Q48" s="297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295" t="s">
        <v>993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295" t="s">
        <v>993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295" t="s">
        <v>993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271"/>
      <c r="B49" s="271"/>
      <c r="C49" s="271"/>
      <c r="D49" s="287">
        <f>IF(ISNUMBER(SEARCH(ZAKL_DATA!$B$14,E49)),MAX($D$2:D48)+1,0)</f>
        <v>47</v>
      </c>
      <c r="E49" s="300" t="s">
        <v>995</v>
      </c>
      <c r="F49" s="301">
        <v>2209</v>
      </c>
      <c r="G49" s="302"/>
      <c r="H49" s="303" t="str">
        <f>IFERROR(VLOOKUP(ROWS($H$3:H49),$D$3:$E$204,2,0),"")</f>
        <v>PRACHATICE</v>
      </c>
      <c r="I49" s="271"/>
      <c r="J49" s="305" t="s">
        <v>996</v>
      </c>
      <c r="K49" s="293" t="s">
        <v>997</v>
      </c>
      <c r="M49" s="294">
        <f>IF(ISNUMBER(SEARCH(ZAKL_DATA!$B$29,N49)),MAX($M$2:M48)+1,0)</f>
        <v>47</v>
      </c>
      <c r="N49" s="295" t="s">
        <v>998</v>
      </c>
      <c r="O49" s="296" t="s">
        <v>999</v>
      </c>
      <c r="Q49" s="297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295" t="s">
        <v>998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295" t="s">
        <v>998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295" t="s">
        <v>998</v>
      </c>
      <c r="Z49" t="str">
        <f>IFERROR(VLOOKUP(ROWS($Z$3:Z49),$X$3:$Y$992,2,0),"")</f>
        <v>Shromažďování, úprava a rozvod vody</v>
      </c>
    </row>
    <row r="50" spans="1:26" ht="12.75" customHeight="1">
      <c r="A50" s="271"/>
      <c r="B50" s="271"/>
      <c r="C50" s="271"/>
      <c r="D50" s="287">
        <f>IF(ISNUMBER(SEARCH(ZAKL_DATA!$B$14,E50)),MAX($D$2:D49)+1,0)</f>
        <v>48</v>
      </c>
      <c r="E50" s="300" t="s">
        <v>1000</v>
      </c>
      <c r="F50" s="301">
        <v>2210</v>
      </c>
      <c r="G50" s="302"/>
      <c r="H50" s="303" t="str">
        <f>IFERROR(VLOOKUP(ROWS($H$3:H50),$D$3:$E$204,2,0),"")</f>
        <v>SOBĚSLAV</v>
      </c>
      <c r="I50" s="271"/>
      <c r="J50" s="305" t="s">
        <v>1001</v>
      </c>
      <c r="K50" s="293" t="s">
        <v>1002</v>
      </c>
      <c r="M50" s="294">
        <f>IF(ISNUMBER(SEARCH(ZAKL_DATA!$B$29,N50)),MAX($M$2:M49)+1,0)</f>
        <v>48</v>
      </c>
      <c r="N50" s="295" t="s">
        <v>1003</v>
      </c>
      <c r="O50" s="296" t="s">
        <v>1004</v>
      </c>
      <c r="Q50" s="297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295" t="s">
        <v>1003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295" t="s">
        <v>1003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295" t="s">
        <v>1003</v>
      </c>
      <c r="Z50" t="str">
        <f>IFERROR(VLOOKUP(ROWS($Z$3:Z50),$X$3:$Y$992,2,0),"")</f>
        <v>Činnosti související s odpadními vodami</v>
      </c>
    </row>
    <row r="51" spans="1:26" ht="12.75" customHeight="1">
      <c r="A51" s="271"/>
      <c r="B51" s="271"/>
      <c r="C51" s="271"/>
      <c r="D51" s="287">
        <f>IF(ISNUMBER(SEARCH(ZAKL_DATA!$B$14,E51)),MAX($D$2:D50)+1,0)</f>
        <v>49</v>
      </c>
      <c r="E51" s="300" t="s">
        <v>1005</v>
      </c>
      <c r="F51" s="301">
        <v>2211</v>
      </c>
      <c r="G51" s="302"/>
      <c r="H51" s="303" t="str">
        <f>IFERROR(VLOOKUP(ROWS($H$3:H51),$D$3:$E$204,2,0),"")</f>
        <v>STRAKONICE</v>
      </c>
      <c r="I51" s="271"/>
      <c r="J51" s="305" t="s">
        <v>1006</v>
      </c>
      <c r="K51" s="293" t="s">
        <v>1007</v>
      </c>
      <c r="M51" s="294">
        <f>IF(ISNUMBER(SEARCH(ZAKL_DATA!$B$29,N51)),MAX($M$2:M50)+1,0)</f>
        <v>49</v>
      </c>
      <c r="N51" s="295" t="s">
        <v>1008</v>
      </c>
      <c r="O51" s="296" t="s">
        <v>1009</v>
      </c>
      <c r="Q51" s="297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295" t="s">
        <v>1008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295" t="s">
        <v>1008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295" t="s">
        <v>1008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271"/>
      <c r="B52" s="271"/>
      <c r="C52" s="271"/>
      <c r="D52" s="287">
        <f>IF(ISNUMBER(SEARCH(ZAKL_DATA!$B$14,E52)),MAX($D$2:D51)+1,0)</f>
        <v>50</v>
      </c>
      <c r="E52" s="300" t="s">
        <v>1010</v>
      </c>
      <c r="F52" s="301">
        <v>2212</v>
      </c>
      <c r="G52" s="302"/>
      <c r="H52" s="303" t="str">
        <f>IFERROR(VLOOKUP(ROWS($H$3:H52),$D$3:$E$204,2,0),"")</f>
        <v>TÁBOR</v>
      </c>
      <c r="I52" s="271"/>
      <c r="J52" s="305" t="s">
        <v>1011</v>
      </c>
      <c r="K52" s="293" t="s">
        <v>1012</v>
      </c>
      <c r="M52" s="294">
        <f>IF(ISNUMBER(SEARCH(ZAKL_DATA!$B$29,N52)),MAX($M$2:M51)+1,0)</f>
        <v>50</v>
      </c>
      <c r="N52" s="295" t="s">
        <v>1013</v>
      </c>
      <c r="O52" s="296" t="s">
        <v>1014</v>
      </c>
      <c r="Q52" s="297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295" t="s">
        <v>1013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295" t="s">
        <v>1013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295" t="s">
        <v>1013</v>
      </c>
      <c r="Z52" t="str">
        <f>IFERROR(VLOOKUP(ROWS($Z$3:Z52),$X$3:$Y$992,2,0),"")</f>
        <v>Sanace a jiné činnosti související s odpady</v>
      </c>
    </row>
    <row r="53" spans="1:26" ht="12.75" customHeight="1">
      <c r="A53" s="271"/>
      <c r="B53" s="271"/>
      <c r="C53" s="271"/>
      <c r="D53" s="287">
        <f>IF(ISNUMBER(SEARCH(ZAKL_DATA!$B$14,E53)),MAX($D$2:D52)+1,0)</f>
        <v>51</v>
      </c>
      <c r="E53" s="300" t="s">
        <v>1015</v>
      </c>
      <c r="F53" s="301">
        <v>2213</v>
      </c>
      <c r="G53" s="302"/>
      <c r="H53" s="303" t="str">
        <f>IFERROR(VLOOKUP(ROWS($H$3:H53),$D$3:$E$204,2,0),"")</f>
        <v>TRHOVÉ SVINY</v>
      </c>
      <c r="I53" s="271"/>
      <c r="J53" s="305" t="s">
        <v>1016</v>
      </c>
      <c r="K53" s="293" t="s">
        <v>1017</v>
      </c>
      <c r="M53" s="294">
        <f>IF(ISNUMBER(SEARCH(ZAKL_DATA!$B$29,N53)),MAX($M$2:M52)+1,0)</f>
        <v>51</v>
      </c>
      <c r="N53" s="295" t="s">
        <v>1018</v>
      </c>
      <c r="O53" s="296" t="s">
        <v>1019</v>
      </c>
      <c r="Q53" s="297" t="str">
        <f>IFERROR(VLOOKUP(ROWS($Q$3:Q53),$M$3:$N$992,2,0),"")</f>
        <v>Výstavba budov</v>
      </c>
      <c r="R53">
        <f>IF(ISNUMBER(SEARCH('1Př1'!$A$32,N53)),MAX($M$2:M52)+1,0)</f>
        <v>51</v>
      </c>
      <c r="S53" s="295" t="s">
        <v>1018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295" t="s">
        <v>1018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295" t="s">
        <v>1018</v>
      </c>
      <c r="Z53" t="str">
        <f>IFERROR(VLOOKUP(ROWS($Z$3:Z53),$X$3:$Y$992,2,0),"")</f>
        <v>Výstavba budov</v>
      </c>
    </row>
    <row r="54" spans="1:26" ht="12.75" customHeight="1">
      <c r="A54" s="271"/>
      <c r="B54" s="271"/>
      <c r="C54" s="271"/>
      <c r="D54" s="287">
        <f>IF(ISNUMBER(SEARCH(ZAKL_DATA!$B$14,E54)),MAX($D$2:D53)+1,0)</f>
        <v>52</v>
      </c>
      <c r="E54" s="300" t="s">
        <v>1020</v>
      </c>
      <c r="F54" s="301">
        <v>2214</v>
      </c>
      <c r="G54" s="302"/>
      <c r="H54" s="303" t="str">
        <f>IFERROR(VLOOKUP(ROWS($H$3:H54),$D$3:$E$204,2,0),"")</f>
        <v>TŘEBOŇ</v>
      </c>
      <c r="I54" s="271"/>
      <c r="J54" s="305" t="s">
        <v>1021</v>
      </c>
      <c r="K54" s="293" t="s">
        <v>1022</v>
      </c>
      <c r="M54" s="294">
        <f>IF(ISNUMBER(SEARCH(ZAKL_DATA!$B$29,N54)),MAX($M$2:M53)+1,0)</f>
        <v>52</v>
      </c>
      <c r="N54" s="295" t="s">
        <v>1023</v>
      </c>
      <c r="O54" s="296" t="s">
        <v>1024</v>
      </c>
      <c r="Q54" s="297" t="str">
        <f>IFERROR(VLOOKUP(ROWS($Q$3:Q54),$M$3:$N$992,2,0),"")</f>
        <v>Inženýrské stavitelství</v>
      </c>
      <c r="R54">
        <f>IF(ISNUMBER(SEARCH('1Př1'!$A$32,N54)),MAX($M$2:M53)+1,0)</f>
        <v>52</v>
      </c>
      <c r="S54" s="295" t="s">
        <v>1023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295" t="s">
        <v>1023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295" t="s">
        <v>1023</v>
      </c>
      <c r="Z54" t="str">
        <f>IFERROR(VLOOKUP(ROWS($Z$3:Z54),$X$3:$Y$992,2,0),"")</f>
        <v>Inženýrské stavitelství</v>
      </c>
    </row>
    <row r="55" spans="1:26" ht="12.75" customHeight="1">
      <c r="A55" s="271"/>
      <c r="B55" s="271"/>
      <c r="C55" s="271"/>
      <c r="D55" s="287">
        <f>IF(ISNUMBER(SEARCH(ZAKL_DATA!$B$14,E55)),MAX($D$2:D54)+1,0)</f>
        <v>53</v>
      </c>
      <c r="E55" s="300" t="s">
        <v>1025</v>
      </c>
      <c r="F55" s="301">
        <v>2215</v>
      </c>
      <c r="G55" s="302"/>
      <c r="H55" s="303" t="str">
        <f>IFERROR(VLOOKUP(ROWS($H$3:H55),$D$3:$E$204,2,0),"")</f>
        <v>TÝN NAD VLTAVOU</v>
      </c>
      <c r="I55" s="271"/>
      <c r="J55" s="305" t="s">
        <v>1026</v>
      </c>
      <c r="K55" s="293" t="s">
        <v>1027</v>
      </c>
      <c r="M55" s="294">
        <f>IF(ISNUMBER(SEARCH(ZAKL_DATA!$B$29,N55)),MAX($M$2:M54)+1,0)</f>
        <v>53</v>
      </c>
      <c r="N55" s="295" t="s">
        <v>1028</v>
      </c>
      <c r="O55" s="296" t="s">
        <v>1029</v>
      </c>
      <c r="Q55" s="297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295" t="s">
        <v>1028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295" t="s">
        <v>1028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295" t="s">
        <v>1028</v>
      </c>
      <c r="Z55" t="str">
        <f>IFERROR(VLOOKUP(ROWS($Z$3:Z55),$X$3:$Y$992,2,0),"")</f>
        <v>Specializované stavební činnosti</v>
      </c>
    </row>
    <row r="56" spans="1:26" ht="12.75" customHeight="1">
      <c r="A56" s="271"/>
      <c r="B56" s="271"/>
      <c r="C56" s="271"/>
      <c r="D56" s="287">
        <f>IF(ISNUMBER(SEARCH(ZAKL_DATA!$B$14,E56)),MAX($D$2:D55)+1,0)</f>
        <v>54</v>
      </c>
      <c r="E56" s="300" t="s">
        <v>1030</v>
      </c>
      <c r="F56" s="301">
        <v>2216</v>
      </c>
      <c r="G56" s="302"/>
      <c r="H56" s="303" t="str">
        <f>IFERROR(VLOOKUP(ROWS($H$3:H56),$D$3:$E$204,2,0),"")</f>
        <v>VIMPERK</v>
      </c>
      <c r="I56" s="271"/>
      <c r="J56" s="305" t="s">
        <v>1031</v>
      </c>
      <c r="K56" s="293" t="s">
        <v>1032</v>
      </c>
      <c r="M56" s="294">
        <f>IF(ISNUMBER(SEARCH(ZAKL_DATA!$B$29,N56)),MAX($M$2:M55)+1,0)</f>
        <v>54</v>
      </c>
      <c r="N56" s="295" t="s">
        <v>1033</v>
      </c>
      <c r="O56" s="296" t="s">
        <v>1034</v>
      </c>
      <c r="Q56" s="297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295" t="s">
        <v>1033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295" t="s">
        <v>1033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295" t="s">
        <v>1033</v>
      </c>
      <c r="Z56" t="str">
        <f>IFERROR(VLOOKUP(ROWS($Z$3:Z56),$X$3:$Y$992,2,0),"")</f>
        <v>Velkoobchod, maloobchod a opravy motorových vozidel</v>
      </c>
    </row>
    <row r="57" spans="1:26" ht="12.75" customHeight="1">
      <c r="A57" s="271"/>
      <c r="B57" s="271"/>
      <c r="C57" s="271"/>
      <c r="D57" s="287">
        <f>IF(ISNUMBER(SEARCH(ZAKL_DATA!$B$14,E57)),MAX($D$2:D56)+1,0)</f>
        <v>55</v>
      </c>
      <c r="E57" s="300" t="s">
        <v>1035</v>
      </c>
      <c r="F57" s="301">
        <v>2217</v>
      </c>
      <c r="G57" s="302"/>
      <c r="H57" s="303" t="str">
        <f>IFERROR(VLOOKUP(ROWS($H$3:H57),$D$3:$E$204,2,0),"")</f>
        <v>VODŇANY</v>
      </c>
      <c r="I57" s="271"/>
      <c r="J57" s="305" t="s">
        <v>1036</v>
      </c>
      <c r="K57" s="293" t="s">
        <v>1037</v>
      </c>
      <c r="M57" s="294">
        <f>IF(ISNUMBER(SEARCH(ZAKL_DATA!$B$29,N57)),MAX($M$2:M56)+1,0)</f>
        <v>55</v>
      </c>
      <c r="N57" s="295" t="s">
        <v>1038</v>
      </c>
      <c r="O57" s="296" t="s">
        <v>1039</v>
      </c>
      <c r="Q57" s="297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295" t="s">
        <v>1038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295" t="s">
        <v>1038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295" t="s">
        <v>1038</v>
      </c>
      <c r="Z57" t="str">
        <f>IFERROR(VLOOKUP(ROWS($Z$3:Z57),$X$3:$Y$992,2,0),"")</f>
        <v>Velkoobchod, kromě motorových vozidel</v>
      </c>
    </row>
    <row r="58" spans="1:26" ht="12.75" customHeight="1">
      <c r="A58" s="271"/>
      <c r="B58" s="271"/>
      <c r="C58" s="271"/>
      <c r="D58" s="287">
        <f>IF(ISNUMBER(SEARCH(ZAKL_DATA!$B$14,E58)),MAX($D$2:D57)+1,0)</f>
        <v>56</v>
      </c>
      <c r="E58" s="300" t="s">
        <v>1040</v>
      </c>
      <c r="F58" s="301">
        <v>2301</v>
      </c>
      <c r="G58" s="302"/>
      <c r="H58" s="303" t="str">
        <f>IFERROR(VLOOKUP(ROWS($H$3:H58),$D$3:$E$204,2,0),"")</f>
        <v>PLZEŇ</v>
      </c>
      <c r="I58" s="271"/>
      <c r="J58" s="305" t="s">
        <v>1041</v>
      </c>
      <c r="K58" s="293" t="s">
        <v>1042</v>
      </c>
      <c r="M58" s="294">
        <f>IF(ISNUMBER(SEARCH(ZAKL_DATA!$B$29,N58)),MAX($M$2:M57)+1,0)</f>
        <v>56</v>
      </c>
      <c r="N58" s="295" t="s">
        <v>1043</v>
      </c>
      <c r="O58" s="296" t="s">
        <v>1044</v>
      </c>
      <c r="Q58" s="297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295" t="s">
        <v>1043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295" t="s">
        <v>1043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295" t="s">
        <v>1043</v>
      </c>
      <c r="Z58" t="str">
        <f>IFERROR(VLOOKUP(ROWS($Z$3:Z58),$X$3:$Y$992,2,0),"")</f>
        <v>Maloobchod, kromě motorových vozidel</v>
      </c>
    </row>
    <row r="59" spans="1:26" ht="12.75" customHeight="1">
      <c r="A59" s="271"/>
      <c r="B59" s="271"/>
      <c r="C59" s="271"/>
      <c r="D59" s="287">
        <f>IF(ISNUMBER(SEARCH(ZAKL_DATA!$B$14,E59)),MAX($D$2:D58)+1,0)</f>
        <v>57</v>
      </c>
      <c r="E59" s="300" t="s">
        <v>1045</v>
      </c>
      <c r="F59" s="301">
        <v>2302</v>
      </c>
      <c r="G59" s="302"/>
      <c r="H59" s="303" t="str">
        <f>IFERROR(VLOOKUP(ROWS($H$3:H59),$D$3:$E$204,2,0),"")</f>
        <v>PLZEŇ-SEVER</v>
      </c>
      <c r="I59" s="271"/>
      <c r="J59" s="304" t="s">
        <v>1046</v>
      </c>
      <c r="K59" s="293" t="s">
        <v>1047</v>
      </c>
      <c r="M59" s="294">
        <f>IF(ISNUMBER(SEARCH(ZAKL_DATA!$B$29,N59)),MAX($M$2:M58)+1,0)</f>
        <v>57</v>
      </c>
      <c r="N59" s="295" t="s">
        <v>1048</v>
      </c>
      <c r="O59" s="296" t="s">
        <v>1049</v>
      </c>
      <c r="Q59" s="297" t="str">
        <f>IFERROR(VLOOKUP(ROWS($Q$3:Q59),$M$3:$N$992,2,0),"")</f>
        <v>Pozemní a potrubní doprava</v>
      </c>
      <c r="R59">
        <f>IF(ISNUMBER(SEARCH('1Př1'!$A$32,N59)),MAX($M$2:M58)+1,0)</f>
        <v>57</v>
      </c>
      <c r="S59" s="295" t="s">
        <v>1048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295" t="s">
        <v>1048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295" t="s">
        <v>1048</v>
      </c>
      <c r="Z59" t="str">
        <f>IFERROR(VLOOKUP(ROWS($Z$3:Z59),$X$3:$Y$992,2,0),"")</f>
        <v>Pozemní a potrubní doprava</v>
      </c>
    </row>
    <row r="60" spans="1:26" ht="12.75" customHeight="1">
      <c r="A60" s="271"/>
      <c r="B60" s="271"/>
      <c r="C60" s="271"/>
      <c r="D60" s="287">
        <f>IF(ISNUMBER(SEARCH(ZAKL_DATA!$B$14,E60)),MAX($D$2:D59)+1,0)</f>
        <v>58</v>
      </c>
      <c r="E60" s="300" t="s">
        <v>1050</v>
      </c>
      <c r="F60" s="301">
        <v>2303</v>
      </c>
      <c r="G60" s="302"/>
      <c r="H60" s="303" t="str">
        <f>IFERROR(VLOOKUP(ROWS($H$3:H60),$D$3:$E$204,2,0),"")</f>
        <v>PLZEŇ-JIH</v>
      </c>
      <c r="I60" s="271"/>
      <c r="J60" s="305" t="s">
        <v>1051</v>
      </c>
      <c r="K60" s="293" t="s">
        <v>1052</v>
      </c>
      <c r="M60" s="294">
        <f>IF(ISNUMBER(SEARCH(ZAKL_DATA!$B$29,N60)),MAX($M$2:M59)+1,0)</f>
        <v>58</v>
      </c>
      <c r="N60" s="295" t="s">
        <v>1053</v>
      </c>
      <c r="O60" s="296" t="s">
        <v>1054</v>
      </c>
      <c r="Q60" s="297" t="str">
        <f>IFERROR(VLOOKUP(ROWS($Q$3:Q60),$M$3:$N$992,2,0),"")</f>
        <v>Vodní doprava</v>
      </c>
      <c r="R60">
        <f>IF(ISNUMBER(SEARCH('1Př1'!$A$32,N60)),MAX($M$2:M59)+1,0)</f>
        <v>58</v>
      </c>
      <c r="S60" s="295" t="s">
        <v>1053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295" t="s">
        <v>1053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295" t="s">
        <v>1053</v>
      </c>
      <c r="Z60" t="str">
        <f>IFERROR(VLOOKUP(ROWS($Z$3:Z60),$X$3:$Y$992,2,0),"")</f>
        <v>Vodní doprava</v>
      </c>
    </row>
    <row r="61" spans="1:26" ht="12.75" customHeight="1">
      <c r="A61" s="271"/>
      <c r="B61" s="271"/>
      <c r="C61" s="271"/>
      <c r="D61" s="287">
        <f>IF(ISNUMBER(SEARCH(ZAKL_DATA!$B$14,E61)),MAX($D$2:D60)+1,0)</f>
        <v>59</v>
      </c>
      <c r="E61" s="300" t="s">
        <v>1055</v>
      </c>
      <c r="F61" s="301">
        <v>2304</v>
      </c>
      <c r="G61" s="302"/>
      <c r="H61" s="303" t="str">
        <f>IFERROR(VLOOKUP(ROWS($H$3:H61),$D$3:$E$204,2,0),"")</f>
        <v>BLOVICE</v>
      </c>
      <c r="I61" s="271"/>
      <c r="J61" s="305" t="s">
        <v>1056</v>
      </c>
      <c r="K61" s="293" t="s">
        <v>1057</v>
      </c>
      <c r="M61" s="294">
        <f>IF(ISNUMBER(SEARCH(ZAKL_DATA!$B$29,N61)),MAX($M$2:M60)+1,0)</f>
        <v>59</v>
      </c>
      <c r="N61" s="295" t="s">
        <v>1058</v>
      </c>
      <c r="O61" s="296" t="s">
        <v>1059</v>
      </c>
      <c r="Q61" s="297" t="str">
        <f>IFERROR(VLOOKUP(ROWS($Q$3:Q61),$M$3:$N$992,2,0),"")</f>
        <v>Letecká doprava</v>
      </c>
      <c r="R61">
        <f>IF(ISNUMBER(SEARCH('1Př1'!$A$32,N61)),MAX($M$2:M60)+1,0)</f>
        <v>59</v>
      </c>
      <c r="S61" s="295" t="s">
        <v>1058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295" t="s">
        <v>1058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295" t="s">
        <v>1058</v>
      </c>
      <c r="Z61" t="str">
        <f>IFERROR(VLOOKUP(ROWS($Z$3:Z61),$X$3:$Y$992,2,0),"")</f>
        <v>Letecká doprava</v>
      </c>
    </row>
    <row r="62" spans="1:26" ht="12.75" customHeight="1">
      <c r="A62" s="271"/>
      <c r="B62" s="271"/>
      <c r="C62" s="271"/>
      <c r="D62" s="287">
        <f>IF(ISNUMBER(SEARCH(ZAKL_DATA!$B$14,E62)),MAX($D$2:D61)+1,0)</f>
        <v>60</v>
      </c>
      <c r="E62" s="300" t="s">
        <v>1060</v>
      </c>
      <c r="F62" s="301">
        <v>2305</v>
      </c>
      <c r="G62" s="302"/>
      <c r="H62" s="303" t="str">
        <f>IFERROR(VLOOKUP(ROWS($H$3:H62),$D$3:$E$204,2,0),"")</f>
        <v>DOMAŽLICE</v>
      </c>
      <c r="I62" s="271"/>
      <c r="J62" s="305" t="s">
        <v>1061</v>
      </c>
      <c r="K62" s="293" t="s">
        <v>1062</v>
      </c>
      <c r="M62" s="294">
        <f>IF(ISNUMBER(SEARCH(ZAKL_DATA!$B$29,N62)),MAX($M$2:M61)+1,0)</f>
        <v>60</v>
      </c>
      <c r="N62" s="295" t="s">
        <v>1063</v>
      </c>
      <c r="O62" s="296" t="s">
        <v>1064</v>
      </c>
      <c r="Q62" s="297" t="str">
        <f>IFERROR(VLOOKUP(ROWS($Q$3:Q62),$M$3:$N$992,2,0),"")</f>
        <v>Těžba a úprava černého uhlí</v>
      </c>
      <c r="R62">
        <f>IF(ISNUMBER(SEARCH('1Př1'!$A$32,N62)),MAX($M$2:M61)+1,0)</f>
        <v>60</v>
      </c>
      <c r="S62" s="295" t="s">
        <v>1063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295" t="s">
        <v>1063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295" t="s">
        <v>1063</v>
      </c>
      <c r="Z62" t="str">
        <f>IFERROR(VLOOKUP(ROWS($Z$3:Z62),$X$3:$Y$992,2,0),"")</f>
        <v>Těžba a úprava černého uhlí</v>
      </c>
    </row>
    <row r="63" spans="1:26" ht="12.75" customHeight="1">
      <c r="A63" s="271"/>
      <c r="B63" s="271"/>
      <c r="C63" s="271"/>
      <c r="D63" s="287">
        <f>IF(ISNUMBER(SEARCH(ZAKL_DATA!$B$14,E63)),MAX($D$2:D62)+1,0)</f>
        <v>61</v>
      </c>
      <c r="E63" s="300" t="s">
        <v>1065</v>
      </c>
      <c r="F63" s="301">
        <v>2306</v>
      </c>
      <c r="G63" s="302"/>
      <c r="H63" s="303" t="str">
        <f>IFERROR(VLOOKUP(ROWS($H$3:H63),$D$3:$E$204,2,0),"")</f>
        <v>HORAŽĎOVICE</v>
      </c>
      <c r="I63" s="271"/>
      <c r="J63" s="305" t="s">
        <v>1066</v>
      </c>
      <c r="K63" s="293" t="s">
        <v>1067</v>
      </c>
      <c r="M63" s="294">
        <f>IF(ISNUMBER(SEARCH(ZAKL_DATA!$B$29,N63)),MAX($M$2:M62)+1,0)</f>
        <v>61</v>
      </c>
      <c r="N63" s="295" t="s">
        <v>1068</v>
      </c>
      <c r="O63" s="296" t="s">
        <v>1069</v>
      </c>
      <c r="Q63" s="297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295" t="s">
        <v>1068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295" t="s">
        <v>1068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295" t="s">
        <v>1068</v>
      </c>
      <c r="Z63" t="str">
        <f>IFERROR(VLOOKUP(ROWS($Z$3:Z63),$X$3:$Y$992,2,0),"")</f>
        <v>Skladování a vedlejší činnosti v dopravě</v>
      </c>
    </row>
    <row r="64" spans="1:26" ht="12.75" customHeight="1">
      <c r="A64" s="271"/>
      <c r="B64" s="271"/>
      <c r="C64" s="271"/>
      <c r="D64" s="287">
        <f>IF(ISNUMBER(SEARCH(ZAKL_DATA!$B$14,E64)),MAX($D$2:D63)+1,0)</f>
        <v>62</v>
      </c>
      <c r="E64" s="300" t="s">
        <v>1070</v>
      </c>
      <c r="F64" s="301">
        <v>2307</v>
      </c>
      <c r="G64" s="302"/>
      <c r="H64" s="303" t="str">
        <f>IFERROR(VLOOKUP(ROWS($H$3:H64),$D$3:$E$204,2,0),"")</f>
        <v>HORŠOVSKÝ TÝN</v>
      </c>
      <c r="I64" s="271"/>
      <c r="J64" s="305" t="s">
        <v>1071</v>
      </c>
      <c r="K64" s="293" t="s">
        <v>1072</v>
      </c>
      <c r="M64" s="294">
        <f>IF(ISNUMBER(SEARCH(ZAKL_DATA!$B$29,N64)),MAX($M$2:M63)+1,0)</f>
        <v>62</v>
      </c>
      <c r="N64" s="295" t="s">
        <v>1073</v>
      </c>
      <c r="O64" s="296" t="s">
        <v>1074</v>
      </c>
      <c r="Q64" s="297" t="str">
        <f>IFERROR(VLOOKUP(ROWS($Q$3:Q64),$M$3:$N$992,2,0),"")</f>
        <v>Těžba a úprava hnědého uhlí</v>
      </c>
      <c r="R64">
        <f>IF(ISNUMBER(SEARCH('1Př1'!$A$32,N64)),MAX($M$2:M63)+1,0)</f>
        <v>62</v>
      </c>
      <c r="S64" s="295" t="s">
        <v>1073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295" t="s">
        <v>1073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295" t="s">
        <v>1073</v>
      </c>
      <c r="Z64" t="str">
        <f>IFERROR(VLOOKUP(ROWS($Z$3:Z64),$X$3:$Y$992,2,0),"")</f>
        <v>Těžba a úprava hnědého uhlí</v>
      </c>
    </row>
    <row r="65" spans="1:26" ht="12.75" customHeight="1">
      <c r="A65" s="271"/>
      <c r="B65" s="271"/>
      <c r="C65" s="271"/>
      <c r="D65" s="287">
        <f>IF(ISNUMBER(SEARCH(ZAKL_DATA!$B$14,E65)),MAX($D$2:D64)+1,0)</f>
        <v>63</v>
      </c>
      <c r="E65" s="300" t="s">
        <v>1075</v>
      </c>
      <c r="F65" s="301">
        <v>2308</v>
      </c>
      <c r="G65" s="302"/>
      <c r="H65" s="303" t="str">
        <f>IFERROR(VLOOKUP(ROWS($H$3:H65),$D$3:$E$204,2,0),"")</f>
        <v>KLATOVY</v>
      </c>
      <c r="I65" s="271"/>
      <c r="J65" s="305" t="s">
        <v>1076</v>
      </c>
      <c r="K65" s="293" t="s">
        <v>749</v>
      </c>
      <c r="M65" s="294">
        <f>IF(ISNUMBER(SEARCH(ZAKL_DATA!$B$29,N65)),MAX($M$2:M64)+1,0)</f>
        <v>63</v>
      </c>
      <c r="N65" s="295" t="s">
        <v>1077</v>
      </c>
      <c r="O65" s="296" t="s">
        <v>1078</v>
      </c>
      <c r="Q65" s="297" t="str">
        <f>IFERROR(VLOOKUP(ROWS($Q$3:Q65),$M$3:$N$992,2,0),"")</f>
        <v>Poštovní a kurýrní činnosti</v>
      </c>
      <c r="R65">
        <f>IF(ISNUMBER(SEARCH('1Př1'!$A$32,N65)),MAX($M$2:M64)+1,0)</f>
        <v>63</v>
      </c>
      <c r="S65" s="295" t="s">
        <v>1077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295" t="s">
        <v>1077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295" t="s">
        <v>1077</v>
      </c>
      <c r="Z65" t="str">
        <f>IFERROR(VLOOKUP(ROWS($Z$3:Z65),$X$3:$Y$992,2,0),"")</f>
        <v>Poštovní a kurýrní činnosti</v>
      </c>
    </row>
    <row r="66" spans="1:26" ht="12.75" customHeight="1">
      <c r="A66" s="271"/>
      <c r="B66" s="271"/>
      <c r="C66" s="271"/>
      <c r="D66" s="287">
        <f>IF(ISNUMBER(SEARCH(ZAKL_DATA!$B$14,E66)),MAX($D$2:D65)+1,0)</f>
        <v>64</v>
      </c>
      <c r="E66" s="300" t="s">
        <v>1079</v>
      </c>
      <c r="F66" s="301">
        <v>2309</v>
      </c>
      <c r="G66" s="302"/>
      <c r="H66" s="303" t="str">
        <f>IFERROR(VLOOKUP(ROWS($H$3:H66),$D$3:$E$204,2,0),"")</f>
        <v>KRALOVICE</v>
      </c>
      <c r="I66" s="271"/>
      <c r="J66" s="305" t="s">
        <v>1080</v>
      </c>
      <c r="K66" s="293" t="s">
        <v>1081</v>
      </c>
      <c r="M66" s="294">
        <f>IF(ISNUMBER(SEARCH(ZAKL_DATA!$B$29,N66)),MAX($M$2:M65)+1,0)</f>
        <v>64</v>
      </c>
      <c r="N66" s="295" t="s">
        <v>1082</v>
      </c>
      <c r="O66" s="296" t="s">
        <v>1083</v>
      </c>
      <c r="Q66" s="297" t="str">
        <f>IFERROR(VLOOKUP(ROWS($Q$3:Q66),$M$3:$N$992,2,0),"")</f>
        <v>Ubytování</v>
      </c>
      <c r="R66">
        <f>IF(ISNUMBER(SEARCH('1Př1'!$A$32,N66)),MAX($M$2:M65)+1,0)</f>
        <v>64</v>
      </c>
      <c r="S66" s="295" t="s">
        <v>1082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295" t="s">
        <v>1082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295" t="s">
        <v>1082</v>
      </c>
      <c r="Z66" t="str">
        <f>IFERROR(VLOOKUP(ROWS($Z$3:Z66),$X$3:$Y$992,2,0),"")</f>
        <v>Ubytování</v>
      </c>
    </row>
    <row r="67" spans="1:26" ht="12.75" customHeight="1">
      <c r="A67" s="271"/>
      <c r="B67" s="271"/>
      <c r="C67" s="271"/>
      <c r="D67" s="287">
        <f>IF(ISNUMBER(SEARCH(ZAKL_DATA!$B$14,E67)),MAX($D$2:D66)+1,0)</f>
        <v>65</v>
      </c>
      <c r="E67" s="300" t="s">
        <v>1084</v>
      </c>
      <c r="F67" s="301">
        <v>2310</v>
      </c>
      <c r="G67" s="302"/>
      <c r="H67" s="303" t="str">
        <f>IFERROR(VLOOKUP(ROWS($H$3:H67),$D$3:$E$204,2,0),"")</f>
        <v>NEPOMUK</v>
      </c>
      <c r="I67" s="271"/>
      <c r="J67" s="305" t="s">
        <v>1085</v>
      </c>
      <c r="K67" s="293" t="s">
        <v>1086</v>
      </c>
      <c r="M67" s="294">
        <f>IF(ISNUMBER(SEARCH(ZAKL_DATA!$B$29,N67)),MAX($M$2:M66)+1,0)</f>
        <v>65</v>
      </c>
      <c r="N67" s="295" t="s">
        <v>1087</v>
      </c>
      <c r="O67" s="296" t="s">
        <v>1088</v>
      </c>
      <c r="Q67" s="297" t="str">
        <f>IFERROR(VLOOKUP(ROWS($Q$3:Q67),$M$3:$N$992,2,0),"")</f>
        <v>Stravování a pohostinství</v>
      </c>
      <c r="R67">
        <f>IF(ISNUMBER(SEARCH('1Př1'!$A$32,N67)),MAX($M$2:M66)+1,0)</f>
        <v>65</v>
      </c>
      <c r="S67" s="295" t="s">
        <v>1087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295" t="s">
        <v>1087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295" t="s">
        <v>1087</v>
      </c>
      <c r="Z67" t="str">
        <f>IFERROR(VLOOKUP(ROWS($Z$3:Z67),$X$3:$Y$992,2,0),"")</f>
        <v>Stravování a pohostinství</v>
      </c>
    </row>
    <row r="68" spans="1:26" ht="12.75" customHeight="1">
      <c r="A68" s="271"/>
      <c r="B68" s="271"/>
      <c r="C68" s="271"/>
      <c r="D68" s="287">
        <f>IF(ISNUMBER(SEARCH(ZAKL_DATA!$B$14,E68)),MAX($D$2:D67)+1,0)</f>
        <v>66</v>
      </c>
      <c r="E68" s="300" t="s">
        <v>1089</v>
      </c>
      <c r="F68" s="301">
        <v>2311</v>
      </c>
      <c r="G68" s="302"/>
      <c r="H68" s="303" t="str">
        <f>IFERROR(VLOOKUP(ROWS($H$3:H68),$D$3:$E$204,2,0),"")</f>
        <v>PŘEŠTICE</v>
      </c>
      <c r="I68" s="271"/>
      <c r="J68" s="305" t="s">
        <v>1090</v>
      </c>
      <c r="K68" s="293" t="s">
        <v>1091</v>
      </c>
      <c r="M68" s="294">
        <f>IF(ISNUMBER(SEARCH(ZAKL_DATA!$B$29,N68)),MAX($M$2:M67)+1,0)</f>
        <v>66</v>
      </c>
      <c r="N68" s="295" t="s">
        <v>1092</v>
      </c>
      <c r="O68" s="296" t="s">
        <v>1093</v>
      </c>
      <c r="Q68" s="297" t="str">
        <f>IFERROR(VLOOKUP(ROWS($Q$3:Q68),$M$3:$N$992,2,0),"")</f>
        <v>Vydavatelské činnosti</v>
      </c>
      <c r="R68">
        <f>IF(ISNUMBER(SEARCH('1Př1'!$A$32,N68)),MAX($M$2:M67)+1,0)</f>
        <v>66</v>
      </c>
      <c r="S68" s="295" t="s">
        <v>1092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295" t="s">
        <v>1092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295" t="s">
        <v>1092</v>
      </c>
      <c r="Z68" t="str">
        <f>IFERROR(VLOOKUP(ROWS($Z$3:Z68),$X$3:$Y$992,2,0),"")</f>
        <v>Vydavatelské činnosti</v>
      </c>
    </row>
    <row r="69" spans="1:26" ht="12.75" customHeight="1">
      <c r="A69" s="271"/>
      <c r="B69" s="271"/>
      <c r="C69" s="271"/>
      <c r="D69" s="287">
        <f>IF(ISNUMBER(SEARCH(ZAKL_DATA!$B$14,E69)),MAX($D$2:D68)+1,0)</f>
        <v>67</v>
      </c>
      <c r="E69" s="300" t="s">
        <v>1094</v>
      </c>
      <c r="F69" s="301">
        <v>2312</v>
      </c>
      <c r="G69" s="302"/>
      <c r="H69" s="303" t="str">
        <f>IFERROR(VLOOKUP(ROWS($H$3:H69),$D$3:$E$204,2,0),"")</f>
        <v>ROKYCANY</v>
      </c>
      <c r="I69" s="271"/>
      <c r="J69" s="305" t="s">
        <v>1095</v>
      </c>
      <c r="K69" s="293" t="s">
        <v>1096</v>
      </c>
      <c r="M69" s="294">
        <f>IF(ISNUMBER(SEARCH(ZAKL_DATA!$B$29,N69)),MAX($M$2:M68)+1,0)</f>
        <v>67</v>
      </c>
      <c r="N69" s="295" t="s">
        <v>1097</v>
      </c>
      <c r="O69" s="296" t="s">
        <v>1098</v>
      </c>
      <c r="Q69" s="297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295" t="s">
        <v>1097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295" t="s">
        <v>1097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295" t="s">
        <v>1097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271"/>
      <c r="B70" s="271"/>
      <c r="C70" s="271"/>
      <c r="D70" s="287">
        <f>IF(ISNUMBER(SEARCH(ZAKL_DATA!$B$14,E70)),MAX($D$2:D69)+1,0)</f>
        <v>68</v>
      </c>
      <c r="E70" s="300" t="s">
        <v>1099</v>
      </c>
      <c r="F70" s="301">
        <v>2313</v>
      </c>
      <c r="G70" s="302"/>
      <c r="H70" s="303" t="str">
        <f>IFERROR(VLOOKUP(ROWS($H$3:H70),$D$3:$E$204,2,0),"")</f>
        <v>TACHOV</v>
      </c>
      <c r="I70" s="271"/>
      <c r="J70" s="305" t="s">
        <v>1100</v>
      </c>
      <c r="K70" s="293" t="s">
        <v>1101</v>
      </c>
      <c r="M70" s="294">
        <f>IF(ISNUMBER(SEARCH(ZAKL_DATA!$B$29,N70)),MAX($M$2:M69)+1,0)</f>
        <v>68</v>
      </c>
      <c r="N70" s="295" t="s">
        <v>1102</v>
      </c>
      <c r="O70" s="296" t="s">
        <v>1103</v>
      </c>
      <c r="Q70" s="297" t="str">
        <f>IFERROR(VLOOKUP(ROWS($Q$3:Q70),$M$3:$N$992,2,0),"")</f>
        <v>Tvorba programů a vysílání</v>
      </c>
      <c r="R70">
        <f>IF(ISNUMBER(SEARCH('1Př1'!$A$32,N70)),MAX($M$2:M69)+1,0)</f>
        <v>68</v>
      </c>
      <c r="S70" s="295" t="s">
        <v>1102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295" t="s">
        <v>1102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295" t="s">
        <v>1102</v>
      </c>
      <c r="Z70" t="str">
        <f>IFERROR(VLOOKUP(ROWS($Z$3:Z70),$X$3:$Y$992,2,0),"")</f>
        <v>Tvorba programů a vysílání</v>
      </c>
    </row>
    <row r="71" spans="1:26" ht="12.75" customHeight="1">
      <c r="A71" s="271"/>
      <c r="B71" s="271"/>
      <c r="C71" s="271"/>
      <c r="D71" s="287">
        <f>IF(ISNUMBER(SEARCH(ZAKL_DATA!$B$14,E71)),MAX($D$2:D70)+1,0)</f>
        <v>69</v>
      </c>
      <c r="E71" s="300" t="s">
        <v>1104</v>
      </c>
      <c r="F71" s="301">
        <v>2314</v>
      </c>
      <c r="G71" s="302"/>
      <c r="H71" s="303" t="str">
        <f>IFERROR(VLOOKUP(ROWS($H$3:H71),$D$3:$E$204,2,0),"")</f>
        <v>STŘÍBRO</v>
      </c>
      <c r="I71" s="271"/>
      <c r="J71" s="305" t="s">
        <v>1105</v>
      </c>
      <c r="K71" s="293" t="s">
        <v>1106</v>
      </c>
      <c r="M71" s="294">
        <f>IF(ISNUMBER(SEARCH(ZAKL_DATA!$B$29,N71)),MAX($M$2:M70)+1,0)</f>
        <v>69</v>
      </c>
      <c r="N71" s="295" t="s">
        <v>1107</v>
      </c>
      <c r="O71" s="296" t="s">
        <v>1108</v>
      </c>
      <c r="Q71" s="297" t="str">
        <f>IFERROR(VLOOKUP(ROWS($Q$3:Q71),$M$3:$N$992,2,0),"")</f>
        <v>Telekomunikační činnosti</v>
      </c>
      <c r="R71">
        <f>IF(ISNUMBER(SEARCH('1Př1'!$A$32,N71)),MAX($M$2:M70)+1,0)</f>
        <v>69</v>
      </c>
      <c r="S71" s="295" t="s">
        <v>1107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295" t="s">
        <v>1107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295" t="s">
        <v>1107</v>
      </c>
      <c r="Z71" t="str">
        <f>IFERROR(VLOOKUP(ROWS($Z$3:Z71),$X$3:$Y$992,2,0),"")</f>
        <v>Telekomunikační činnosti</v>
      </c>
    </row>
    <row r="72" spans="1:26" ht="12.75" customHeight="1">
      <c r="A72" s="271"/>
      <c r="B72" s="271"/>
      <c r="C72" s="271"/>
      <c r="D72" s="287">
        <f>IF(ISNUMBER(SEARCH(ZAKL_DATA!$B$14,E72)),MAX($D$2:D71)+1,0)</f>
        <v>70</v>
      </c>
      <c r="E72" s="300" t="s">
        <v>1109</v>
      </c>
      <c r="F72" s="301">
        <v>2315</v>
      </c>
      <c r="G72" s="302"/>
      <c r="H72" s="303" t="str">
        <f>IFERROR(VLOOKUP(ROWS($H$3:H72),$D$3:$E$204,2,0),"")</f>
        <v>SUŠICE</v>
      </c>
      <c r="I72" s="271"/>
      <c r="J72" s="305" t="s">
        <v>1110</v>
      </c>
      <c r="K72" s="293" t="s">
        <v>1111</v>
      </c>
      <c r="M72" s="294">
        <f>IF(ISNUMBER(SEARCH(ZAKL_DATA!$B$29,N72)),MAX($M$2:M71)+1,0)</f>
        <v>70</v>
      </c>
      <c r="N72" s="295" t="s">
        <v>1112</v>
      </c>
      <c r="O72" s="296" t="s">
        <v>1113</v>
      </c>
      <c r="Q72" s="297" t="str">
        <f>IFERROR(VLOOKUP(ROWS($Q$3:Q72),$M$3:$N$992,2,0),"")</f>
        <v>Těžba ropy</v>
      </c>
      <c r="R72">
        <f>IF(ISNUMBER(SEARCH('1Př1'!$A$32,N72)),MAX($M$2:M71)+1,0)</f>
        <v>70</v>
      </c>
      <c r="S72" s="295" t="s">
        <v>1112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295" t="s">
        <v>1112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295" t="s">
        <v>1112</v>
      </c>
      <c r="Z72" t="str">
        <f>IFERROR(VLOOKUP(ROWS($Z$3:Z72),$X$3:$Y$992,2,0),"")</f>
        <v>Těžba ropy</v>
      </c>
    </row>
    <row r="73" spans="1:26" ht="12.75" customHeight="1">
      <c r="A73" s="271"/>
      <c r="B73" s="271"/>
      <c r="C73" s="271"/>
      <c r="D73" s="287">
        <f>IF(ISNUMBER(SEARCH(ZAKL_DATA!$B$14,E73)),MAX($D$2:D72)+1,0)</f>
        <v>71</v>
      </c>
      <c r="E73" s="300" t="s">
        <v>1114</v>
      </c>
      <c r="F73" s="301">
        <v>2401</v>
      </c>
      <c r="G73" s="302"/>
      <c r="H73" s="303" t="str">
        <f>IFERROR(VLOOKUP(ROWS($H$3:H73),$D$3:$E$204,2,0),"")</f>
        <v>KARLOVY VARY</v>
      </c>
      <c r="I73" s="271"/>
      <c r="J73" s="305" t="s">
        <v>1115</v>
      </c>
      <c r="K73" s="293" t="s">
        <v>1116</v>
      </c>
      <c r="M73" s="294">
        <f>IF(ISNUMBER(SEARCH(ZAKL_DATA!$B$29,N73)),MAX($M$2:M72)+1,0)</f>
        <v>71</v>
      </c>
      <c r="N73" s="295" t="s">
        <v>1117</v>
      </c>
      <c r="O73" s="296" t="s">
        <v>1118</v>
      </c>
      <c r="Q73" s="297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295" t="s">
        <v>1117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295" t="s">
        <v>1117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295" t="s">
        <v>1117</v>
      </c>
      <c r="Z73" t="str">
        <f>IFERROR(VLOOKUP(ROWS($Z$3:Z73),$X$3:$Y$992,2,0),"")</f>
        <v>Činnosti v oblasti informačních technologií</v>
      </c>
    </row>
    <row r="74" spans="1:26" ht="12.75" customHeight="1">
      <c r="A74" s="271"/>
      <c r="B74" s="271"/>
      <c r="C74" s="271"/>
      <c r="D74" s="287">
        <f>IF(ISNUMBER(SEARCH(ZAKL_DATA!$B$14,E74)),MAX($D$2:D73)+1,0)</f>
        <v>72</v>
      </c>
      <c r="E74" s="300" t="s">
        <v>1119</v>
      </c>
      <c r="F74" s="301">
        <v>2402</v>
      </c>
      <c r="G74" s="302"/>
      <c r="H74" s="303" t="str">
        <f>IFERROR(VLOOKUP(ROWS($H$3:H74),$D$3:$E$204,2,0),"")</f>
        <v>AŠ</v>
      </c>
      <c r="I74" s="271"/>
      <c r="J74" s="305" t="s">
        <v>1120</v>
      </c>
      <c r="K74" s="293" t="s">
        <v>1121</v>
      </c>
      <c r="M74" s="294">
        <f>IF(ISNUMBER(SEARCH(ZAKL_DATA!$B$29,N74)),MAX($M$2:M73)+1,0)</f>
        <v>72</v>
      </c>
      <c r="N74" s="295" t="s">
        <v>1122</v>
      </c>
      <c r="O74" s="296" t="s">
        <v>1123</v>
      </c>
      <c r="Q74" s="297" t="str">
        <f>IFERROR(VLOOKUP(ROWS($Q$3:Q74),$M$3:$N$992,2,0),"")</f>
        <v>Těžba zemního plynu</v>
      </c>
      <c r="R74">
        <f>IF(ISNUMBER(SEARCH('1Př1'!$A$32,N74)),MAX($M$2:M73)+1,0)</f>
        <v>72</v>
      </c>
      <c r="S74" s="295" t="s">
        <v>1122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295" t="s">
        <v>1122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295" t="s">
        <v>1122</v>
      </c>
      <c r="Z74" t="str">
        <f>IFERROR(VLOOKUP(ROWS($Z$3:Z74),$X$3:$Y$992,2,0),"")</f>
        <v>Těžba zemního plynu</v>
      </c>
    </row>
    <row r="75" spans="1:26" ht="12.75" customHeight="1">
      <c r="A75" s="271"/>
      <c r="B75" s="271"/>
      <c r="C75" s="271"/>
      <c r="D75" s="287">
        <f>IF(ISNUMBER(SEARCH(ZAKL_DATA!$B$14,E75)),MAX($D$2:D74)+1,0)</f>
        <v>73</v>
      </c>
      <c r="E75" s="300" t="s">
        <v>1124</v>
      </c>
      <c r="F75" s="301">
        <v>2403</v>
      </c>
      <c r="G75" s="302"/>
      <c r="H75" s="303" t="str">
        <f>IFERROR(VLOOKUP(ROWS($H$3:H75),$D$3:$E$204,2,0),"")</f>
        <v>CHEB</v>
      </c>
      <c r="I75" s="271"/>
      <c r="J75" s="305" t="s">
        <v>1125</v>
      </c>
      <c r="K75" s="293" t="s">
        <v>1126</v>
      </c>
      <c r="M75" s="294">
        <f>IF(ISNUMBER(SEARCH(ZAKL_DATA!$B$29,N75)),MAX($M$2:M74)+1,0)</f>
        <v>73</v>
      </c>
      <c r="N75" s="295" t="s">
        <v>1127</v>
      </c>
      <c r="O75" s="296" t="s">
        <v>1128</v>
      </c>
      <c r="Q75" s="297" t="str">
        <f>IFERROR(VLOOKUP(ROWS($Q$3:Q75),$M$3:$N$992,2,0),"")</f>
        <v>Informační činnosti</v>
      </c>
      <c r="R75">
        <f>IF(ISNUMBER(SEARCH('1Př1'!$A$32,N75)),MAX($M$2:M74)+1,0)</f>
        <v>73</v>
      </c>
      <c r="S75" s="295" t="s">
        <v>1127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295" t="s">
        <v>1127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295" t="s">
        <v>1127</v>
      </c>
      <c r="Z75" t="str">
        <f>IFERROR(VLOOKUP(ROWS($Z$3:Z75),$X$3:$Y$992,2,0),"")</f>
        <v>Informační činnosti</v>
      </c>
    </row>
    <row r="76" spans="1:26" ht="12.75" customHeight="1">
      <c r="A76" s="271"/>
      <c r="B76" s="271"/>
      <c r="C76" s="271"/>
      <c r="D76" s="287">
        <f>IF(ISNUMBER(SEARCH(ZAKL_DATA!$B$14,E76)),MAX($D$2:D75)+1,0)</f>
        <v>74</v>
      </c>
      <c r="E76" s="300" t="s">
        <v>1129</v>
      </c>
      <c r="F76" s="301">
        <v>2404</v>
      </c>
      <c r="G76" s="302"/>
      <c r="H76" s="303" t="str">
        <f>IFERROR(VLOOKUP(ROWS($H$3:H76),$D$3:$E$204,2,0),"")</f>
        <v>KRASLICE</v>
      </c>
      <c r="I76" s="271"/>
      <c r="J76" s="305" t="s">
        <v>1130</v>
      </c>
      <c r="K76" s="293" t="s">
        <v>1131</v>
      </c>
      <c r="M76" s="294">
        <f>IF(ISNUMBER(SEARCH(ZAKL_DATA!$B$29,N76)),MAX($M$2:M75)+1,0)</f>
        <v>74</v>
      </c>
      <c r="N76" s="295" t="s">
        <v>1132</v>
      </c>
      <c r="O76" s="296" t="s">
        <v>1133</v>
      </c>
      <c r="Q76" s="297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295" t="s">
        <v>1132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295" t="s">
        <v>1132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295" t="s">
        <v>1132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271"/>
      <c r="B77" s="271"/>
      <c r="C77" s="271"/>
      <c r="D77" s="287">
        <f>IF(ISNUMBER(SEARCH(ZAKL_DATA!$B$14,E77)),MAX($D$2:D76)+1,0)</f>
        <v>75</v>
      </c>
      <c r="E77" s="300" t="s">
        <v>1134</v>
      </c>
      <c r="F77" s="301">
        <v>2405</v>
      </c>
      <c r="G77" s="302"/>
      <c r="H77" s="303" t="str">
        <f>IFERROR(VLOOKUP(ROWS($H$3:H77),$D$3:$E$204,2,0),"")</f>
        <v>MARIÁNSKÉ LÁZNĚ</v>
      </c>
      <c r="I77" s="271"/>
      <c r="J77" s="305" t="s">
        <v>1135</v>
      </c>
      <c r="K77" s="293" t="s">
        <v>1136</v>
      </c>
      <c r="M77" s="294">
        <f>IF(ISNUMBER(SEARCH(ZAKL_DATA!$B$29,N77)),MAX($M$2:M76)+1,0)</f>
        <v>75</v>
      </c>
      <c r="N77" s="295" t="s">
        <v>1137</v>
      </c>
      <c r="O77" s="296" t="s">
        <v>1138</v>
      </c>
      <c r="Q77" s="297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295" t="s">
        <v>1137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295" t="s">
        <v>1137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295" t="s">
        <v>1137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271"/>
      <c r="B78" s="271"/>
      <c r="C78" s="271"/>
      <c r="D78" s="287">
        <f>IF(ISNUMBER(SEARCH(ZAKL_DATA!$B$14,E78)),MAX($D$2:D77)+1,0)</f>
        <v>76</v>
      </c>
      <c r="E78" s="300" t="s">
        <v>1139</v>
      </c>
      <c r="F78" s="301">
        <v>2406</v>
      </c>
      <c r="G78" s="302"/>
      <c r="H78" s="303" t="str">
        <f>IFERROR(VLOOKUP(ROWS($H$3:H78),$D$3:$E$204,2,0),"")</f>
        <v>OSTROV NAD OHŘÍ</v>
      </c>
      <c r="I78" s="271"/>
      <c r="J78" s="305" t="s">
        <v>1140</v>
      </c>
      <c r="K78" s="293" t="s">
        <v>1141</v>
      </c>
      <c r="M78" s="294">
        <f>IF(ISNUMBER(SEARCH(ZAKL_DATA!$B$29,N78)),MAX($M$2:M77)+1,0)</f>
        <v>76</v>
      </c>
      <c r="N78" s="295" t="s">
        <v>1142</v>
      </c>
      <c r="O78" s="296" t="s">
        <v>1143</v>
      </c>
      <c r="Q78" s="297" t="str">
        <f>IFERROR(VLOOKUP(ROWS($Q$3:Q78),$M$3:$N$992,2,0),"")</f>
        <v>Ostatní finanční činnosti</v>
      </c>
      <c r="R78">
        <f>IF(ISNUMBER(SEARCH('1Př1'!$A$32,N78)),MAX($M$2:M77)+1,0)</f>
        <v>76</v>
      </c>
      <c r="S78" s="295" t="s">
        <v>1142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295" t="s">
        <v>1142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295" t="s">
        <v>1142</v>
      </c>
      <c r="Z78" t="str">
        <f>IFERROR(VLOOKUP(ROWS($Z$3:Z78),$X$3:$Y$992,2,0),"")</f>
        <v>Ostatní finanční činnosti</v>
      </c>
    </row>
    <row r="79" spans="1:26" ht="12.75" customHeight="1">
      <c r="A79" s="271"/>
      <c r="B79" s="271"/>
      <c r="C79" s="271"/>
      <c r="D79" s="287">
        <f>IF(ISNUMBER(SEARCH(ZAKL_DATA!$B$14,E79)),MAX($D$2:D78)+1,0)</f>
        <v>77</v>
      </c>
      <c r="E79" s="300" t="s">
        <v>1144</v>
      </c>
      <c r="F79" s="301">
        <v>2407</v>
      </c>
      <c r="G79" s="302"/>
      <c r="H79" s="303" t="str">
        <f>IFERROR(VLOOKUP(ROWS($H$3:H79),$D$3:$E$204,2,0),"")</f>
        <v>SOKOLOV</v>
      </c>
      <c r="I79" s="271"/>
      <c r="J79" s="305" t="s">
        <v>1145</v>
      </c>
      <c r="K79" s="293" t="s">
        <v>1146</v>
      </c>
      <c r="M79" s="294">
        <f>IF(ISNUMBER(SEARCH(ZAKL_DATA!$B$29,N79)),MAX($M$2:M78)+1,0)</f>
        <v>77</v>
      </c>
      <c r="N79" s="295" t="s">
        <v>1147</v>
      </c>
      <c r="O79" s="296" t="s">
        <v>1148</v>
      </c>
      <c r="Q79" s="297" t="str">
        <f>IFERROR(VLOOKUP(ROWS($Q$3:Q79),$M$3:$N$992,2,0),"")</f>
        <v>Činnosti v oblasti nemovitostí</v>
      </c>
      <c r="R79">
        <f>IF(ISNUMBER(SEARCH('1Př1'!$A$32,N79)),MAX($M$2:M78)+1,0)</f>
        <v>77</v>
      </c>
      <c r="S79" s="295" t="s">
        <v>1147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295" t="s">
        <v>1147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295" t="s">
        <v>1147</v>
      </c>
      <c r="Z79" t="str">
        <f>IFERROR(VLOOKUP(ROWS($Z$3:Z79),$X$3:$Y$992,2,0),"")</f>
        <v>Činnosti v oblasti nemovitostí</v>
      </c>
    </row>
    <row r="80" spans="1:26" ht="12.75" customHeight="1">
      <c r="A80" s="271"/>
      <c r="B80" s="271"/>
      <c r="C80" s="271"/>
      <c r="D80" s="287">
        <f>IF(ISNUMBER(SEARCH(ZAKL_DATA!$B$14,E80)),MAX($D$2:D79)+1,0)</f>
        <v>78</v>
      </c>
      <c r="E80" s="300" t="s">
        <v>1149</v>
      </c>
      <c r="F80" s="301">
        <v>2501</v>
      </c>
      <c r="G80" s="302"/>
      <c r="H80" s="303" t="str">
        <f>IFERROR(VLOOKUP(ROWS($H$3:H80),$D$3:$E$204,2,0),"")</f>
        <v>ÚSTÍ NAD LABEM</v>
      </c>
      <c r="I80" s="271"/>
      <c r="J80" s="305" t="s">
        <v>1150</v>
      </c>
      <c r="K80" s="293" t="s">
        <v>1151</v>
      </c>
      <c r="M80" s="294">
        <f>IF(ISNUMBER(SEARCH(ZAKL_DATA!$B$29,N80)),MAX($M$2:M79)+1,0)</f>
        <v>78</v>
      </c>
      <c r="N80" s="295" t="s">
        <v>1152</v>
      </c>
      <c r="O80" s="296" t="s">
        <v>1153</v>
      </c>
      <c r="Q80" s="297" t="str">
        <f>IFERROR(VLOOKUP(ROWS($Q$3:Q80),$M$3:$N$992,2,0),"")</f>
        <v>Právní a účetnické činnosti</v>
      </c>
      <c r="R80">
        <f>IF(ISNUMBER(SEARCH('1Př1'!$A$32,N80)),MAX($M$2:M79)+1,0)</f>
        <v>78</v>
      </c>
      <c r="S80" s="295" t="s">
        <v>1152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295" t="s">
        <v>1152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295" t="s">
        <v>1152</v>
      </c>
      <c r="Z80" t="str">
        <f>IFERROR(VLOOKUP(ROWS($Z$3:Z80),$X$3:$Y$992,2,0),"")</f>
        <v>Právní a účetnické činnosti</v>
      </c>
    </row>
    <row r="81" spans="1:26" ht="12.75" customHeight="1">
      <c r="A81" s="271"/>
      <c r="B81" s="271"/>
      <c r="C81" s="271"/>
      <c r="D81" s="287">
        <f>IF(ISNUMBER(SEARCH(ZAKL_DATA!$B$14,E81)),MAX($D$2:D80)+1,0)</f>
        <v>79</v>
      </c>
      <c r="E81" s="300" t="s">
        <v>1154</v>
      </c>
      <c r="F81" s="301">
        <v>2502</v>
      </c>
      <c r="G81" s="302"/>
      <c r="H81" s="303" t="str">
        <f>IFERROR(VLOOKUP(ROWS($H$3:H81),$D$3:$E$204,2,0),"")</f>
        <v>BÍLINA</v>
      </c>
      <c r="I81" s="271"/>
      <c r="J81" s="305" t="s">
        <v>1155</v>
      </c>
      <c r="K81" s="293" t="s">
        <v>1156</v>
      </c>
      <c r="M81" s="294">
        <f>IF(ISNUMBER(SEARCH(ZAKL_DATA!$B$29,N81)),MAX($M$2:M80)+1,0)</f>
        <v>79</v>
      </c>
      <c r="N81" s="295" t="s">
        <v>1157</v>
      </c>
      <c r="O81" s="296" t="s">
        <v>1158</v>
      </c>
      <c r="Q81" s="297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295" t="s">
        <v>1157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295" t="s">
        <v>1157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295" t="s">
        <v>1157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271"/>
      <c r="B82" s="271"/>
      <c r="C82" s="271"/>
      <c r="D82" s="287">
        <f>IF(ISNUMBER(SEARCH(ZAKL_DATA!$B$14,E82)),MAX($D$2:D81)+1,0)</f>
        <v>80</v>
      </c>
      <c r="E82" s="300" t="s">
        <v>1159</v>
      </c>
      <c r="F82" s="301">
        <v>2503</v>
      </c>
      <c r="G82" s="302"/>
      <c r="H82" s="303" t="str">
        <f>IFERROR(VLOOKUP(ROWS($H$3:H82),$D$3:$E$204,2,0),"")</f>
        <v>DĚČÍN</v>
      </c>
      <c r="I82" s="271"/>
      <c r="J82" s="305" t="s">
        <v>1160</v>
      </c>
      <c r="K82" s="293" t="s">
        <v>1161</v>
      </c>
      <c r="M82" s="294">
        <f>IF(ISNUMBER(SEARCH(ZAKL_DATA!$B$29,N82)),MAX($M$2:M81)+1,0)</f>
        <v>80</v>
      </c>
      <c r="N82" s="295" t="s">
        <v>1162</v>
      </c>
      <c r="O82" s="296" t="s">
        <v>1163</v>
      </c>
      <c r="Q82" s="297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295" t="s">
        <v>1162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295" t="s">
        <v>1162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295" t="s">
        <v>1162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271"/>
      <c r="B83" s="271"/>
      <c r="C83" s="271"/>
      <c r="D83" s="287">
        <f>IF(ISNUMBER(SEARCH(ZAKL_DATA!$B$14,E83)),MAX($D$2:D82)+1,0)</f>
        <v>81</v>
      </c>
      <c r="E83" s="300" t="s">
        <v>1164</v>
      </c>
      <c r="F83" s="301">
        <v>2504</v>
      </c>
      <c r="G83" s="302"/>
      <c r="H83" s="303" t="str">
        <f>IFERROR(VLOOKUP(ROWS($H$3:H83),$D$3:$E$204,2,0),"")</f>
        <v>CHOMUTOV</v>
      </c>
      <c r="I83" s="271"/>
      <c r="J83" s="305" t="s">
        <v>1165</v>
      </c>
      <c r="K83" s="293" t="s">
        <v>1166</v>
      </c>
      <c r="M83" s="294">
        <f>IF(ISNUMBER(SEARCH(ZAKL_DATA!$B$29,N83)),MAX($M$2:M82)+1,0)</f>
        <v>81</v>
      </c>
      <c r="N83" s="295" t="s">
        <v>1167</v>
      </c>
      <c r="O83" s="296" t="s">
        <v>1168</v>
      </c>
      <c r="Q83" s="297" t="str">
        <f>IFERROR(VLOOKUP(ROWS($Q$3:Q83),$M$3:$N$992,2,0),"")</f>
        <v>Těžba a úprava železných rud</v>
      </c>
      <c r="R83">
        <f>IF(ISNUMBER(SEARCH('1Př1'!$A$32,N83)),MAX($M$2:M82)+1,0)</f>
        <v>81</v>
      </c>
      <c r="S83" s="295" t="s">
        <v>1167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295" t="s">
        <v>1167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295" t="s">
        <v>1167</v>
      </c>
      <c r="Z83" t="str">
        <f>IFERROR(VLOOKUP(ROWS($Z$3:Z83),$X$3:$Y$992,2,0),"")</f>
        <v>Těžba a úprava železných rud</v>
      </c>
    </row>
    <row r="84" spans="1:26" ht="12.75" customHeight="1">
      <c r="A84" s="271"/>
      <c r="B84" s="271"/>
      <c r="C84" s="271"/>
      <c r="D84" s="287">
        <f>IF(ISNUMBER(SEARCH(ZAKL_DATA!$B$14,E84)),MAX($D$2:D83)+1,0)</f>
        <v>82</v>
      </c>
      <c r="E84" s="300" t="s">
        <v>1169</v>
      </c>
      <c r="F84" s="301">
        <v>2505</v>
      </c>
      <c r="G84" s="302"/>
      <c r="H84" s="303" t="str">
        <f>IFERROR(VLOOKUP(ROWS($H$3:H84),$D$3:$E$204,2,0),"")</f>
        <v>KADAŇ</v>
      </c>
      <c r="I84" s="271"/>
      <c r="J84" s="308" t="s">
        <v>1170</v>
      </c>
      <c r="K84" s="309" t="s">
        <v>1171</v>
      </c>
      <c r="M84" s="294">
        <f>IF(ISNUMBER(SEARCH(ZAKL_DATA!$B$29,N84)),MAX($M$2:M83)+1,0)</f>
        <v>82</v>
      </c>
      <c r="N84" s="295" t="s">
        <v>1172</v>
      </c>
      <c r="O84" s="296" t="s">
        <v>1173</v>
      </c>
      <c r="Q84" s="297" t="str">
        <f>IFERROR(VLOOKUP(ROWS($Q$3:Q84),$M$3:$N$992,2,0),"")</f>
        <v>Výzkum a vývoj</v>
      </c>
      <c r="R84">
        <f>IF(ISNUMBER(SEARCH('1Př1'!$A$32,N84)),MAX($M$2:M83)+1,0)</f>
        <v>82</v>
      </c>
      <c r="S84" s="295" t="s">
        <v>1172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295" t="s">
        <v>1172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295" t="s">
        <v>1172</v>
      </c>
      <c r="Z84" t="str">
        <f>IFERROR(VLOOKUP(ROWS($Z$3:Z84),$X$3:$Y$992,2,0),"")</f>
        <v>Výzkum a vývoj</v>
      </c>
    </row>
    <row r="85" spans="1:26" ht="12.75" customHeight="1">
      <c r="A85" s="271"/>
      <c r="B85" s="271"/>
      <c r="C85" s="271"/>
      <c r="D85" s="287">
        <f>IF(ISNUMBER(SEARCH(ZAKL_DATA!$B$14,E85)),MAX($D$2:D84)+1,0)</f>
        <v>83</v>
      </c>
      <c r="E85" s="300" t="s">
        <v>1174</v>
      </c>
      <c r="F85" s="301">
        <v>2506</v>
      </c>
      <c r="G85" s="302"/>
      <c r="H85" s="303" t="str">
        <f>IFERROR(VLOOKUP(ROWS($H$3:H85),$D$3:$E$204,2,0),"")</f>
        <v>LIBOCHOVICE</v>
      </c>
      <c r="I85" s="271"/>
      <c r="J85" s="305" t="s">
        <v>1175</v>
      </c>
      <c r="K85" s="293" t="s">
        <v>1176</v>
      </c>
      <c r="M85" s="294">
        <f>IF(ISNUMBER(SEARCH(ZAKL_DATA!$B$29,N85)),MAX($M$2:M84)+1,0)</f>
        <v>83</v>
      </c>
      <c r="N85" s="295" t="s">
        <v>1177</v>
      </c>
      <c r="O85" s="296" t="s">
        <v>1178</v>
      </c>
      <c r="Q85" s="297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295" t="s">
        <v>1177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295" t="s">
        <v>1177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295" t="s">
        <v>1177</v>
      </c>
      <c r="Z85" t="str">
        <f>IFERROR(VLOOKUP(ROWS($Z$3:Z85),$X$3:$Y$992,2,0),"")</f>
        <v>Těžba a úprava neželezných rud</v>
      </c>
    </row>
    <row r="86" spans="1:26" ht="12.75" customHeight="1">
      <c r="A86" s="271"/>
      <c r="B86" s="271"/>
      <c r="C86" s="271"/>
      <c r="D86" s="287">
        <f>IF(ISNUMBER(SEARCH(ZAKL_DATA!$B$14,E86)),MAX($D$2:D85)+1,0)</f>
        <v>84</v>
      </c>
      <c r="E86" s="300" t="s">
        <v>1179</v>
      </c>
      <c r="F86" s="301">
        <v>2507</v>
      </c>
      <c r="G86" s="302"/>
      <c r="H86" s="303" t="str">
        <f>IFERROR(VLOOKUP(ROWS($H$3:H86),$D$3:$E$204,2,0),"")</f>
        <v>LITOMĚŘICE</v>
      </c>
      <c r="I86" s="271"/>
      <c r="J86" s="305" t="s">
        <v>1180</v>
      </c>
      <c r="K86" s="293" t="s">
        <v>1181</v>
      </c>
      <c r="M86" s="294">
        <f>IF(ISNUMBER(SEARCH(ZAKL_DATA!$B$29,N86)),MAX($M$2:M85)+1,0)</f>
        <v>84</v>
      </c>
      <c r="N86" s="295" t="s">
        <v>1182</v>
      </c>
      <c r="O86" s="296" t="s">
        <v>1183</v>
      </c>
      <c r="Q86" s="297" t="str">
        <f>IFERROR(VLOOKUP(ROWS($Q$3:Q86),$M$3:$N$992,2,0),"")</f>
        <v>Reklama a průzkum trhu</v>
      </c>
      <c r="R86">
        <f>IF(ISNUMBER(SEARCH('1Př1'!$A$32,N86)),MAX($M$2:M85)+1,0)</f>
        <v>84</v>
      </c>
      <c r="S86" s="295" t="s">
        <v>1182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295" t="s">
        <v>1182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295" t="s">
        <v>1182</v>
      </c>
      <c r="Z86" t="str">
        <f>IFERROR(VLOOKUP(ROWS($Z$3:Z86),$X$3:$Y$992,2,0),"")</f>
        <v>Reklama a průzkum trhu</v>
      </c>
    </row>
    <row r="87" spans="1:26" ht="12.75" customHeight="1">
      <c r="A87" s="271"/>
      <c r="B87" s="271"/>
      <c r="C87" s="271"/>
      <c r="D87" s="287">
        <f>IF(ISNUMBER(SEARCH(ZAKL_DATA!$B$14,E87)),MAX($D$2:D86)+1,0)</f>
        <v>85</v>
      </c>
      <c r="E87" s="300" t="s">
        <v>1184</v>
      </c>
      <c r="F87" s="301">
        <v>2508</v>
      </c>
      <c r="G87" s="302"/>
      <c r="H87" s="303" t="str">
        <f>IFERROR(VLOOKUP(ROWS($H$3:H87),$D$3:$E$204,2,0),"")</f>
        <v>LITVÍNOV</v>
      </c>
      <c r="I87" s="271"/>
      <c r="J87" s="305" t="s">
        <v>1185</v>
      </c>
      <c r="K87" s="293" t="s">
        <v>1186</v>
      </c>
      <c r="M87" s="294">
        <f>IF(ISNUMBER(SEARCH(ZAKL_DATA!$B$29,N87)),MAX($M$2:M86)+1,0)</f>
        <v>85</v>
      </c>
      <c r="N87" s="295" t="s">
        <v>1187</v>
      </c>
      <c r="O87" s="296" t="s">
        <v>1188</v>
      </c>
      <c r="Q87" s="297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295" t="s">
        <v>1187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295" t="s">
        <v>1187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295" t="s">
        <v>1187</v>
      </c>
      <c r="Z87" t="str">
        <f>IFERROR(VLOOKUP(ROWS($Z$3:Z87),$X$3:$Y$992,2,0),"")</f>
        <v>Ostatní profesní, vědecké a technické činnosti</v>
      </c>
    </row>
    <row r="88" spans="1:26" ht="12.75" customHeight="1">
      <c r="A88" s="271"/>
      <c r="B88" s="271"/>
      <c r="C88" s="271"/>
      <c r="D88" s="287">
        <f>IF(ISNUMBER(SEARCH(ZAKL_DATA!$B$14,E88)),MAX($D$2:D87)+1,0)</f>
        <v>86</v>
      </c>
      <c r="E88" s="300" t="s">
        <v>1189</v>
      </c>
      <c r="F88" s="301">
        <v>2509</v>
      </c>
      <c r="G88" s="302"/>
      <c r="H88" s="303" t="str">
        <f>IFERROR(VLOOKUP(ROWS($H$3:H88),$D$3:$E$204,2,0),"")</f>
        <v>LOUNY</v>
      </c>
      <c r="I88" s="271"/>
      <c r="J88" s="305" t="s">
        <v>1190</v>
      </c>
      <c r="K88" s="293" t="s">
        <v>1191</v>
      </c>
      <c r="M88" s="294">
        <f>IF(ISNUMBER(SEARCH(ZAKL_DATA!$B$29,N88)),MAX($M$2:M87)+1,0)</f>
        <v>86</v>
      </c>
      <c r="N88" s="295" t="s">
        <v>1192</v>
      </c>
      <c r="O88" s="296" t="s">
        <v>1193</v>
      </c>
      <c r="Q88" s="297" t="str">
        <f>IFERROR(VLOOKUP(ROWS($Q$3:Q88),$M$3:$N$992,2,0),"")</f>
        <v>Veterinární činnosti</v>
      </c>
      <c r="R88">
        <f>IF(ISNUMBER(SEARCH('1Př1'!$A$32,N88)),MAX($M$2:M87)+1,0)</f>
        <v>86</v>
      </c>
      <c r="S88" s="295" t="s">
        <v>1192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295" t="s">
        <v>1192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295" t="s">
        <v>1192</v>
      </c>
      <c r="Z88" t="str">
        <f>IFERROR(VLOOKUP(ROWS($Z$3:Z88),$X$3:$Y$992,2,0),"")</f>
        <v>Veterinární činnosti</v>
      </c>
    </row>
    <row r="89" spans="1:26" ht="12.75" customHeight="1">
      <c r="A89" s="271"/>
      <c r="B89" s="271"/>
      <c r="C89" s="271"/>
      <c r="D89" s="287">
        <f>IF(ISNUMBER(SEARCH(ZAKL_DATA!$B$14,E89)),MAX($D$2:D88)+1,0)</f>
        <v>87</v>
      </c>
      <c r="E89" s="300" t="s">
        <v>1194</v>
      </c>
      <c r="F89" s="301">
        <v>2510</v>
      </c>
      <c r="G89" s="302"/>
      <c r="H89" s="303" t="str">
        <f>IFERROR(VLOOKUP(ROWS($H$3:H89),$D$3:$E$204,2,0),"")</f>
        <v>MOST</v>
      </c>
      <c r="I89" s="271"/>
      <c r="J89" s="305" t="s">
        <v>1195</v>
      </c>
      <c r="K89" s="293" t="s">
        <v>1196</v>
      </c>
      <c r="M89" s="294">
        <f>IF(ISNUMBER(SEARCH(ZAKL_DATA!$B$29,N89)),MAX($M$2:M88)+1,0)</f>
        <v>87</v>
      </c>
      <c r="N89" s="295" t="s">
        <v>1197</v>
      </c>
      <c r="O89" s="296" t="s">
        <v>1198</v>
      </c>
      <c r="Q89" s="297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295" t="s">
        <v>1197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295" t="s">
        <v>1197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295" t="s">
        <v>1197</v>
      </c>
      <c r="Z89" t="str">
        <f>IFERROR(VLOOKUP(ROWS($Z$3:Z89),$X$3:$Y$992,2,0),"")</f>
        <v>Činnosti v oblasti pronájmu a operativního leasingu</v>
      </c>
    </row>
    <row r="90" spans="1:26" ht="12.75" customHeight="1">
      <c r="A90" s="271"/>
      <c r="B90" s="271"/>
      <c r="C90" s="271"/>
      <c r="D90" s="287">
        <f>IF(ISNUMBER(SEARCH(ZAKL_DATA!$B$14,E90)),MAX($D$2:D89)+1,0)</f>
        <v>88</v>
      </c>
      <c r="E90" s="300" t="s">
        <v>1199</v>
      </c>
      <c r="F90" s="301">
        <v>2511</v>
      </c>
      <c r="G90" s="302"/>
      <c r="H90" s="303" t="str">
        <f>IFERROR(VLOOKUP(ROWS($H$3:H90),$D$3:$E$204,2,0),"")</f>
        <v>PODBOŘANY</v>
      </c>
      <c r="I90" s="271"/>
      <c r="J90" s="305" t="s">
        <v>1200</v>
      </c>
      <c r="K90" s="293" t="s">
        <v>1201</v>
      </c>
      <c r="M90" s="294">
        <f>IF(ISNUMBER(SEARCH(ZAKL_DATA!$B$29,N90)),MAX($M$2:M89)+1,0)</f>
        <v>88</v>
      </c>
      <c r="N90" s="295" t="s">
        <v>1202</v>
      </c>
      <c r="O90" s="296" t="s">
        <v>1203</v>
      </c>
      <c r="Q90" s="297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295" t="s">
        <v>1202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295" t="s">
        <v>1202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295" t="s">
        <v>1202</v>
      </c>
      <c r="Z90" t="str">
        <f>IFERROR(VLOOKUP(ROWS($Z$3:Z90),$X$3:$Y$992,2,0),"")</f>
        <v>Činnosti související se zaměstnáním</v>
      </c>
    </row>
    <row r="91" spans="1:26" ht="12.75" customHeight="1">
      <c r="A91" s="271"/>
      <c r="B91" s="271"/>
      <c r="C91" s="271"/>
      <c r="D91" s="287">
        <f>IF(ISNUMBER(SEARCH(ZAKL_DATA!$B$14,E91)),MAX($D$2:D90)+1,0)</f>
        <v>89</v>
      </c>
      <c r="E91" s="300" t="s">
        <v>1204</v>
      </c>
      <c r="F91" s="301">
        <v>2512</v>
      </c>
      <c r="G91" s="302"/>
      <c r="H91" s="303" t="str">
        <f>IFERROR(VLOOKUP(ROWS($H$3:H91),$D$3:$E$204,2,0),"")</f>
        <v>ROUDNICE NAD LABEM</v>
      </c>
      <c r="I91" s="271"/>
      <c r="J91" s="305" t="s">
        <v>1205</v>
      </c>
      <c r="K91" s="293" t="s">
        <v>1206</v>
      </c>
      <c r="M91" s="294">
        <f>IF(ISNUMBER(SEARCH(ZAKL_DATA!$B$29,N91)),MAX($M$2:M90)+1,0)</f>
        <v>89</v>
      </c>
      <c r="N91" s="295" t="s">
        <v>1207</v>
      </c>
      <c r="O91" s="296" t="s">
        <v>1208</v>
      </c>
      <c r="Q91" s="297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295" t="s">
        <v>1207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295" t="s">
        <v>1207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295" t="s">
        <v>1207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271"/>
      <c r="B92" s="271"/>
      <c r="C92" s="271"/>
      <c r="D92" s="287">
        <f>IF(ISNUMBER(SEARCH(ZAKL_DATA!$B$14,E92)),MAX($D$2:D91)+1,0)</f>
        <v>90</v>
      </c>
      <c r="E92" s="300" t="s">
        <v>1209</v>
      </c>
      <c r="F92" s="301">
        <v>2513</v>
      </c>
      <c r="G92" s="302"/>
      <c r="H92" s="303" t="str">
        <f>IFERROR(VLOOKUP(ROWS($H$3:H92),$D$3:$E$204,2,0),"")</f>
        <v>RUMBURK</v>
      </c>
      <c r="I92" s="271"/>
      <c r="J92" s="305" t="s">
        <v>1210</v>
      </c>
      <c r="K92" s="293" t="s">
        <v>1211</v>
      </c>
      <c r="M92" s="294">
        <f>IF(ISNUMBER(SEARCH(ZAKL_DATA!$B$29,N92)),MAX($M$2:M91)+1,0)</f>
        <v>90</v>
      </c>
      <c r="N92" s="295" t="s">
        <v>1212</v>
      </c>
      <c r="O92" s="296" t="s">
        <v>1213</v>
      </c>
      <c r="Q92" s="297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295" t="s">
        <v>1212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295" t="s">
        <v>1212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295" t="s">
        <v>1212</v>
      </c>
      <c r="Z92" t="str">
        <f>IFERROR(VLOOKUP(ROWS($Z$3:Z92),$X$3:$Y$992,2,0),"")</f>
        <v>Bezpečnostní a pátrací činnosti</v>
      </c>
    </row>
    <row r="93" spans="1:26" ht="12.75" customHeight="1">
      <c r="A93" s="271"/>
      <c r="B93" s="271"/>
      <c r="C93" s="271"/>
      <c r="D93" s="287">
        <f>IF(ISNUMBER(SEARCH(ZAKL_DATA!$B$14,E93)),MAX($D$2:D92)+1,0)</f>
        <v>91</v>
      </c>
      <c r="E93" s="300" t="s">
        <v>1214</v>
      </c>
      <c r="F93" s="301">
        <v>2514</v>
      </c>
      <c r="G93" s="302"/>
      <c r="H93" s="303" t="str">
        <f>IFERROR(VLOOKUP(ROWS($H$3:H93),$D$3:$E$204,2,0),"")</f>
        <v>TEPLICE</v>
      </c>
      <c r="I93" s="271"/>
      <c r="J93" s="305" t="s">
        <v>1215</v>
      </c>
      <c r="K93" s="293" t="s">
        <v>1216</v>
      </c>
      <c r="M93" s="294">
        <f>IF(ISNUMBER(SEARCH(ZAKL_DATA!$B$29,N93)),MAX($M$2:M92)+1,0)</f>
        <v>91</v>
      </c>
      <c r="N93" s="295" t="s">
        <v>1217</v>
      </c>
      <c r="O93" s="296" t="s">
        <v>1218</v>
      </c>
      <c r="Q93" s="297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295" t="s">
        <v>1217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295" t="s">
        <v>1217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295" t="s">
        <v>1217</v>
      </c>
      <c r="Z93" t="str">
        <f>IFERROR(VLOOKUP(ROWS($Z$3:Z93),$X$3:$Y$992,2,0),"")</f>
        <v>Činnosti související se stavbami a úpravou krajiny</v>
      </c>
    </row>
    <row r="94" spans="1:26" ht="12.75" customHeight="1">
      <c r="A94" s="271"/>
      <c r="B94" s="271"/>
      <c r="C94" s="271"/>
      <c r="D94" s="287">
        <f>IF(ISNUMBER(SEARCH(ZAKL_DATA!$B$14,E94)),MAX($D$2:D93)+1,0)</f>
        <v>92</v>
      </c>
      <c r="E94" s="300" t="s">
        <v>1219</v>
      </c>
      <c r="F94" s="301">
        <v>2515</v>
      </c>
      <c r="G94" s="302"/>
      <c r="H94" s="303" t="str">
        <f>IFERROR(VLOOKUP(ROWS($H$3:H94),$D$3:$E$204,2,0),"")</f>
        <v>ŽATEC</v>
      </c>
      <c r="I94" s="271"/>
      <c r="J94" s="305" t="s">
        <v>1220</v>
      </c>
      <c r="K94" s="293" t="s">
        <v>1221</v>
      </c>
      <c r="M94" s="294">
        <f>IF(ISNUMBER(SEARCH(ZAKL_DATA!$B$29,N94)),MAX($M$2:M93)+1,0)</f>
        <v>92</v>
      </c>
      <c r="N94" s="295" t="s">
        <v>1222</v>
      </c>
      <c r="O94" s="296" t="s">
        <v>1223</v>
      </c>
      <c r="Q94" s="297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295" t="s">
        <v>1222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295" t="s">
        <v>1222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295" t="s">
        <v>1222</v>
      </c>
      <c r="Z94" t="str">
        <f>IFERROR(VLOOKUP(ROWS($Z$3:Z94),$X$3:$Y$992,2,0),"")</f>
        <v>Dobývání kamene, písků a jílů</v>
      </c>
    </row>
    <row r="95" spans="1:26" ht="12.75" customHeight="1">
      <c r="A95" s="271"/>
      <c r="B95" s="271"/>
      <c r="C95" s="271"/>
      <c r="D95" s="287">
        <f>IF(ISNUMBER(SEARCH(ZAKL_DATA!$B$14,E95)),MAX($D$2:D94)+1,0)</f>
        <v>93</v>
      </c>
      <c r="E95" s="300" t="s">
        <v>1224</v>
      </c>
      <c r="F95" s="301">
        <v>2601</v>
      </c>
      <c r="G95" s="302"/>
      <c r="H95" s="303" t="str">
        <f>IFERROR(VLOOKUP(ROWS($H$3:H95),$D$3:$E$204,2,0),"")</f>
        <v>LIBEREC</v>
      </c>
      <c r="I95" s="271"/>
      <c r="J95" s="305" t="s">
        <v>1225</v>
      </c>
      <c r="K95" s="293" t="s">
        <v>1226</v>
      </c>
      <c r="M95" s="294">
        <f>IF(ISNUMBER(SEARCH(ZAKL_DATA!$B$29,N95)),MAX($M$2:M94)+1,0)</f>
        <v>93</v>
      </c>
      <c r="N95" s="295" t="s">
        <v>1227</v>
      </c>
      <c r="O95" s="296" t="s">
        <v>1228</v>
      </c>
      <c r="Q95" s="297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295" t="s">
        <v>1227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295" t="s">
        <v>1227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295" t="s">
        <v>1227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271"/>
      <c r="B96" s="271"/>
      <c r="C96" s="271"/>
      <c r="D96" s="287">
        <f>IF(ISNUMBER(SEARCH(ZAKL_DATA!$B$14,E96)),MAX($D$2:D95)+1,0)</f>
        <v>94</v>
      </c>
      <c r="E96" s="300" t="s">
        <v>1229</v>
      </c>
      <c r="F96" s="301">
        <v>2602</v>
      </c>
      <c r="G96" s="302"/>
      <c r="H96" s="303" t="str">
        <f>IFERROR(VLOOKUP(ROWS($H$3:H96),$D$3:$E$204,2,0),"")</f>
        <v>ČESKÁ LÍPA</v>
      </c>
      <c r="I96" s="271"/>
      <c r="J96" s="305" t="s">
        <v>1230</v>
      </c>
      <c r="K96" s="293" t="s">
        <v>1231</v>
      </c>
      <c r="M96" s="294">
        <f>IF(ISNUMBER(SEARCH(ZAKL_DATA!$B$29,N96)),MAX($M$2:M95)+1,0)</f>
        <v>94</v>
      </c>
      <c r="N96" s="295" t="s">
        <v>1232</v>
      </c>
      <c r="O96" s="296" t="s">
        <v>1233</v>
      </c>
      <c r="Q96" s="297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295" t="s">
        <v>1232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295" t="s">
        <v>1232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295" t="s">
        <v>1232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271"/>
      <c r="B97" s="271"/>
      <c r="C97" s="271"/>
      <c r="D97" s="287">
        <f>IF(ISNUMBER(SEARCH(ZAKL_DATA!$B$14,E97)),MAX($D$2:D96)+1,0)</f>
        <v>95</v>
      </c>
      <c r="E97" s="300" t="s">
        <v>1234</v>
      </c>
      <c r="F97" s="301">
        <v>2603</v>
      </c>
      <c r="G97" s="302"/>
      <c r="H97" s="303" t="str">
        <f>IFERROR(VLOOKUP(ROWS($H$3:H97),$D$3:$E$204,2,0),"")</f>
        <v>FRÝDLANT</v>
      </c>
      <c r="I97" s="271"/>
      <c r="J97" s="305" t="s">
        <v>1235</v>
      </c>
      <c r="K97" s="293" t="s">
        <v>1236</v>
      </c>
      <c r="M97" s="294">
        <f>IF(ISNUMBER(SEARCH(ZAKL_DATA!$B$29,N97)),MAX($M$2:M96)+1,0)</f>
        <v>95</v>
      </c>
      <c r="N97" s="295" t="s">
        <v>1237</v>
      </c>
      <c r="O97" s="296" t="s">
        <v>1238</v>
      </c>
      <c r="Q97" s="297" t="str">
        <f>IFERROR(VLOOKUP(ROWS($Q$3:Q97),$M$3:$N$992,2,0),"")</f>
        <v>Vzdělávání</v>
      </c>
      <c r="R97">
        <f>IF(ISNUMBER(SEARCH('1Př1'!$A$32,N97)),MAX($M$2:M96)+1,0)</f>
        <v>95</v>
      </c>
      <c r="S97" s="295" t="s">
        <v>1237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295" t="s">
        <v>1237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295" t="s">
        <v>1237</v>
      </c>
      <c r="Z97" t="str">
        <f>IFERROR(VLOOKUP(ROWS($Z$3:Z97),$X$3:$Y$992,2,0),"")</f>
        <v>Vzdělávání</v>
      </c>
    </row>
    <row r="98" spans="1:26" ht="12.75" customHeight="1">
      <c r="A98" s="271"/>
      <c r="B98" s="271"/>
      <c r="C98" s="271"/>
      <c r="D98" s="287">
        <f>IF(ISNUMBER(SEARCH(ZAKL_DATA!$B$14,E98)),MAX($D$2:D97)+1,0)</f>
        <v>96</v>
      </c>
      <c r="E98" s="300" t="s">
        <v>1239</v>
      </c>
      <c r="F98" s="301">
        <v>2604</v>
      </c>
      <c r="G98" s="302"/>
      <c r="H98" s="303" t="str">
        <f>IFERROR(VLOOKUP(ROWS($H$3:H98),$D$3:$E$204,2,0),"")</f>
        <v>JABLONEC NAD NISOU</v>
      </c>
      <c r="I98" s="271"/>
      <c r="J98" s="305" t="s">
        <v>1240</v>
      </c>
      <c r="K98" s="293" t="s">
        <v>1241</v>
      </c>
      <c r="M98" s="294">
        <f>IF(ISNUMBER(SEARCH(ZAKL_DATA!$B$29,N98)),MAX($M$2:M97)+1,0)</f>
        <v>96</v>
      </c>
      <c r="N98" s="295" t="s">
        <v>1242</v>
      </c>
      <c r="O98" s="296" t="s">
        <v>1243</v>
      </c>
      <c r="Q98" s="297" t="str">
        <f>IFERROR(VLOOKUP(ROWS($Q$3:Q98),$M$3:$N$992,2,0),"")</f>
        <v>Zdravotní péče</v>
      </c>
      <c r="R98">
        <f>IF(ISNUMBER(SEARCH('1Př1'!$A$32,N98)),MAX($M$2:M97)+1,0)</f>
        <v>96</v>
      </c>
      <c r="S98" s="295" t="s">
        <v>1242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295" t="s">
        <v>1242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295" t="s">
        <v>1242</v>
      </c>
      <c r="Z98" t="str">
        <f>IFERROR(VLOOKUP(ROWS($Z$3:Z98),$X$3:$Y$992,2,0),"")</f>
        <v>Zdravotní péče</v>
      </c>
    </row>
    <row r="99" spans="1:26" ht="12.75" customHeight="1">
      <c r="A99" s="271"/>
      <c r="B99" s="271"/>
      <c r="C99" s="271"/>
      <c r="D99" s="287">
        <f>IF(ISNUMBER(SEARCH(ZAKL_DATA!$B$14,E99)),MAX($D$2:D98)+1,0)</f>
        <v>97</v>
      </c>
      <c r="E99" s="300" t="s">
        <v>1244</v>
      </c>
      <c r="F99" s="301">
        <v>2605</v>
      </c>
      <c r="G99" s="302"/>
      <c r="H99" s="303" t="str">
        <f>IFERROR(VLOOKUP(ROWS($H$3:H99),$D$3:$E$204,2,0),"")</f>
        <v>JILEMNICE</v>
      </c>
      <c r="I99" s="271"/>
      <c r="J99" s="305" t="s">
        <v>1245</v>
      </c>
      <c r="K99" s="293" t="s">
        <v>1246</v>
      </c>
      <c r="M99" s="294">
        <f>IF(ISNUMBER(SEARCH(ZAKL_DATA!$B$29,N99)),MAX($M$2:M98)+1,0)</f>
        <v>97</v>
      </c>
      <c r="N99" s="295" t="s">
        <v>1247</v>
      </c>
      <c r="O99" s="296" t="s">
        <v>1248</v>
      </c>
      <c r="Q99" s="297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295" t="s">
        <v>1247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295" t="s">
        <v>1247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295" t="s">
        <v>1247</v>
      </c>
      <c r="Z99" t="str">
        <f>IFERROR(VLOOKUP(ROWS($Z$3:Z99),$X$3:$Y$992,2,0),"")</f>
        <v>Pobytové služby sociální péče</v>
      </c>
    </row>
    <row r="100" spans="1:26" ht="12.75" customHeight="1">
      <c r="A100" s="271"/>
      <c r="B100" s="271"/>
      <c r="C100" s="271"/>
      <c r="D100" s="287">
        <f>IF(ISNUMBER(SEARCH(ZAKL_DATA!$B$14,E100)),MAX($D$2:D99)+1,0)</f>
        <v>98</v>
      </c>
      <c r="E100" s="300" t="s">
        <v>1249</v>
      </c>
      <c r="F100" s="301">
        <v>2606</v>
      </c>
      <c r="G100" s="302"/>
      <c r="H100" s="303" t="str">
        <f>IFERROR(VLOOKUP(ROWS($H$3:H100),$D$3:$E$204,2,0),"")</f>
        <v>NOVÝ BOR</v>
      </c>
      <c r="I100" s="271"/>
      <c r="J100" s="305" t="s">
        <v>1250</v>
      </c>
      <c r="K100" s="293" t="s">
        <v>1251</v>
      </c>
      <c r="M100" s="294">
        <f>IF(ISNUMBER(SEARCH(ZAKL_DATA!$B$29,N100)),MAX($M$2:M99)+1,0)</f>
        <v>98</v>
      </c>
      <c r="N100" s="295" t="s">
        <v>1252</v>
      </c>
      <c r="O100" s="296" t="s">
        <v>1253</v>
      </c>
      <c r="Q100" s="297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295" t="s">
        <v>1252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295" t="s">
        <v>1252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295" t="s">
        <v>1252</v>
      </c>
      <c r="Z100" t="str">
        <f>IFERROR(VLOOKUP(ROWS($Z$3:Z100),$X$3:$Y$992,2,0),"")</f>
        <v>Ambulantní nebo terénní sociální služby</v>
      </c>
    </row>
    <row r="101" spans="1:26" ht="12.75" customHeight="1">
      <c r="A101" s="271"/>
      <c r="B101" s="271"/>
      <c r="C101" s="271"/>
      <c r="D101" s="287">
        <f>IF(ISNUMBER(SEARCH(ZAKL_DATA!$B$14,E101)),MAX($D$2:D100)+1,0)</f>
        <v>99</v>
      </c>
      <c r="E101" s="300" t="s">
        <v>1254</v>
      </c>
      <c r="F101" s="301">
        <v>2607</v>
      </c>
      <c r="G101" s="302"/>
      <c r="H101" s="303" t="str">
        <f>IFERROR(VLOOKUP(ROWS($H$3:H101),$D$3:$E$204,2,0),"")</f>
        <v>SEMILY</v>
      </c>
      <c r="I101" s="271"/>
      <c r="J101" s="305" t="s">
        <v>1255</v>
      </c>
      <c r="K101" s="293" t="s">
        <v>1256</v>
      </c>
      <c r="M101" s="294">
        <f>IF(ISNUMBER(SEARCH(ZAKL_DATA!$B$29,N101)),MAX($M$2:M100)+1,0)</f>
        <v>99</v>
      </c>
      <c r="N101" s="295" t="s">
        <v>1257</v>
      </c>
      <c r="O101" s="296" t="s">
        <v>1258</v>
      </c>
      <c r="Q101" s="297" t="str">
        <f>IFERROR(VLOOKUP(ROWS($Q$3:Q101),$M$3:$N$992,2,0),"")</f>
        <v>Těžba a dobývání j. n.</v>
      </c>
      <c r="R101">
        <f>IF(ISNUMBER(SEARCH('1Př1'!$A$32,N101)),MAX($M$2:M100)+1,0)</f>
        <v>99</v>
      </c>
      <c r="S101" s="295" t="s">
        <v>1257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295" t="s">
        <v>1257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295" t="s">
        <v>1257</v>
      </c>
      <c r="Z101" t="str">
        <f>IFERROR(VLOOKUP(ROWS($Z$3:Z101),$X$3:$Y$992,2,0),"")</f>
        <v>Těžba a dobývání j. n.</v>
      </c>
    </row>
    <row r="102" spans="1:26" ht="12.75" customHeight="1">
      <c r="A102" s="271"/>
      <c r="B102" s="271"/>
      <c r="C102" s="271"/>
      <c r="D102" s="287">
        <f>IF(ISNUMBER(SEARCH(ZAKL_DATA!$B$14,E102)),MAX($D$2:D101)+1,0)</f>
        <v>100</v>
      </c>
      <c r="E102" s="300" t="s">
        <v>1259</v>
      </c>
      <c r="F102" s="301">
        <v>2608</v>
      </c>
      <c r="G102" s="302"/>
      <c r="H102" s="303" t="str">
        <f>IFERROR(VLOOKUP(ROWS($H$3:H102),$D$3:$E$204,2,0),"")</f>
        <v>TANVALD</v>
      </c>
      <c r="I102" s="271"/>
      <c r="J102" s="305" t="s">
        <v>1260</v>
      </c>
      <c r="K102" s="293" t="s">
        <v>1261</v>
      </c>
      <c r="M102" s="294">
        <f>IF(ISNUMBER(SEARCH(ZAKL_DATA!$B$29,N102)),MAX($M$2:M101)+1,0)</f>
        <v>100</v>
      </c>
      <c r="N102" s="295" t="s">
        <v>1262</v>
      </c>
      <c r="O102" s="296" t="s">
        <v>1263</v>
      </c>
      <c r="Q102" s="297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295" t="s">
        <v>1262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295" t="s">
        <v>1262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295" t="s">
        <v>1262</v>
      </c>
      <c r="Z102" t="str">
        <f>IFERROR(VLOOKUP(ROWS($Z$3:Z102),$X$3:$Y$992,2,0),"")</f>
        <v>Tvůrčí, umělecké a zábavní činnosti</v>
      </c>
    </row>
    <row r="103" spans="1:26" ht="12.75" customHeight="1">
      <c r="A103" s="271"/>
      <c r="B103" s="271"/>
      <c r="C103" s="271"/>
      <c r="D103" s="287">
        <f>IF(ISNUMBER(SEARCH(ZAKL_DATA!$B$14,E103)),MAX($D$2:D102)+1,0)</f>
        <v>101</v>
      </c>
      <c r="E103" s="300" t="s">
        <v>1264</v>
      </c>
      <c r="F103" s="301">
        <v>2609</v>
      </c>
      <c r="G103" s="302"/>
      <c r="H103" s="303" t="str">
        <f>IFERROR(VLOOKUP(ROWS($H$3:H103),$D$3:$E$204,2,0),"")</f>
        <v>TURNOV</v>
      </c>
      <c r="I103" s="271"/>
      <c r="J103" s="305" t="s">
        <v>1265</v>
      </c>
      <c r="K103" s="293" t="s">
        <v>1266</v>
      </c>
      <c r="M103" s="294">
        <f>IF(ISNUMBER(SEARCH(ZAKL_DATA!$B$29,N103)),MAX($M$2:M102)+1,0)</f>
        <v>101</v>
      </c>
      <c r="N103" s="295" t="s">
        <v>1267</v>
      </c>
      <c r="O103" s="296" t="s">
        <v>1268</v>
      </c>
      <c r="Q103" s="297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295" t="s">
        <v>1267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295" t="s">
        <v>1267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295" t="s">
        <v>1267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271"/>
      <c r="B104" s="271"/>
      <c r="C104" s="271"/>
      <c r="D104" s="287">
        <f>IF(ISNUMBER(SEARCH(ZAKL_DATA!$B$14,E104)),MAX($D$2:D103)+1,0)</f>
        <v>102</v>
      </c>
      <c r="E104" s="300" t="s">
        <v>1269</v>
      </c>
      <c r="F104" s="301">
        <v>2610</v>
      </c>
      <c r="G104" s="302"/>
      <c r="H104" s="303" t="str">
        <f>IFERROR(VLOOKUP(ROWS($H$3:H104),$D$3:$E$204,2,0),"")</f>
        <v>ŽELEZNÝ BROD</v>
      </c>
      <c r="I104" s="271"/>
      <c r="J104" s="305" t="s">
        <v>1270</v>
      </c>
      <c r="K104" s="293" t="s">
        <v>1271</v>
      </c>
      <c r="M104" s="294">
        <f>IF(ISNUMBER(SEARCH(ZAKL_DATA!$B$29,N104)),MAX($M$2:M103)+1,0)</f>
        <v>102</v>
      </c>
      <c r="N104" s="295" t="s">
        <v>1272</v>
      </c>
      <c r="O104" s="296" t="s">
        <v>1273</v>
      </c>
      <c r="Q104" s="297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295" t="s">
        <v>1272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295" t="s">
        <v>1272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295" t="s">
        <v>1272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271"/>
      <c r="B105" s="271"/>
      <c r="C105" s="271"/>
      <c r="D105" s="287">
        <f>IF(ISNUMBER(SEARCH(ZAKL_DATA!$B$14,E105)),MAX($D$2:D104)+1,0)</f>
        <v>103</v>
      </c>
      <c r="E105" s="300" t="s">
        <v>1274</v>
      </c>
      <c r="F105" s="301">
        <v>2701</v>
      </c>
      <c r="G105" s="302"/>
      <c r="H105" s="303" t="str">
        <f>IFERROR(VLOOKUP(ROWS($H$3:H105),$D$3:$E$204,2,0),"")</f>
        <v>HRADEC KRÁLOVÉ</v>
      </c>
      <c r="I105" s="271"/>
      <c r="J105" s="305" t="s">
        <v>1275</v>
      </c>
      <c r="K105" s="293" t="s">
        <v>1276</v>
      </c>
      <c r="M105" s="294">
        <f>IF(ISNUMBER(SEARCH(ZAKL_DATA!$B$29,N105)),MAX($M$2:M104)+1,0)</f>
        <v>103</v>
      </c>
      <c r="N105" s="295" t="s">
        <v>1277</v>
      </c>
      <c r="O105" s="296" t="s">
        <v>1278</v>
      </c>
      <c r="Q105" s="297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295" t="s">
        <v>1277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295" t="s">
        <v>1277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295" t="s">
        <v>1277</v>
      </c>
      <c r="Z105" t="str">
        <f>IFERROR(VLOOKUP(ROWS($Z$3:Z105),$X$3:$Y$992,2,0),"")</f>
        <v>Činnosti heren, kasin a sázkových kanceláří</v>
      </c>
    </row>
    <row r="106" spans="1:26" ht="12.75" customHeight="1">
      <c r="A106" s="271"/>
      <c r="B106" s="271"/>
      <c r="C106" s="271"/>
      <c r="D106" s="287">
        <f>IF(ISNUMBER(SEARCH(ZAKL_DATA!$B$14,E106)),MAX($D$2:D105)+1,0)</f>
        <v>104</v>
      </c>
      <c r="E106" s="300" t="s">
        <v>1279</v>
      </c>
      <c r="F106" s="301">
        <v>2702</v>
      </c>
      <c r="G106" s="302"/>
      <c r="H106" s="303" t="str">
        <f>IFERROR(VLOOKUP(ROWS($H$3:H106),$D$3:$E$204,2,0),"")</f>
        <v>BROUMOV</v>
      </c>
      <c r="I106" s="271"/>
      <c r="J106" s="305" t="s">
        <v>1280</v>
      </c>
      <c r="K106" s="293" t="s">
        <v>1281</v>
      </c>
      <c r="M106" s="294">
        <f>IF(ISNUMBER(SEARCH(ZAKL_DATA!$B$29,N106)),MAX($M$2:M105)+1,0)</f>
        <v>104</v>
      </c>
      <c r="N106" s="295" t="s">
        <v>1282</v>
      </c>
      <c r="O106" s="296" t="s">
        <v>1283</v>
      </c>
      <c r="Q106" s="297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295" t="s">
        <v>1282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295" t="s">
        <v>1282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295" t="s">
        <v>1282</v>
      </c>
      <c r="Z106" t="str">
        <f>IFERROR(VLOOKUP(ROWS($Z$3:Z106),$X$3:$Y$992,2,0),"")</f>
        <v>Sportovní, zábavní a rekreační činnosti</v>
      </c>
    </row>
    <row r="107" spans="1:26" ht="12.75" customHeight="1">
      <c r="A107" s="271"/>
      <c r="B107" s="271"/>
      <c r="C107" s="271"/>
      <c r="D107" s="287">
        <f>IF(ISNUMBER(SEARCH(ZAKL_DATA!$B$14,E107)),MAX($D$2:D106)+1,0)</f>
        <v>105</v>
      </c>
      <c r="E107" s="300" t="s">
        <v>1284</v>
      </c>
      <c r="F107" s="301">
        <v>2703</v>
      </c>
      <c r="G107" s="302"/>
      <c r="H107" s="303" t="str">
        <f>IFERROR(VLOOKUP(ROWS($H$3:H107),$D$3:$E$204,2,0),"")</f>
        <v>DOBRUŠKA</v>
      </c>
      <c r="I107" s="271"/>
      <c r="J107" s="305" t="s">
        <v>1285</v>
      </c>
      <c r="K107" s="293" t="s">
        <v>1286</v>
      </c>
      <c r="M107" s="294">
        <f>IF(ISNUMBER(SEARCH(ZAKL_DATA!$B$29,N107)),MAX($M$2:M106)+1,0)</f>
        <v>105</v>
      </c>
      <c r="N107" s="295" t="s">
        <v>1287</v>
      </c>
      <c r="O107" s="296" t="s">
        <v>1288</v>
      </c>
      <c r="Q107" s="297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295" t="s">
        <v>1287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295" t="s">
        <v>1287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295" t="s">
        <v>1287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271"/>
      <c r="B108" s="271"/>
      <c r="C108" s="271"/>
      <c r="D108" s="287">
        <f>IF(ISNUMBER(SEARCH(ZAKL_DATA!$B$14,E108)),MAX($D$2:D107)+1,0)</f>
        <v>106</v>
      </c>
      <c r="E108" s="300" t="s">
        <v>1289</v>
      </c>
      <c r="F108" s="301">
        <v>2704</v>
      </c>
      <c r="G108" s="302"/>
      <c r="H108" s="303" t="str">
        <f>IFERROR(VLOOKUP(ROWS($H$3:H108),$D$3:$E$204,2,0),"")</f>
        <v>DVŮR KRÁLOVÉ</v>
      </c>
      <c r="I108" s="271"/>
      <c r="J108" s="305" t="s">
        <v>1290</v>
      </c>
      <c r="K108" s="293" t="s">
        <v>1291</v>
      </c>
      <c r="M108" s="294">
        <f>IF(ISNUMBER(SEARCH(ZAKL_DATA!$B$29,N108)),MAX($M$2:M107)+1,0)</f>
        <v>106</v>
      </c>
      <c r="N108" s="295" t="s">
        <v>1292</v>
      </c>
      <c r="O108" s="296" t="s">
        <v>1293</v>
      </c>
      <c r="Q108" s="297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295" t="s">
        <v>1292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295" t="s">
        <v>1292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295" t="s">
        <v>1292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271"/>
      <c r="B109" s="271"/>
      <c r="C109" s="271"/>
      <c r="D109" s="287">
        <f>IF(ISNUMBER(SEARCH(ZAKL_DATA!$B$14,E109)),MAX($D$2:D108)+1,0)</f>
        <v>107</v>
      </c>
      <c r="E109" s="300" t="s">
        <v>1294</v>
      </c>
      <c r="F109" s="301">
        <v>2705</v>
      </c>
      <c r="G109" s="302"/>
      <c r="H109" s="303" t="str">
        <f>IFERROR(VLOOKUP(ROWS($H$3:H109),$D$3:$E$204,2,0),"")</f>
        <v>HOŘICE</v>
      </c>
      <c r="I109" s="271"/>
      <c r="J109" s="305" t="s">
        <v>1295</v>
      </c>
      <c r="K109" s="293" t="s">
        <v>1296</v>
      </c>
      <c r="M109" s="294">
        <f>IF(ISNUMBER(SEARCH(ZAKL_DATA!$B$29,N109)),MAX($M$2:M108)+1,0)</f>
        <v>107</v>
      </c>
      <c r="N109" s="295" t="s">
        <v>1297</v>
      </c>
      <c r="O109" s="296" t="s">
        <v>1298</v>
      </c>
      <c r="Q109" s="297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295" t="s">
        <v>1297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295" t="s">
        <v>1297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295" t="s">
        <v>1297</v>
      </c>
      <c r="Z109" t="str">
        <f>IFERROR(VLOOKUP(ROWS($Z$3:Z109),$X$3:$Y$992,2,0),"")</f>
        <v>Poskytování ostatních osobních služeb</v>
      </c>
    </row>
    <row r="110" spans="1:26" ht="12.75" customHeight="1">
      <c r="A110" s="271"/>
      <c r="B110" s="271"/>
      <c r="C110" s="271"/>
      <c r="D110" s="287">
        <f>IF(ISNUMBER(SEARCH(ZAKL_DATA!$B$14,E110)),MAX($D$2:D109)+1,0)</f>
        <v>108</v>
      </c>
      <c r="E110" s="300" t="s">
        <v>1299</v>
      </c>
      <c r="F110" s="301">
        <v>2706</v>
      </c>
      <c r="G110" s="302"/>
      <c r="H110" s="303" t="str">
        <f>IFERROR(VLOOKUP(ROWS($H$3:H110),$D$3:$E$204,2,0),"")</f>
        <v>JAROMĚŘ</v>
      </c>
      <c r="I110" s="271"/>
      <c r="J110" s="305" t="s">
        <v>1300</v>
      </c>
      <c r="K110" s="293" t="s">
        <v>1301</v>
      </c>
      <c r="M110" s="294">
        <f>IF(ISNUMBER(SEARCH(ZAKL_DATA!$B$29,N110)),MAX($M$2:M109)+1,0)</f>
        <v>108</v>
      </c>
      <c r="N110" s="295" t="s">
        <v>1302</v>
      </c>
      <c r="O110" s="296" t="s">
        <v>1303</v>
      </c>
      <c r="Q110" s="297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295" t="s">
        <v>1302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295" t="s">
        <v>1302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295" t="s">
        <v>1302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271"/>
      <c r="B111" s="271"/>
      <c r="C111" s="271"/>
      <c r="D111" s="287">
        <f>IF(ISNUMBER(SEARCH(ZAKL_DATA!$B$14,E111)),MAX($D$2:D110)+1,0)</f>
        <v>109</v>
      </c>
      <c r="E111" s="300" t="s">
        <v>1304</v>
      </c>
      <c r="F111" s="301">
        <v>2707</v>
      </c>
      <c r="G111" s="302"/>
      <c r="H111" s="303" t="str">
        <f>IFERROR(VLOOKUP(ROWS($H$3:H111),$D$3:$E$204,2,0),"")</f>
        <v>JIČÍN</v>
      </c>
      <c r="I111" s="271"/>
      <c r="J111" s="305" t="s">
        <v>1305</v>
      </c>
      <c r="K111" s="293" t="s">
        <v>1306</v>
      </c>
      <c r="M111" s="294">
        <f>IF(ISNUMBER(SEARCH(ZAKL_DATA!$B$29,N111)),MAX($M$2:M110)+1,0)</f>
        <v>109</v>
      </c>
      <c r="N111" s="295" t="s">
        <v>1307</v>
      </c>
      <c r="O111" s="296" t="s">
        <v>1308</v>
      </c>
      <c r="Q111" s="297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295" t="s">
        <v>1307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295" t="s">
        <v>1307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295" t="s">
        <v>1307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271"/>
      <c r="B112" s="271"/>
      <c r="C112" s="271"/>
      <c r="D112" s="287">
        <f>IF(ISNUMBER(SEARCH(ZAKL_DATA!$B$14,E112)),MAX($D$2:D111)+1,0)</f>
        <v>110</v>
      </c>
      <c r="E112" s="300" t="s">
        <v>1309</v>
      </c>
      <c r="F112" s="301">
        <v>2708</v>
      </c>
      <c r="G112" s="302"/>
      <c r="H112" s="303" t="str">
        <f>IFERROR(VLOOKUP(ROWS($H$3:H112),$D$3:$E$204,2,0),"")</f>
        <v>KOSTELEC NAD ORLICÍ</v>
      </c>
      <c r="I112" s="271"/>
      <c r="J112" s="305" t="s">
        <v>1310</v>
      </c>
      <c r="K112" s="293" t="s">
        <v>1311</v>
      </c>
      <c r="M112" s="294">
        <f>IF(ISNUMBER(SEARCH(ZAKL_DATA!$B$29,N112)),MAX($M$2:M111)+1,0)</f>
        <v>110</v>
      </c>
      <c r="N112" s="295" t="s">
        <v>1312</v>
      </c>
      <c r="O112" s="296" t="s">
        <v>1313</v>
      </c>
      <c r="Q112" s="297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295" t="s">
        <v>1312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295" t="s">
        <v>1312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295" t="s">
        <v>1312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271"/>
      <c r="B113" s="271"/>
      <c r="C113" s="271"/>
      <c r="D113" s="287">
        <f>IF(ISNUMBER(SEARCH(ZAKL_DATA!$B$14,E113)),MAX($D$2:D112)+1,0)</f>
        <v>111</v>
      </c>
      <c r="E113" s="300" t="s">
        <v>1314</v>
      </c>
      <c r="F113" s="301">
        <v>2709</v>
      </c>
      <c r="G113" s="302"/>
      <c r="H113" s="303" t="str">
        <f>IFERROR(VLOOKUP(ROWS($H$3:H113),$D$3:$E$204,2,0),"")</f>
        <v>NÁCHOD</v>
      </c>
      <c r="I113" s="271"/>
      <c r="J113" s="305" t="s">
        <v>1315</v>
      </c>
      <c r="K113" s="293" t="s">
        <v>1316</v>
      </c>
      <c r="M113" s="294">
        <f>IF(ISNUMBER(SEARCH(ZAKL_DATA!$B$29,N113)),MAX($M$2:M112)+1,0)</f>
        <v>111</v>
      </c>
      <c r="N113" s="295" t="s">
        <v>1317</v>
      </c>
      <c r="O113" s="296" t="s">
        <v>1318</v>
      </c>
      <c r="Q113" s="297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295" t="s">
        <v>1317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295" t="s">
        <v>1317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295" t="s">
        <v>1317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271"/>
      <c r="B114" s="271"/>
      <c r="C114" s="271"/>
      <c r="D114" s="287">
        <f>IF(ISNUMBER(SEARCH(ZAKL_DATA!$B$14,E114)),MAX($D$2:D113)+1,0)</f>
        <v>112</v>
      </c>
      <c r="E114" s="300" t="s">
        <v>1319</v>
      </c>
      <c r="F114" s="301">
        <v>2710</v>
      </c>
      <c r="G114" s="302"/>
      <c r="H114" s="303" t="str">
        <f>IFERROR(VLOOKUP(ROWS($H$3:H114),$D$3:$E$204,2,0),"")</f>
        <v>NOVÁ PAKA</v>
      </c>
      <c r="I114" s="271"/>
      <c r="J114" s="305" t="s">
        <v>1320</v>
      </c>
      <c r="K114" s="293" t="s">
        <v>1321</v>
      </c>
      <c r="M114" s="294">
        <f>IF(ISNUMBER(SEARCH(ZAKL_DATA!$B$29,N114)),MAX($M$2:M113)+1,0)</f>
        <v>112</v>
      </c>
      <c r="N114" s="295" t="s">
        <v>1322</v>
      </c>
      <c r="O114" s="296" t="s">
        <v>1323</v>
      </c>
      <c r="Q114" s="297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295" t="s">
        <v>1322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295" t="s">
        <v>1322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295" t="s">
        <v>1322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271"/>
      <c r="B115" s="271"/>
      <c r="C115" s="271"/>
      <c r="D115" s="287">
        <f>IF(ISNUMBER(SEARCH(ZAKL_DATA!$B$14,E115)),MAX($D$2:D114)+1,0)</f>
        <v>113</v>
      </c>
      <c r="E115" s="300" t="s">
        <v>1324</v>
      </c>
      <c r="F115" s="301">
        <v>2711</v>
      </c>
      <c r="G115" s="302"/>
      <c r="H115" s="303" t="str">
        <f>IFERROR(VLOOKUP(ROWS($H$3:H115),$D$3:$E$204,2,0),"")</f>
        <v>NOVÝ BYDŽOV</v>
      </c>
      <c r="I115" s="271"/>
      <c r="J115" s="305" t="s">
        <v>1325</v>
      </c>
      <c r="K115" s="293" t="s">
        <v>1326</v>
      </c>
      <c r="M115" s="294">
        <f>IF(ISNUMBER(SEARCH(ZAKL_DATA!$B$29,N115)),MAX($M$2:M114)+1,0)</f>
        <v>113</v>
      </c>
      <c r="N115" s="295" t="s">
        <v>1327</v>
      </c>
      <c r="O115" s="296" t="s">
        <v>1328</v>
      </c>
      <c r="Q115" s="297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295" t="s">
        <v>1327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295" t="s">
        <v>1327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295" t="s">
        <v>1327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271"/>
      <c r="B116" s="271"/>
      <c r="C116" s="271"/>
      <c r="D116" s="287">
        <f>IF(ISNUMBER(SEARCH(ZAKL_DATA!$B$14,E116)),MAX($D$2:D115)+1,0)</f>
        <v>114</v>
      </c>
      <c r="E116" s="300" t="s">
        <v>1329</v>
      </c>
      <c r="F116" s="301">
        <v>2712</v>
      </c>
      <c r="G116" s="302"/>
      <c r="H116" s="303" t="str">
        <f>IFERROR(VLOOKUP(ROWS($H$3:H116),$D$3:$E$204,2,0),"")</f>
        <v>RYCHNOV NAD KNĚŽ.</v>
      </c>
      <c r="I116" s="271"/>
      <c r="J116" s="305" t="s">
        <v>1330</v>
      </c>
      <c r="K116" s="293" t="s">
        <v>1331</v>
      </c>
      <c r="M116" s="294">
        <f>IF(ISNUMBER(SEARCH(ZAKL_DATA!$B$29,N116)),MAX($M$2:M115)+1,0)</f>
        <v>114</v>
      </c>
      <c r="N116" s="295" t="s">
        <v>1332</v>
      </c>
      <c r="O116" s="296" t="s">
        <v>1333</v>
      </c>
      <c r="Q116" s="297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295" t="s">
        <v>1332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295" t="s">
        <v>1332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295" t="s">
        <v>1332</v>
      </c>
      <c r="Z116" t="str">
        <f>IFERROR(VLOOKUP(ROWS($Z$3:Z116),$X$3:$Y$992,2,0),"")</f>
        <v>Zpracování a konzervování ovoce a zeleniny</v>
      </c>
    </row>
    <row r="117" spans="1:26" ht="12.75" customHeight="1">
      <c r="A117" s="271"/>
      <c r="B117" s="271"/>
      <c r="C117" s="271"/>
      <c r="D117" s="287">
        <f>IF(ISNUMBER(SEARCH(ZAKL_DATA!$B$14,E117)),MAX($D$2:D116)+1,0)</f>
        <v>115</v>
      </c>
      <c r="E117" s="300" t="s">
        <v>1334</v>
      </c>
      <c r="F117" s="301">
        <v>2713</v>
      </c>
      <c r="G117" s="302"/>
      <c r="H117" s="303" t="str">
        <f>IFERROR(VLOOKUP(ROWS($H$3:H117),$D$3:$E$204,2,0),"")</f>
        <v>TRUTNOV</v>
      </c>
      <c r="I117" s="271"/>
      <c r="J117" s="305" t="s">
        <v>1335</v>
      </c>
      <c r="K117" s="293" t="s">
        <v>1336</v>
      </c>
      <c r="M117" s="294">
        <f>IF(ISNUMBER(SEARCH(ZAKL_DATA!$B$29,N117)),MAX($M$2:M116)+1,0)</f>
        <v>115</v>
      </c>
      <c r="N117" s="295" t="s">
        <v>1337</v>
      </c>
      <c r="O117" s="296" t="s">
        <v>1338</v>
      </c>
      <c r="Q117" s="297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295" t="s">
        <v>1337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295" t="s">
        <v>1337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295" t="s">
        <v>1337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271"/>
      <c r="B118" s="271"/>
      <c r="C118" s="271"/>
      <c r="D118" s="287">
        <f>IF(ISNUMBER(SEARCH(ZAKL_DATA!$B$14,E118)),MAX($D$2:D117)+1,0)</f>
        <v>116</v>
      </c>
      <c r="E118" s="300" t="s">
        <v>1339</v>
      </c>
      <c r="F118" s="301">
        <v>2714</v>
      </c>
      <c r="G118" s="302"/>
      <c r="H118" s="303" t="str">
        <f>IFERROR(VLOOKUP(ROWS($H$3:H118),$D$3:$E$204,2,0),"")</f>
        <v>VRCHLABÍ</v>
      </c>
      <c r="I118" s="271"/>
      <c r="J118" s="305" t="s">
        <v>1340</v>
      </c>
      <c r="K118" s="293" t="s">
        <v>1341</v>
      </c>
      <c r="M118" s="294">
        <f>IF(ISNUMBER(SEARCH(ZAKL_DATA!$B$29,N118)),MAX($M$2:M117)+1,0)</f>
        <v>116</v>
      </c>
      <c r="N118" s="295" t="s">
        <v>1342</v>
      </c>
      <c r="O118" s="296" t="s">
        <v>1343</v>
      </c>
      <c r="Q118" s="297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295" t="s">
        <v>1342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295" t="s">
        <v>1342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295" t="s">
        <v>1342</v>
      </c>
      <c r="Z118" t="str">
        <f>IFERROR(VLOOKUP(ROWS($Z$3:Z118),$X$3:$Y$992,2,0),"")</f>
        <v>Výroba mléčných výrobků</v>
      </c>
    </row>
    <row r="119" spans="1:26" ht="12.75" customHeight="1">
      <c r="A119" s="271"/>
      <c r="B119" s="271"/>
      <c r="C119" s="271"/>
      <c r="D119" s="287">
        <f>IF(ISNUMBER(SEARCH(ZAKL_DATA!$B$14,E119)),MAX($D$2:D118)+1,0)</f>
        <v>117</v>
      </c>
      <c r="E119" s="300" t="s">
        <v>1344</v>
      </c>
      <c r="F119" s="301">
        <v>2801</v>
      </c>
      <c r="G119" s="302"/>
      <c r="H119" s="303" t="str">
        <f>IFERROR(VLOOKUP(ROWS($H$3:H119),$D$3:$E$204,2,0),"")</f>
        <v>PARDUBICE</v>
      </c>
      <c r="I119" s="271"/>
      <c r="J119" s="305" t="s">
        <v>1345</v>
      </c>
      <c r="K119" s="293" t="s">
        <v>1346</v>
      </c>
      <c r="M119" s="294">
        <f>IF(ISNUMBER(SEARCH(ZAKL_DATA!$B$29,N119)),MAX($M$2:M118)+1,0)</f>
        <v>117</v>
      </c>
      <c r="N119" s="295" t="s">
        <v>1347</v>
      </c>
      <c r="O119" s="296" t="s">
        <v>1348</v>
      </c>
      <c r="Q119" s="297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295" t="s">
        <v>1347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295" t="s">
        <v>1347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295" t="s">
        <v>1347</v>
      </c>
      <c r="Z119" t="str">
        <f>IFERROR(VLOOKUP(ROWS($Z$3:Z119),$X$3:$Y$992,2,0),"")</f>
        <v>Výroba mlýnských a škrobárenských výrobků</v>
      </c>
    </row>
    <row r="120" spans="1:26" ht="12.75" customHeight="1">
      <c r="A120" s="271"/>
      <c r="B120" s="271"/>
      <c r="C120" s="271"/>
      <c r="D120" s="287">
        <f>IF(ISNUMBER(SEARCH(ZAKL_DATA!$B$14,E120)),MAX($D$2:D119)+1,0)</f>
        <v>118</v>
      </c>
      <c r="E120" s="300" t="s">
        <v>1349</v>
      </c>
      <c r="F120" s="301">
        <v>2802</v>
      </c>
      <c r="G120" s="302"/>
      <c r="H120" s="303" t="str">
        <f>IFERROR(VLOOKUP(ROWS($H$3:H120),$D$3:$E$204,2,0),"")</f>
        <v>HLINSKO</v>
      </c>
      <c r="I120" s="271"/>
      <c r="J120" s="305" t="s">
        <v>1350</v>
      </c>
      <c r="K120" s="293" t="s">
        <v>1351</v>
      </c>
      <c r="M120" s="294">
        <f>IF(ISNUMBER(SEARCH(ZAKL_DATA!$B$29,N120)),MAX($M$2:M119)+1,0)</f>
        <v>118</v>
      </c>
      <c r="N120" s="295" t="s">
        <v>1352</v>
      </c>
      <c r="O120" s="296" t="s">
        <v>1353</v>
      </c>
      <c r="Q120" s="297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295" t="s">
        <v>1352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295" t="s">
        <v>1352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295" t="s">
        <v>1352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271"/>
      <c r="B121" s="271"/>
      <c r="C121" s="271"/>
      <c r="D121" s="287">
        <f>IF(ISNUMBER(SEARCH(ZAKL_DATA!$B$14,E121)),MAX($D$2:D120)+1,0)</f>
        <v>119</v>
      </c>
      <c r="E121" s="300" t="s">
        <v>1354</v>
      </c>
      <c r="F121" s="301">
        <v>2803</v>
      </c>
      <c r="G121" s="302"/>
      <c r="H121" s="303" t="str">
        <f>IFERROR(VLOOKUP(ROWS($H$3:H121),$D$3:$E$204,2,0),"")</f>
        <v>HOLICE</v>
      </c>
      <c r="I121" s="271"/>
      <c r="J121" s="305" t="s">
        <v>1355</v>
      </c>
      <c r="K121" s="293" t="s">
        <v>1356</v>
      </c>
      <c r="M121" s="294">
        <f>IF(ISNUMBER(SEARCH(ZAKL_DATA!$B$29,N121)),MAX($M$2:M120)+1,0)</f>
        <v>119</v>
      </c>
      <c r="N121" s="295" t="s">
        <v>1357</v>
      </c>
      <c r="O121" s="296" t="s">
        <v>1358</v>
      </c>
      <c r="Q121" s="297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295" t="s">
        <v>1357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295" t="s">
        <v>1357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295" t="s">
        <v>1357</v>
      </c>
      <c r="Z121" t="str">
        <f>IFERROR(VLOOKUP(ROWS($Z$3:Z121),$X$3:$Y$992,2,0),"")</f>
        <v>Výroba ostatních potravinářských výrobků</v>
      </c>
    </row>
    <row r="122" spans="1:26" ht="12.75" customHeight="1">
      <c r="A122" s="271"/>
      <c r="B122" s="271"/>
      <c r="C122" s="271"/>
      <c r="D122" s="287">
        <f>IF(ISNUMBER(SEARCH(ZAKL_DATA!$B$14,E122)),MAX($D$2:D121)+1,0)</f>
        <v>120</v>
      </c>
      <c r="E122" s="300" t="s">
        <v>1359</v>
      </c>
      <c r="F122" s="301">
        <v>2804</v>
      </c>
      <c r="G122" s="302"/>
      <c r="H122" s="303" t="str">
        <f>IFERROR(VLOOKUP(ROWS($H$3:H122),$D$3:$E$204,2,0),"")</f>
        <v>CHRUDIM</v>
      </c>
      <c r="I122" s="271"/>
      <c r="J122" s="305" t="s">
        <v>1360</v>
      </c>
      <c r="K122" s="293" t="s">
        <v>1361</v>
      </c>
      <c r="M122" s="294">
        <f>IF(ISNUMBER(SEARCH(ZAKL_DATA!$B$29,N122)),MAX($M$2:M121)+1,0)</f>
        <v>120</v>
      </c>
      <c r="N122" s="295" t="s">
        <v>1362</v>
      </c>
      <c r="O122" s="296" t="s">
        <v>1363</v>
      </c>
      <c r="Q122" s="297" t="str">
        <f>IFERROR(VLOOKUP(ROWS($Q$3:Q122),$M$3:$N$992,2,0),"")</f>
        <v>Výroba průmyslových krmiv</v>
      </c>
      <c r="R122">
        <f>IF(ISNUMBER(SEARCH('1Př1'!$A$32,N122)),MAX($M$2:M121)+1,0)</f>
        <v>120</v>
      </c>
      <c r="S122" s="295" t="s">
        <v>1362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295" t="s">
        <v>1362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295" t="s">
        <v>1362</v>
      </c>
      <c r="Z122" t="str">
        <f>IFERROR(VLOOKUP(ROWS($Z$3:Z122),$X$3:$Y$992,2,0),"")</f>
        <v>Výroba průmyslových krmiv</v>
      </c>
    </row>
    <row r="123" spans="1:26" ht="12.75" customHeight="1">
      <c r="A123" s="271"/>
      <c r="B123" s="271"/>
      <c r="C123" s="271"/>
      <c r="D123" s="287">
        <f>IF(ISNUMBER(SEARCH(ZAKL_DATA!$B$14,E123)),MAX($D$2:D122)+1,0)</f>
        <v>121</v>
      </c>
      <c r="E123" s="300" t="s">
        <v>1364</v>
      </c>
      <c r="F123" s="301">
        <v>2805</v>
      </c>
      <c r="G123" s="302"/>
      <c r="H123" s="303" t="str">
        <f>IFERROR(VLOOKUP(ROWS($H$3:H123),$D$3:$E$204,2,0),"")</f>
        <v>LITOMYŠL</v>
      </c>
      <c r="I123" s="271"/>
      <c r="J123" s="305" t="s">
        <v>1365</v>
      </c>
      <c r="K123" s="293" t="s">
        <v>1366</v>
      </c>
      <c r="M123" s="294">
        <f>IF(ISNUMBER(SEARCH(ZAKL_DATA!$B$29,N123)),MAX($M$2:M122)+1,0)</f>
        <v>121</v>
      </c>
      <c r="N123" s="295" t="s">
        <v>1367</v>
      </c>
      <c r="O123" s="310" t="s">
        <v>1368</v>
      </c>
      <c r="Q123" s="297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295" t="s">
        <v>1367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295" t="s">
        <v>1367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295" t="s">
        <v>1367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271"/>
      <c r="B124" s="271"/>
      <c r="C124" s="271"/>
      <c r="D124" s="287">
        <f>IF(ISNUMBER(SEARCH(ZAKL_DATA!$B$14,E124)),MAX($D$2:D123)+1,0)</f>
        <v>122</v>
      </c>
      <c r="E124" s="300" t="s">
        <v>1369</v>
      </c>
      <c r="F124" s="301">
        <v>2806</v>
      </c>
      <c r="G124" s="302"/>
      <c r="H124" s="303" t="str">
        <f>IFERROR(VLOOKUP(ROWS($H$3:H124),$D$3:$E$204,2,0),"")</f>
        <v>MORAVSKÁ TŘEBOVÁ</v>
      </c>
      <c r="I124" s="271"/>
      <c r="J124" s="311" t="s">
        <v>1370</v>
      </c>
      <c r="K124" s="312" t="s">
        <v>1371</v>
      </c>
      <c r="M124" s="294">
        <f>IF(ISNUMBER(SEARCH(ZAKL_DATA!$B$29,N124)),MAX($M$2:M123)+1,0)</f>
        <v>122</v>
      </c>
      <c r="N124" s="295" t="s">
        <v>1372</v>
      </c>
      <c r="O124" s="310" t="s">
        <v>1373</v>
      </c>
      <c r="Q124" s="297" t="str">
        <f>IFERROR(VLOOKUP(ROWS($Q$3:Q124),$M$3:$N$992,2,0),"")</f>
        <v>Pěstování rýže</v>
      </c>
      <c r="R124">
        <f>IF(ISNUMBER(SEARCH('1Př1'!$A$32,N124)),MAX($M$2:M123)+1,0)</f>
        <v>122</v>
      </c>
      <c r="S124" s="295" t="s">
        <v>1372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295" t="s">
        <v>1372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295" t="s">
        <v>1372</v>
      </c>
      <c r="Z124" t="str">
        <f>IFERROR(VLOOKUP(ROWS($Z$3:Z124),$X$3:$Y$992,2,0),"")</f>
        <v>Pěstování rýže</v>
      </c>
    </row>
    <row r="125" spans="1:26" ht="12.75" customHeight="1">
      <c r="A125" s="271"/>
      <c r="B125" s="271"/>
      <c r="C125" s="271"/>
      <c r="D125" s="287">
        <f>IF(ISNUMBER(SEARCH(ZAKL_DATA!$B$14,E125)),MAX($D$2:D124)+1,0)</f>
        <v>123</v>
      </c>
      <c r="E125" s="300" t="s">
        <v>1374</v>
      </c>
      <c r="F125" s="301">
        <v>2807</v>
      </c>
      <c r="G125" s="302"/>
      <c r="H125" s="303" t="str">
        <f>IFERROR(VLOOKUP(ROWS($H$3:H125),$D$3:$E$204,2,0),"")</f>
        <v>PŘELOUČ</v>
      </c>
      <c r="I125" s="271"/>
      <c r="J125" s="305" t="s">
        <v>1375</v>
      </c>
      <c r="K125" s="293" t="s">
        <v>1376</v>
      </c>
      <c r="M125" s="294">
        <f>IF(ISNUMBER(SEARCH(ZAKL_DATA!$B$29,N125)),MAX($M$2:M124)+1,0)</f>
        <v>123</v>
      </c>
      <c r="N125" s="295" t="s">
        <v>1377</v>
      </c>
      <c r="O125" s="310" t="s">
        <v>1378</v>
      </c>
      <c r="Q125" s="297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295" t="s">
        <v>1377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295" t="s">
        <v>1377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295" t="s">
        <v>1377</v>
      </c>
      <c r="Z125" t="str">
        <f>IFERROR(VLOOKUP(ROWS($Z$3:Z125),$X$3:$Y$992,2,0),"")</f>
        <v>Pěstování zeleniny a melounů, kořenů a hlíz</v>
      </c>
    </row>
    <row r="126" spans="1:26" ht="12.75" customHeight="1">
      <c r="A126" s="271"/>
      <c r="B126" s="271"/>
      <c r="C126" s="271"/>
      <c r="D126" s="287">
        <f>IF(ISNUMBER(SEARCH(ZAKL_DATA!$B$14,E126)),MAX($D$2:D125)+1,0)</f>
        <v>124</v>
      </c>
      <c r="E126" s="300" t="s">
        <v>1379</v>
      </c>
      <c r="F126" s="301">
        <v>2808</v>
      </c>
      <c r="G126" s="302"/>
      <c r="H126" s="303" t="str">
        <f>IFERROR(VLOOKUP(ROWS($H$3:H126),$D$3:$E$204,2,0),"")</f>
        <v>SVITAVY</v>
      </c>
      <c r="I126" s="271"/>
      <c r="J126" s="305" t="s">
        <v>1380</v>
      </c>
      <c r="K126" s="293" t="s">
        <v>1381</v>
      </c>
      <c r="M126" s="294">
        <f>IF(ISNUMBER(SEARCH(ZAKL_DATA!$B$29,N126)),MAX($M$2:M125)+1,0)</f>
        <v>124</v>
      </c>
      <c r="N126" s="295" t="s">
        <v>1382</v>
      </c>
      <c r="O126" s="310" t="s">
        <v>1383</v>
      </c>
      <c r="Q126" s="297" t="str">
        <f>IFERROR(VLOOKUP(ROWS($Q$3:Q126),$M$3:$N$992,2,0),"")</f>
        <v>Pěstování tabáku</v>
      </c>
      <c r="R126">
        <f>IF(ISNUMBER(SEARCH('1Př1'!$A$32,N126)),MAX($M$2:M125)+1,0)</f>
        <v>124</v>
      </c>
      <c r="S126" s="295" t="s">
        <v>1382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295" t="s">
        <v>1382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295" t="s">
        <v>1382</v>
      </c>
      <c r="Z126" t="str">
        <f>IFERROR(VLOOKUP(ROWS($Z$3:Z126),$X$3:$Y$992,2,0),"")</f>
        <v>Pěstování tabáku</v>
      </c>
    </row>
    <row r="127" spans="1:26" ht="12.75" customHeight="1">
      <c r="A127" s="271"/>
      <c r="B127" s="271"/>
      <c r="C127" s="271"/>
      <c r="D127" s="287">
        <f>IF(ISNUMBER(SEARCH(ZAKL_DATA!$B$14,E127)),MAX($D$2:D126)+1,0)</f>
        <v>125</v>
      </c>
      <c r="E127" s="300" t="s">
        <v>1384</v>
      </c>
      <c r="F127" s="301">
        <v>2809</v>
      </c>
      <c r="G127" s="302"/>
      <c r="H127" s="303" t="str">
        <f>IFERROR(VLOOKUP(ROWS($H$3:H127),$D$3:$E$204,2,0),"")</f>
        <v>ÚSTÍ NAD ORLICÍ</v>
      </c>
      <c r="I127" s="271"/>
      <c r="J127" s="305" t="s">
        <v>1385</v>
      </c>
      <c r="K127" s="293" t="s">
        <v>1386</v>
      </c>
      <c r="M127" s="294">
        <f>IF(ISNUMBER(SEARCH(ZAKL_DATA!$B$29,N127)),MAX($M$2:M126)+1,0)</f>
        <v>125</v>
      </c>
      <c r="N127" s="295" t="s">
        <v>1387</v>
      </c>
      <c r="O127" s="310" t="s">
        <v>1388</v>
      </c>
      <c r="Q127" s="297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295" t="s">
        <v>1387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295" t="s">
        <v>1387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295" t="s">
        <v>1387</v>
      </c>
      <c r="Z127" t="str">
        <f>IFERROR(VLOOKUP(ROWS($Z$3:Z127),$X$3:$Y$992,2,0),"")</f>
        <v>Pěstování přadných rostlin</v>
      </c>
    </row>
    <row r="128" spans="1:26" ht="12.75" customHeight="1">
      <c r="A128" s="271"/>
      <c r="B128" s="271"/>
      <c r="C128" s="271"/>
      <c r="D128" s="287">
        <f>IF(ISNUMBER(SEARCH(ZAKL_DATA!$B$14,E128)),MAX($D$2:D127)+1,0)</f>
        <v>126</v>
      </c>
      <c r="E128" s="300" t="s">
        <v>1389</v>
      </c>
      <c r="F128" s="301">
        <v>2810</v>
      </c>
      <c r="G128" s="302"/>
      <c r="H128" s="303" t="str">
        <f>IFERROR(VLOOKUP(ROWS($H$3:H128),$D$3:$E$204,2,0),"")</f>
        <v>VYSOKÉ MÝTO</v>
      </c>
      <c r="I128" s="271"/>
      <c r="J128" s="305" t="s">
        <v>1390</v>
      </c>
      <c r="K128" s="293" t="s">
        <v>1391</v>
      </c>
      <c r="M128" s="294">
        <f>IF(ISNUMBER(SEARCH(ZAKL_DATA!$B$29,N128)),MAX($M$2:M127)+1,0)</f>
        <v>126</v>
      </c>
      <c r="N128" s="295" t="s">
        <v>1392</v>
      </c>
      <c r="O128" s="310" t="s">
        <v>1393</v>
      </c>
      <c r="Q128" s="297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295" t="s">
        <v>1392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295" t="s">
        <v>1392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295" t="s">
        <v>1392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271"/>
      <c r="B129" s="271"/>
      <c r="C129" s="271"/>
      <c r="D129" s="287">
        <f>IF(ISNUMBER(SEARCH(ZAKL_DATA!$B$14,E129)),MAX($D$2:D128)+1,0)</f>
        <v>127</v>
      </c>
      <c r="E129" s="300" t="s">
        <v>1394</v>
      </c>
      <c r="F129" s="301">
        <v>2811</v>
      </c>
      <c r="G129" s="302"/>
      <c r="H129" s="303" t="str">
        <f>IFERROR(VLOOKUP(ROWS($H$3:H129),$D$3:$E$204,2,0),"")</f>
        <v>ŽAMBERK</v>
      </c>
      <c r="I129" s="271"/>
      <c r="J129" s="305" t="s">
        <v>1395</v>
      </c>
      <c r="K129" s="293" t="s">
        <v>1396</v>
      </c>
      <c r="M129" s="294">
        <f>IF(ISNUMBER(SEARCH(ZAKL_DATA!$B$29,N129)),MAX($M$2:M128)+1,0)</f>
        <v>127</v>
      </c>
      <c r="N129" s="295" t="s">
        <v>1397</v>
      </c>
      <c r="O129" s="310" t="s">
        <v>1398</v>
      </c>
      <c r="Q129" s="297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295" t="s">
        <v>1397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295" t="s">
        <v>1397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295" t="s">
        <v>1397</v>
      </c>
      <c r="Z129" t="str">
        <f>IFERROR(VLOOKUP(ROWS($Z$3:Z129),$X$3:$Y$992,2,0),"")</f>
        <v>Pěstování vinných hroznů</v>
      </c>
    </row>
    <row r="130" spans="1:26" ht="12.75" customHeight="1">
      <c r="A130" s="271"/>
      <c r="B130" s="271"/>
      <c r="C130" s="271"/>
      <c r="D130" s="287">
        <f>IF(ISNUMBER(SEARCH(ZAKL_DATA!$B$14,E130)),MAX($D$2:D129)+1,0)</f>
        <v>128</v>
      </c>
      <c r="E130" s="300" t="s">
        <v>1399</v>
      </c>
      <c r="F130" s="301">
        <v>2901</v>
      </c>
      <c r="G130" s="302"/>
      <c r="H130" s="303" t="str">
        <f>IFERROR(VLOOKUP(ROWS($H$3:H130),$D$3:$E$204,2,0),"")</f>
        <v>JIHLAVA</v>
      </c>
      <c r="I130" s="271"/>
      <c r="J130" s="305" t="s">
        <v>1400</v>
      </c>
      <c r="K130" s="293" t="s">
        <v>1401</v>
      </c>
      <c r="M130" s="294">
        <f>IF(ISNUMBER(SEARCH(ZAKL_DATA!$B$29,N130)),MAX($M$2:M129)+1,0)</f>
        <v>128</v>
      </c>
      <c r="N130" s="295" t="s">
        <v>1402</v>
      </c>
      <c r="O130" s="310" t="s">
        <v>1403</v>
      </c>
      <c r="Q130" s="297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295" t="s">
        <v>1402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295" t="s">
        <v>1402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295" t="s">
        <v>1402</v>
      </c>
      <c r="Z130" t="str">
        <f>IFERROR(VLOOKUP(ROWS($Z$3:Z130),$X$3:$Y$992,2,0),"")</f>
        <v>Pěstování tropického a subtropického ovoce</v>
      </c>
    </row>
    <row r="131" spans="1:26" ht="12.75" customHeight="1">
      <c r="A131" s="271"/>
      <c r="B131" s="271"/>
      <c r="C131" s="271"/>
      <c r="D131" s="287">
        <f>IF(ISNUMBER(SEARCH(ZAKL_DATA!$B$14,E131)),MAX($D$2:D130)+1,0)</f>
        <v>129</v>
      </c>
      <c r="E131" s="300" t="s">
        <v>1404</v>
      </c>
      <c r="F131" s="301">
        <v>2902</v>
      </c>
      <c r="G131" s="302"/>
      <c r="H131" s="303" t="str">
        <f>IFERROR(VLOOKUP(ROWS($H$3:H131),$D$3:$E$204,2,0),"")</f>
        <v>BYSTŘICE NAD PERN.</v>
      </c>
      <c r="I131" s="271"/>
      <c r="J131" s="305" t="s">
        <v>1405</v>
      </c>
      <c r="K131" s="293" t="s">
        <v>1406</v>
      </c>
      <c r="M131" s="294">
        <f>IF(ISNUMBER(SEARCH(ZAKL_DATA!$B$29,N131)),MAX($M$2:M130)+1,0)</f>
        <v>129</v>
      </c>
      <c r="N131" s="295" t="s">
        <v>1407</v>
      </c>
      <c r="O131" s="310" t="s">
        <v>1408</v>
      </c>
      <c r="Q131" s="297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295" t="s">
        <v>1407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295" t="s">
        <v>1407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295" t="s">
        <v>1407</v>
      </c>
      <c r="Z131" t="str">
        <f>IFERROR(VLOOKUP(ROWS($Z$3:Z131),$X$3:$Y$992,2,0),"")</f>
        <v>Pěstování citrusových plodů</v>
      </c>
    </row>
    <row r="132" spans="1:26" ht="12.75" customHeight="1">
      <c r="A132" s="271"/>
      <c r="B132" s="271"/>
      <c r="C132" s="271"/>
      <c r="D132" s="287">
        <f>IF(ISNUMBER(SEARCH(ZAKL_DATA!$B$14,E132)),MAX($D$2:D131)+1,0)</f>
        <v>130</v>
      </c>
      <c r="E132" s="300" t="s">
        <v>1409</v>
      </c>
      <c r="F132" s="301">
        <v>2903</v>
      </c>
      <c r="G132" s="302"/>
      <c r="H132" s="303" t="str">
        <f>IFERROR(VLOOKUP(ROWS($H$3:H132),$D$3:$E$204,2,0),"")</f>
        <v>HAVLÍČKŮV BROD</v>
      </c>
      <c r="I132" s="271"/>
      <c r="J132" s="305" t="s">
        <v>1410</v>
      </c>
      <c r="K132" s="293" t="s">
        <v>1411</v>
      </c>
      <c r="M132" s="294">
        <f>IF(ISNUMBER(SEARCH(ZAKL_DATA!$B$29,N132)),MAX($M$2:M131)+1,0)</f>
        <v>130</v>
      </c>
      <c r="N132" s="295" t="s">
        <v>1412</v>
      </c>
      <c r="O132" s="310" t="s">
        <v>1413</v>
      </c>
      <c r="Q132" s="297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295" t="s">
        <v>1412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295" t="s">
        <v>1412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295" t="s">
        <v>1412</v>
      </c>
      <c r="Z132" t="str">
        <f>IFERROR(VLOOKUP(ROWS($Z$3:Z132),$X$3:$Y$992,2,0),"")</f>
        <v>Pěstování jádrového a peckového ovoce</v>
      </c>
    </row>
    <row r="133" spans="1:26" ht="12.75" customHeight="1">
      <c r="A133" s="271"/>
      <c r="B133" s="271"/>
      <c r="C133" s="271"/>
      <c r="D133" s="287">
        <f>IF(ISNUMBER(SEARCH(ZAKL_DATA!$B$14,E133)),MAX($D$2:D132)+1,0)</f>
        <v>131</v>
      </c>
      <c r="E133" s="300" t="s">
        <v>1414</v>
      </c>
      <c r="F133" s="301">
        <v>2904</v>
      </c>
      <c r="G133" s="302"/>
      <c r="H133" s="303" t="str">
        <f>IFERROR(VLOOKUP(ROWS($H$3:H133),$D$3:$E$204,2,0),"")</f>
        <v>HUMPOLEC</v>
      </c>
      <c r="I133" s="271"/>
      <c r="J133" s="308" t="s">
        <v>1415</v>
      </c>
      <c r="K133" s="309" t="s">
        <v>1416</v>
      </c>
      <c r="M133" s="294">
        <f>IF(ISNUMBER(SEARCH(ZAKL_DATA!$B$29,N133)),MAX($M$2:M132)+1,0)</f>
        <v>131</v>
      </c>
      <c r="N133" s="295" t="s">
        <v>1417</v>
      </c>
      <c r="O133" s="310" t="s">
        <v>1418</v>
      </c>
      <c r="Q133" s="297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295" t="s">
        <v>1417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295" t="s">
        <v>1417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295" t="s">
        <v>1417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271"/>
      <c r="B134" s="271"/>
      <c r="C134" s="271"/>
      <c r="D134" s="287">
        <f>IF(ISNUMBER(SEARCH(ZAKL_DATA!$B$14,E134)),MAX($D$2:D133)+1,0)</f>
        <v>132</v>
      </c>
      <c r="E134" s="300" t="s">
        <v>1419</v>
      </c>
      <c r="F134" s="301">
        <v>2905</v>
      </c>
      <c r="G134" s="302"/>
      <c r="H134" s="303" t="str">
        <f>IFERROR(VLOOKUP(ROWS($H$3:H134),$D$3:$E$204,2,0),"")</f>
        <v>CHOTĚBOŘ</v>
      </c>
      <c r="I134" s="271"/>
      <c r="J134" s="305" t="s">
        <v>1420</v>
      </c>
      <c r="K134" s="293" t="s">
        <v>1421</v>
      </c>
      <c r="M134" s="294">
        <f>IF(ISNUMBER(SEARCH(ZAKL_DATA!$B$29,N134)),MAX($M$2:M133)+1,0)</f>
        <v>132</v>
      </c>
      <c r="N134" s="295" t="s">
        <v>1422</v>
      </c>
      <c r="O134" s="310" t="s">
        <v>1423</v>
      </c>
      <c r="Q134" s="297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295" t="s">
        <v>1422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295" t="s">
        <v>1422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295" t="s">
        <v>1422</v>
      </c>
      <c r="Z134" t="str">
        <f>IFERROR(VLOOKUP(ROWS($Z$3:Z134),$X$3:$Y$992,2,0),"")</f>
        <v>Pěstování olejnatých plodů</v>
      </c>
    </row>
    <row r="135" spans="1:26" ht="12.75" customHeight="1">
      <c r="A135" s="271"/>
      <c r="B135" s="271"/>
      <c r="C135" s="271"/>
      <c r="D135" s="287">
        <f>IF(ISNUMBER(SEARCH(ZAKL_DATA!$B$14,E135)),MAX($D$2:D134)+1,0)</f>
        <v>133</v>
      </c>
      <c r="E135" s="300" t="s">
        <v>1424</v>
      </c>
      <c r="F135" s="301">
        <v>2906</v>
      </c>
      <c r="G135" s="302"/>
      <c r="H135" s="303" t="str">
        <f>IFERROR(VLOOKUP(ROWS($H$3:H135),$D$3:$E$204,2,0),"")</f>
        <v>LEDEČ NAD SÁZAVOU</v>
      </c>
      <c r="I135" s="271"/>
      <c r="J135" s="304" t="s">
        <v>1425</v>
      </c>
      <c r="K135" s="293" t="s">
        <v>1426</v>
      </c>
      <c r="M135" s="294">
        <f>IF(ISNUMBER(SEARCH(ZAKL_DATA!$B$29,N135)),MAX($M$2:M134)+1,0)</f>
        <v>133</v>
      </c>
      <c r="N135" s="295" t="s">
        <v>1427</v>
      </c>
      <c r="O135" s="310" t="s">
        <v>1428</v>
      </c>
      <c r="Q135" s="297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295" t="s">
        <v>1427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295" t="s">
        <v>1427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295" t="s">
        <v>1427</v>
      </c>
      <c r="Z135" t="str">
        <f>IFERROR(VLOOKUP(ROWS($Z$3:Z135),$X$3:$Y$992,2,0),"")</f>
        <v>Pěstování rostlin pro výrobu nápojů</v>
      </c>
    </row>
    <row r="136" spans="1:26" ht="12.75" customHeight="1">
      <c r="A136" s="271"/>
      <c r="B136" s="271"/>
      <c r="C136" s="271"/>
      <c r="D136" s="287">
        <f>IF(ISNUMBER(SEARCH(ZAKL_DATA!$B$14,E136)),MAX($D$2:D135)+1,0)</f>
        <v>134</v>
      </c>
      <c r="E136" s="300" t="s">
        <v>1429</v>
      </c>
      <c r="F136" s="301">
        <v>2907</v>
      </c>
      <c r="G136" s="302"/>
      <c r="H136" s="303" t="str">
        <f>IFERROR(VLOOKUP(ROWS($H$3:H136),$D$3:$E$204,2,0),"")</f>
        <v>MORAVSKÉ BUDĚJOVICE</v>
      </c>
      <c r="I136" s="271"/>
      <c r="J136" s="305" t="s">
        <v>1430</v>
      </c>
      <c r="K136" s="293" t="s">
        <v>1431</v>
      </c>
      <c r="M136" s="294">
        <f>IF(ISNUMBER(SEARCH(ZAKL_DATA!$B$29,N136)),MAX($M$2:M135)+1,0)</f>
        <v>134</v>
      </c>
      <c r="N136" s="295" t="s">
        <v>1432</v>
      </c>
      <c r="O136" s="310" t="s">
        <v>1433</v>
      </c>
      <c r="Q136" s="297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295" t="s">
        <v>1432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295" t="s">
        <v>1432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295" t="s">
        <v>1432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271"/>
      <c r="B137" s="271"/>
      <c r="C137" s="271"/>
      <c r="D137" s="287">
        <f>IF(ISNUMBER(SEARCH(ZAKL_DATA!$B$14,E137)),MAX($D$2:D136)+1,0)</f>
        <v>135</v>
      </c>
      <c r="E137" s="300" t="s">
        <v>1434</v>
      </c>
      <c r="F137" s="301">
        <v>2908</v>
      </c>
      <c r="G137" s="302"/>
      <c r="H137" s="303" t="str">
        <f>IFERROR(VLOOKUP(ROWS($H$3:H137),$D$3:$E$204,2,0),"")</f>
        <v>NÁMĚŠŤ NAD OSLAVOU</v>
      </c>
      <c r="I137" s="271"/>
      <c r="J137" s="305" t="s">
        <v>1435</v>
      </c>
      <c r="K137" s="293" t="s">
        <v>1436</v>
      </c>
      <c r="M137" s="294">
        <f>IF(ISNUMBER(SEARCH(ZAKL_DATA!$B$29,N137)),MAX($M$2:M136)+1,0)</f>
        <v>135</v>
      </c>
      <c r="N137" s="295" t="s">
        <v>1437</v>
      </c>
      <c r="O137" s="310" t="s">
        <v>1438</v>
      </c>
      <c r="Q137" s="297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295" t="s">
        <v>1437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295" t="s">
        <v>1437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295" t="s">
        <v>1437</v>
      </c>
      <c r="Z137" t="str">
        <f>IFERROR(VLOOKUP(ROWS($Z$3:Z137),$X$3:$Y$992,2,0),"")</f>
        <v>Pěstování ostatních trvalých plodin</v>
      </c>
    </row>
    <row r="138" spans="1:26" ht="12.75" customHeight="1">
      <c r="A138" s="271"/>
      <c r="B138" s="271"/>
      <c r="C138" s="271"/>
      <c r="D138" s="287">
        <f>IF(ISNUMBER(SEARCH(ZAKL_DATA!$B$14,E138)),MAX($D$2:D137)+1,0)</f>
        <v>136</v>
      </c>
      <c r="E138" s="300" t="s">
        <v>1439</v>
      </c>
      <c r="F138" s="301">
        <v>2909</v>
      </c>
      <c r="G138" s="302"/>
      <c r="H138" s="303" t="str">
        <f>IFERROR(VLOOKUP(ROWS($H$3:H138),$D$3:$E$204,2,0),"")</f>
        <v>PACOV</v>
      </c>
      <c r="I138" s="271"/>
      <c r="J138" s="305" t="s">
        <v>1440</v>
      </c>
      <c r="K138" s="293" t="s">
        <v>1441</v>
      </c>
      <c r="M138" s="294">
        <f>IF(ISNUMBER(SEARCH(ZAKL_DATA!$B$29,N138)),MAX($M$2:M137)+1,0)</f>
        <v>136</v>
      </c>
      <c r="N138" s="295" t="s">
        <v>1442</v>
      </c>
      <c r="O138" s="310" t="s">
        <v>1443</v>
      </c>
      <c r="Q138" s="297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295" t="s">
        <v>1442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295" t="s">
        <v>1442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295" t="s">
        <v>1442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271"/>
      <c r="B139" s="271"/>
      <c r="C139" s="271"/>
      <c r="D139" s="287">
        <f>IF(ISNUMBER(SEARCH(ZAKL_DATA!$B$14,E139)),MAX($D$2:D138)+1,0)</f>
        <v>137</v>
      </c>
      <c r="E139" s="300" t="s">
        <v>1444</v>
      </c>
      <c r="F139" s="301">
        <v>2910</v>
      </c>
      <c r="G139" s="302"/>
      <c r="H139" s="303" t="str">
        <f>IFERROR(VLOOKUP(ROWS($H$3:H139),$D$3:$E$204,2,0),"")</f>
        <v>PELHŘIMOV</v>
      </c>
      <c r="I139" s="271"/>
      <c r="J139" s="305" t="s">
        <v>1445</v>
      </c>
      <c r="K139" s="293" t="s">
        <v>1446</v>
      </c>
      <c r="M139" s="294">
        <f>IF(ISNUMBER(SEARCH(ZAKL_DATA!$B$29,N139)),MAX($M$2:M138)+1,0)</f>
        <v>137</v>
      </c>
      <c r="N139" s="295" t="s">
        <v>1447</v>
      </c>
      <c r="O139" s="310" t="s">
        <v>1448</v>
      </c>
      <c r="Q139" s="297" t="str">
        <f>IFERROR(VLOOKUP(ROWS($Q$3:Q139),$M$3:$N$992,2,0),"")</f>
        <v>Tkaní textilií</v>
      </c>
      <c r="R139">
        <f>IF(ISNUMBER(SEARCH('1Př1'!$A$32,N139)),MAX($M$2:M138)+1,0)</f>
        <v>137</v>
      </c>
      <c r="S139" s="295" t="s">
        <v>1447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295" t="s">
        <v>1447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295" t="s">
        <v>1447</v>
      </c>
      <c r="Z139" t="str">
        <f>IFERROR(VLOOKUP(ROWS($Z$3:Z139),$X$3:$Y$992,2,0),"")</f>
        <v>Tkaní textilií</v>
      </c>
    </row>
    <row r="140" spans="1:26" ht="12.75" customHeight="1">
      <c r="A140" s="271"/>
      <c r="B140" s="271"/>
      <c r="C140" s="271"/>
      <c r="D140" s="287">
        <f>IF(ISNUMBER(SEARCH(ZAKL_DATA!$B$14,E140)),MAX($D$2:D139)+1,0)</f>
        <v>138</v>
      </c>
      <c r="E140" s="300" t="s">
        <v>1449</v>
      </c>
      <c r="F140" s="301">
        <v>2911</v>
      </c>
      <c r="G140" s="302"/>
      <c r="H140" s="303" t="str">
        <f>IFERROR(VLOOKUP(ROWS($H$3:H140),$D$3:$E$204,2,0),"")</f>
        <v>TELČ</v>
      </c>
      <c r="I140" s="271"/>
      <c r="J140" s="305" t="s">
        <v>1450</v>
      </c>
      <c r="K140" s="293" t="s">
        <v>1451</v>
      </c>
      <c r="M140" s="294">
        <f>IF(ISNUMBER(SEARCH(ZAKL_DATA!$B$29,N140)),MAX($M$2:M139)+1,0)</f>
        <v>138</v>
      </c>
      <c r="N140" s="295" t="s">
        <v>1452</v>
      </c>
      <c r="O140" s="310" t="s">
        <v>1453</v>
      </c>
      <c r="Q140" s="297" t="str">
        <f>IFERROR(VLOOKUP(ROWS($Q$3:Q140),$M$3:$N$992,2,0),"")</f>
        <v>Konečná úprava textilií</v>
      </c>
      <c r="R140">
        <f>IF(ISNUMBER(SEARCH('1Př1'!$A$32,N140)),MAX($M$2:M139)+1,0)</f>
        <v>138</v>
      </c>
      <c r="S140" s="295" t="s">
        <v>1452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295" t="s">
        <v>1452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295" t="s">
        <v>1452</v>
      </c>
      <c r="Z140" t="str">
        <f>IFERROR(VLOOKUP(ROWS($Z$3:Z140),$X$3:$Y$992,2,0),"")</f>
        <v>Konečná úprava textilií</v>
      </c>
    </row>
    <row r="141" spans="1:26" ht="12.75" customHeight="1">
      <c r="A141" s="271"/>
      <c r="B141" s="271"/>
      <c r="C141" s="271"/>
      <c r="D141" s="287">
        <f>IF(ISNUMBER(SEARCH(ZAKL_DATA!$B$14,E141)),MAX($D$2:D140)+1,0)</f>
        <v>139</v>
      </c>
      <c r="E141" s="300" t="s">
        <v>1454</v>
      </c>
      <c r="F141" s="301">
        <v>2912</v>
      </c>
      <c r="G141" s="302"/>
      <c r="H141" s="303" t="str">
        <f>IFERROR(VLOOKUP(ROWS($H$3:H141),$D$3:$E$204,2,0),"")</f>
        <v>TŘEBÍČ</v>
      </c>
      <c r="I141" s="271"/>
      <c r="J141" s="305" t="s">
        <v>1455</v>
      </c>
      <c r="K141" s="293" t="s">
        <v>1456</v>
      </c>
      <c r="M141" s="294">
        <f>IF(ISNUMBER(SEARCH(ZAKL_DATA!$B$29,N141)),MAX($M$2:M140)+1,0)</f>
        <v>139</v>
      </c>
      <c r="N141" s="295" t="s">
        <v>1457</v>
      </c>
      <c r="O141" s="310" t="s">
        <v>1458</v>
      </c>
      <c r="Q141" s="297" t="str">
        <f>IFERROR(VLOOKUP(ROWS($Q$3:Q141),$M$3:$N$992,2,0),"")</f>
        <v>Výroba ostatních textilií</v>
      </c>
      <c r="R141">
        <f>IF(ISNUMBER(SEARCH('1Př1'!$A$32,N141)),MAX($M$2:M140)+1,0)</f>
        <v>139</v>
      </c>
      <c r="S141" s="295" t="s">
        <v>1457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295" t="s">
        <v>1457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295" t="s">
        <v>1457</v>
      </c>
      <c r="Z141" t="str">
        <f>IFERROR(VLOOKUP(ROWS($Z$3:Z141),$X$3:$Y$992,2,0),"")</f>
        <v>Výroba ostatních textilií</v>
      </c>
    </row>
    <row r="142" spans="1:26" ht="12.75" customHeight="1">
      <c r="A142" s="271"/>
      <c r="B142" s="271"/>
      <c r="C142" s="271"/>
      <c r="D142" s="287">
        <f>IF(ISNUMBER(SEARCH(ZAKL_DATA!$B$14,E142)),MAX($D$2:D141)+1,0)</f>
        <v>140</v>
      </c>
      <c r="E142" s="300" t="s">
        <v>1459</v>
      </c>
      <c r="F142" s="301">
        <v>2913</v>
      </c>
      <c r="G142" s="302"/>
      <c r="H142" s="303" t="str">
        <f>IFERROR(VLOOKUP(ROWS($H$3:H142),$D$3:$E$204,2,0),"")</f>
        <v>VELKÉ MEZIŘÍČÍ</v>
      </c>
      <c r="I142" s="271"/>
      <c r="J142" s="305" t="s">
        <v>1460</v>
      </c>
      <c r="K142" s="293" t="s">
        <v>1461</v>
      </c>
      <c r="M142" s="294">
        <f>IF(ISNUMBER(SEARCH(ZAKL_DATA!$B$29,N142)),MAX($M$2:M141)+1,0)</f>
        <v>140</v>
      </c>
      <c r="N142" s="295" t="s">
        <v>1462</v>
      </c>
      <c r="O142" s="310" t="s">
        <v>850</v>
      </c>
      <c r="Q142" s="297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295" t="s">
        <v>1462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295" t="s">
        <v>1462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295" t="s">
        <v>1462</v>
      </c>
      <c r="Z142" t="str">
        <f>IFERROR(VLOOKUP(ROWS($Z$3:Z142),$X$3:$Y$992,2,0),"")</f>
        <v>Pěstování cukrové třtiny</v>
      </c>
    </row>
    <row r="143" spans="1:26" ht="12.75" customHeight="1">
      <c r="A143" s="271"/>
      <c r="B143" s="271"/>
      <c r="C143" s="271"/>
      <c r="D143" s="287">
        <f>IF(ISNUMBER(SEARCH(ZAKL_DATA!$B$14,E143)),MAX($D$2:D142)+1,0)</f>
        <v>141</v>
      </c>
      <c r="E143" s="300" t="s">
        <v>1463</v>
      </c>
      <c r="F143" s="301">
        <v>2914</v>
      </c>
      <c r="G143" s="302"/>
      <c r="H143" s="303" t="str">
        <f>IFERROR(VLOOKUP(ROWS($H$3:H143),$D$3:$E$204,2,0),"")</f>
        <v>ŽĎÁR NAD SÁZAVOU</v>
      </c>
      <c r="I143" s="271"/>
      <c r="J143" s="305" t="s">
        <v>1464</v>
      </c>
      <c r="K143" s="293" t="s">
        <v>1465</v>
      </c>
      <c r="M143" s="294">
        <f>IF(ISNUMBER(SEARCH(ZAKL_DATA!$B$29,N143)),MAX($M$2:M142)+1,0)</f>
        <v>141</v>
      </c>
      <c r="N143" s="295" t="s">
        <v>1466</v>
      </c>
      <c r="O143" s="310" t="s">
        <v>1467</v>
      </c>
      <c r="Q143" s="297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295" t="s">
        <v>1466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295" t="s">
        <v>1466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295" t="s">
        <v>1466</v>
      </c>
      <c r="Z143" t="str">
        <f>IFERROR(VLOOKUP(ROWS($Z$3:Z143),$X$3:$Y$992,2,0),"")</f>
        <v>Výroba oděvů, kromě kožešinových výrobků</v>
      </c>
    </row>
    <row r="144" spans="1:26" ht="12.75" customHeight="1">
      <c r="A144" s="271"/>
      <c r="B144" s="271"/>
      <c r="C144" s="271"/>
      <c r="D144" s="287">
        <f>IF(ISNUMBER(SEARCH(ZAKL_DATA!$B$14,E144)),MAX($D$2:D143)+1,0)</f>
        <v>142</v>
      </c>
      <c r="E144" s="300" t="s">
        <v>1468</v>
      </c>
      <c r="F144" s="301">
        <v>3001</v>
      </c>
      <c r="G144" s="302"/>
      <c r="H144" s="303" t="str">
        <f>IFERROR(VLOOKUP(ROWS($H$3:H144),$D$3:$E$204,2,0),"")</f>
        <v>BRNO I</v>
      </c>
      <c r="I144" s="271"/>
      <c r="J144" s="305" t="s">
        <v>1469</v>
      </c>
      <c r="K144" s="293" t="s">
        <v>1470</v>
      </c>
      <c r="M144" s="294">
        <f>IF(ISNUMBER(SEARCH(ZAKL_DATA!$B$29,N144)),MAX($M$2:M143)+1,0)</f>
        <v>142</v>
      </c>
      <c r="N144" s="295" t="s">
        <v>1471</v>
      </c>
      <c r="O144" s="310" t="s">
        <v>1472</v>
      </c>
      <c r="Q144" s="297" t="str">
        <f>IFERROR(VLOOKUP(ROWS($Q$3:Q144),$M$3:$N$992,2,0),"")</f>
        <v>Chov mléčného skotu</v>
      </c>
      <c r="R144">
        <f>IF(ISNUMBER(SEARCH('1Př1'!$A$32,N144)),MAX($M$2:M143)+1,0)</f>
        <v>142</v>
      </c>
      <c r="S144" s="295" t="s">
        <v>1471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295" t="s">
        <v>1471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295" t="s">
        <v>1471</v>
      </c>
      <c r="Z144" t="str">
        <f>IFERROR(VLOOKUP(ROWS($Z$3:Z144),$X$3:$Y$992,2,0),"")</f>
        <v>Chov mléčného skotu</v>
      </c>
    </row>
    <row r="145" spans="1:26" ht="12.75" customHeight="1">
      <c r="A145" s="271"/>
      <c r="B145" s="271"/>
      <c r="C145" s="271"/>
      <c r="D145" s="287">
        <f>IF(ISNUMBER(SEARCH(ZAKL_DATA!$B$14,E145)),MAX($D$2:D144)+1,0)</f>
        <v>143</v>
      </c>
      <c r="E145" s="300" t="s">
        <v>1473</v>
      </c>
      <c r="F145" s="301">
        <v>3002</v>
      </c>
      <c r="G145" s="302"/>
      <c r="H145" s="303" t="str">
        <f>IFERROR(VLOOKUP(ROWS($H$3:H145),$D$3:$E$204,2,0),"")</f>
        <v>BRNO II</v>
      </c>
      <c r="I145" s="271"/>
      <c r="J145" s="305" t="s">
        <v>1474</v>
      </c>
      <c r="K145" s="293" t="s">
        <v>1475</v>
      </c>
      <c r="M145" s="294">
        <f>IF(ISNUMBER(SEARCH(ZAKL_DATA!$B$29,N145)),MAX($M$2:M144)+1,0)</f>
        <v>143</v>
      </c>
      <c r="N145" s="295" t="s">
        <v>1476</v>
      </c>
      <c r="O145" s="310" t="s">
        <v>1477</v>
      </c>
      <c r="Q145" s="297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295" t="s">
        <v>1476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295" t="s">
        <v>1476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295" t="s">
        <v>1476</v>
      </c>
      <c r="Z145" t="str">
        <f>IFERROR(VLOOKUP(ROWS($Z$3:Z145),$X$3:$Y$992,2,0),"")</f>
        <v>Výroba kožešinových výrobků</v>
      </c>
    </row>
    <row r="146" spans="1:26" ht="12.75" customHeight="1">
      <c r="A146" s="271"/>
      <c r="B146" s="271"/>
      <c r="C146" s="271"/>
      <c r="D146" s="287">
        <f>IF(ISNUMBER(SEARCH(ZAKL_DATA!$B$14,E146)),MAX($D$2:D145)+1,0)</f>
        <v>144</v>
      </c>
      <c r="E146" s="300" t="s">
        <v>1478</v>
      </c>
      <c r="F146" s="301">
        <v>3003</v>
      </c>
      <c r="G146" s="302"/>
      <c r="H146" s="303" t="str">
        <f>IFERROR(VLOOKUP(ROWS($H$3:H146),$D$3:$E$204,2,0),"")</f>
        <v>BRNO III</v>
      </c>
      <c r="I146" s="271"/>
      <c r="J146" s="305" t="s">
        <v>1479</v>
      </c>
      <c r="K146" s="293" t="s">
        <v>1480</v>
      </c>
      <c r="M146" s="294">
        <f>IF(ISNUMBER(SEARCH(ZAKL_DATA!$B$29,N146)),MAX($M$2:M145)+1,0)</f>
        <v>144</v>
      </c>
      <c r="N146" s="295" t="s">
        <v>1481</v>
      </c>
      <c r="O146" s="310" t="s">
        <v>1482</v>
      </c>
      <c r="Q146" s="297" t="str">
        <f>IFERROR(VLOOKUP(ROWS($Q$3:Q146),$M$3:$N$992,2,0),"")</f>
        <v>Chov jiného skotu</v>
      </c>
      <c r="R146">
        <f>IF(ISNUMBER(SEARCH('1Př1'!$A$32,N146)),MAX($M$2:M145)+1,0)</f>
        <v>144</v>
      </c>
      <c r="S146" s="295" t="s">
        <v>1481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295" t="s">
        <v>1481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295" t="s">
        <v>1481</v>
      </c>
      <c r="Z146" t="str">
        <f>IFERROR(VLOOKUP(ROWS($Z$3:Z146),$X$3:$Y$992,2,0),"")</f>
        <v>Chov jiného skotu</v>
      </c>
    </row>
    <row r="147" spans="1:26" ht="12.75" customHeight="1">
      <c r="A147" s="271"/>
      <c r="B147" s="271"/>
      <c r="C147" s="271"/>
      <c r="D147" s="287">
        <f>IF(ISNUMBER(SEARCH(ZAKL_DATA!$B$14,E147)),MAX($D$2:D146)+1,0)</f>
        <v>145</v>
      </c>
      <c r="E147" s="300" t="s">
        <v>1483</v>
      </c>
      <c r="F147" s="301">
        <v>3004</v>
      </c>
      <c r="G147" s="302"/>
      <c r="H147" s="303" t="str">
        <f>IFERROR(VLOOKUP(ROWS($H$3:H147),$D$3:$E$204,2,0),"")</f>
        <v>BRNO IV</v>
      </c>
      <c r="I147" s="271"/>
      <c r="J147" s="305" t="s">
        <v>1484</v>
      </c>
      <c r="K147" s="293" t="s">
        <v>1485</v>
      </c>
      <c r="M147" s="294">
        <f>IF(ISNUMBER(SEARCH(ZAKL_DATA!$B$29,N147)),MAX($M$2:M146)+1,0)</f>
        <v>145</v>
      </c>
      <c r="N147" s="295" t="s">
        <v>1486</v>
      </c>
      <c r="O147" s="296" t="s">
        <v>1487</v>
      </c>
      <c r="Q147" s="297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295" t="s">
        <v>1486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295" t="s">
        <v>1486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295" t="s">
        <v>1486</v>
      </c>
      <c r="Z147" t="str">
        <f>IFERROR(VLOOKUP(ROWS($Z$3:Z147),$X$3:$Y$992,2,0),"")</f>
        <v>Výroba pletených a háčkovaných oděvů</v>
      </c>
    </row>
    <row r="148" spans="1:26" ht="12.75" customHeight="1">
      <c r="A148" s="271"/>
      <c r="B148" s="271"/>
      <c r="C148" s="271"/>
      <c r="D148" s="287">
        <f>IF(ISNUMBER(SEARCH(ZAKL_DATA!$B$14,E148)),MAX($D$2:D147)+1,0)</f>
        <v>146</v>
      </c>
      <c r="E148" s="300" t="s">
        <v>1488</v>
      </c>
      <c r="F148" s="301">
        <v>3005</v>
      </c>
      <c r="G148" s="302"/>
      <c r="H148" s="303" t="str">
        <f>IFERROR(VLOOKUP(ROWS($H$3:H148),$D$3:$E$204,2,0),"")</f>
        <v>BRNO VENKOV</v>
      </c>
      <c r="I148" s="271"/>
      <c r="J148" s="305" t="s">
        <v>1489</v>
      </c>
      <c r="K148" s="293" t="s">
        <v>1490</v>
      </c>
      <c r="M148" s="294">
        <f>IF(ISNUMBER(SEARCH(ZAKL_DATA!$B$29,N148)),MAX($M$2:M147)+1,0)</f>
        <v>146</v>
      </c>
      <c r="N148" s="295" t="s">
        <v>1491</v>
      </c>
      <c r="O148" s="310" t="s">
        <v>1492</v>
      </c>
      <c r="Q148" s="297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295" t="s">
        <v>1491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295" t="s">
        <v>1491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295" t="s">
        <v>1491</v>
      </c>
      <c r="Z148" t="str">
        <f>IFERROR(VLOOKUP(ROWS($Z$3:Z148),$X$3:$Y$992,2,0),"")</f>
        <v>Chov koní a jiných koňovitých</v>
      </c>
    </row>
    <row r="149" spans="1:26" ht="12.75" customHeight="1">
      <c r="A149" s="271"/>
      <c r="B149" s="271"/>
      <c r="C149" s="271"/>
      <c r="D149" s="287">
        <f>IF(ISNUMBER(SEARCH(ZAKL_DATA!$B$14,E149)),MAX($D$2:D148)+1,0)</f>
        <v>147</v>
      </c>
      <c r="E149" s="300" t="s">
        <v>1493</v>
      </c>
      <c r="F149" s="301">
        <v>3006</v>
      </c>
      <c r="G149" s="302"/>
      <c r="H149" s="303" t="str">
        <f>IFERROR(VLOOKUP(ROWS($H$3:H149),$D$3:$E$204,2,0),"")</f>
        <v>BLANSKO</v>
      </c>
      <c r="I149" s="271"/>
      <c r="J149" s="305" t="s">
        <v>1494</v>
      </c>
      <c r="K149" s="293" t="s">
        <v>1495</v>
      </c>
      <c r="M149" s="294">
        <f>IF(ISNUMBER(SEARCH(ZAKL_DATA!$B$29,N149)),MAX($M$2:M148)+1,0)</f>
        <v>147</v>
      </c>
      <c r="N149" s="295" t="s">
        <v>1496</v>
      </c>
      <c r="O149" s="310" t="s">
        <v>1497</v>
      </c>
      <c r="Q149" s="297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295" t="s">
        <v>1496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295" t="s">
        <v>1496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295" t="s">
        <v>1496</v>
      </c>
      <c r="Z149" t="str">
        <f>IFERROR(VLOOKUP(ROWS($Z$3:Z149),$X$3:$Y$992,2,0),"")</f>
        <v>Chov velbloudů a velbloudovitých</v>
      </c>
    </row>
    <row r="150" spans="1:26" ht="12.75" customHeight="1">
      <c r="A150" s="271"/>
      <c r="B150" s="271"/>
      <c r="C150" s="271"/>
      <c r="D150" s="287">
        <f>IF(ISNUMBER(SEARCH(ZAKL_DATA!$B$14,E150)),MAX($D$2:D149)+1,0)</f>
        <v>148</v>
      </c>
      <c r="E150" s="300" t="s">
        <v>1498</v>
      </c>
      <c r="F150" s="301">
        <v>3007</v>
      </c>
      <c r="G150" s="302"/>
      <c r="H150" s="303" t="str">
        <f>IFERROR(VLOOKUP(ROWS($H$3:H150),$D$3:$E$204,2,0),"")</f>
        <v>BOSKOVICE</v>
      </c>
      <c r="I150" s="271"/>
      <c r="J150" s="305" t="s">
        <v>1499</v>
      </c>
      <c r="K150" s="293" t="s">
        <v>1500</v>
      </c>
      <c r="M150" s="294">
        <f>IF(ISNUMBER(SEARCH(ZAKL_DATA!$B$29,N150)),MAX($M$2:M149)+1,0)</f>
        <v>148</v>
      </c>
      <c r="N150" s="295" t="s">
        <v>1501</v>
      </c>
      <c r="O150" s="310" t="s">
        <v>1502</v>
      </c>
      <c r="Q150" s="297" t="str">
        <f>IFERROR(VLOOKUP(ROWS($Q$3:Q150),$M$3:$N$992,2,0),"")</f>
        <v>Chov ovcí a koz</v>
      </c>
      <c r="R150">
        <f>IF(ISNUMBER(SEARCH('1Př1'!$A$32,N150)),MAX($M$2:M149)+1,0)</f>
        <v>148</v>
      </c>
      <c r="S150" s="295" t="s">
        <v>1501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295" t="s">
        <v>1501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295" t="s">
        <v>1501</v>
      </c>
      <c r="Z150" t="str">
        <f>IFERROR(VLOOKUP(ROWS($Z$3:Z150),$X$3:$Y$992,2,0),"")</f>
        <v>Chov ovcí a koz</v>
      </c>
    </row>
    <row r="151" spans="1:26" ht="12.75" customHeight="1">
      <c r="A151" s="271"/>
      <c r="B151" s="271"/>
      <c r="C151" s="271"/>
      <c r="D151" s="287">
        <f>IF(ISNUMBER(SEARCH(ZAKL_DATA!$B$14,E151)),MAX($D$2:D150)+1,0)</f>
        <v>149</v>
      </c>
      <c r="E151" s="300" t="s">
        <v>1503</v>
      </c>
      <c r="F151" s="301">
        <v>3008</v>
      </c>
      <c r="G151" s="302"/>
      <c r="H151" s="303" t="str">
        <f>IFERROR(VLOOKUP(ROWS($H$3:H151),$D$3:$E$204,2,0),"")</f>
        <v>BŘECLAV</v>
      </c>
      <c r="I151" s="271"/>
      <c r="J151" s="305" t="s">
        <v>1504</v>
      </c>
      <c r="K151" s="293" t="s">
        <v>1505</v>
      </c>
      <c r="M151" s="294">
        <f>IF(ISNUMBER(SEARCH(ZAKL_DATA!$B$29,N151)),MAX($M$2:M150)+1,0)</f>
        <v>149</v>
      </c>
      <c r="N151" s="295" t="s">
        <v>1506</v>
      </c>
      <c r="O151" s="310" t="s">
        <v>1507</v>
      </c>
      <c r="Q151" s="297" t="str">
        <f>IFERROR(VLOOKUP(ROWS($Q$3:Q151),$M$3:$N$992,2,0),"")</f>
        <v>Chov prasat</v>
      </c>
      <c r="R151">
        <f>IF(ISNUMBER(SEARCH('1Př1'!$A$32,N151)),MAX($M$2:M150)+1,0)</f>
        <v>149</v>
      </c>
      <c r="S151" s="295" t="s">
        <v>1506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295" t="s">
        <v>1506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295" t="s">
        <v>1506</v>
      </c>
      <c r="Z151" t="str">
        <f>IFERROR(VLOOKUP(ROWS($Z$3:Z151),$X$3:$Y$992,2,0),"")</f>
        <v>Chov prasat</v>
      </c>
    </row>
    <row r="152" spans="1:26" ht="12.75" customHeight="1">
      <c r="A152" s="271"/>
      <c r="B152" s="271"/>
      <c r="C152" s="271"/>
      <c r="D152" s="287">
        <f>IF(ISNUMBER(SEARCH(ZAKL_DATA!$B$14,E152)),MAX($D$2:D151)+1,0)</f>
        <v>150</v>
      </c>
      <c r="E152" s="300" t="s">
        <v>1508</v>
      </c>
      <c r="F152" s="301">
        <v>3009</v>
      </c>
      <c r="G152" s="302"/>
      <c r="H152" s="303" t="str">
        <f>IFERROR(VLOOKUP(ROWS($H$3:H152),$D$3:$E$204,2,0),"")</f>
        <v>BUČOVICE</v>
      </c>
      <c r="I152" s="271"/>
      <c r="J152" s="305" t="s">
        <v>1509</v>
      </c>
      <c r="K152" s="293" t="s">
        <v>1510</v>
      </c>
      <c r="M152" s="294">
        <f>IF(ISNUMBER(SEARCH(ZAKL_DATA!$B$29,N152)),MAX($M$2:M151)+1,0)</f>
        <v>150</v>
      </c>
      <c r="N152" s="295" t="s">
        <v>1511</v>
      </c>
      <c r="O152" s="310" t="s">
        <v>1512</v>
      </c>
      <c r="Q152" s="297" t="str">
        <f>IFERROR(VLOOKUP(ROWS($Q$3:Q152),$M$3:$N$992,2,0),"")</f>
        <v>Chov drůbeže</v>
      </c>
      <c r="R152">
        <f>IF(ISNUMBER(SEARCH('1Př1'!$A$32,N152)),MAX($M$2:M151)+1,0)</f>
        <v>150</v>
      </c>
      <c r="S152" s="295" t="s">
        <v>1511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295" t="s">
        <v>1511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295" t="s">
        <v>1511</v>
      </c>
      <c r="Z152" t="str">
        <f>IFERROR(VLOOKUP(ROWS($Z$3:Z152),$X$3:$Y$992,2,0),"")</f>
        <v>Chov drůbeže</v>
      </c>
    </row>
    <row r="153" spans="1:26" ht="12.75" customHeight="1">
      <c r="A153" s="271"/>
      <c r="B153" s="271"/>
      <c r="C153" s="271"/>
      <c r="D153" s="287">
        <f>IF(ISNUMBER(SEARCH(ZAKL_DATA!$B$14,E153)),MAX($D$2:D152)+1,0)</f>
        <v>151</v>
      </c>
      <c r="E153" s="300" t="s">
        <v>1513</v>
      </c>
      <c r="F153" s="301">
        <v>3010</v>
      </c>
      <c r="G153" s="302"/>
      <c r="H153" s="303" t="str">
        <f>IFERROR(VLOOKUP(ROWS($H$3:H153),$D$3:$E$204,2,0),"")</f>
        <v>HODONÍN</v>
      </c>
      <c r="I153" s="271"/>
      <c r="J153" s="305" t="s">
        <v>1514</v>
      </c>
      <c r="K153" s="293" t="s">
        <v>1515</v>
      </c>
      <c r="M153" s="294">
        <f>IF(ISNUMBER(SEARCH(ZAKL_DATA!$B$29,N153)),MAX($M$2:M152)+1,0)</f>
        <v>151</v>
      </c>
      <c r="N153" s="295" t="s">
        <v>1516</v>
      </c>
      <c r="O153" s="310" t="s">
        <v>1517</v>
      </c>
      <c r="Q153" s="297" t="str">
        <f>IFERROR(VLOOKUP(ROWS($Q$3:Q153),$M$3:$N$992,2,0),"")</f>
        <v>Chov ostatních zvířat</v>
      </c>
      <c r="R153">
        <f>IF(ISNUMBER(SEARCH('1Př1'!$A$32,N153)),MAX($M$2:M152)+1,0)</f>
        <v>151</v>
      </c>
      <c r="S153" s="295" t="s">
        <v>1516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295" t="s">
        <v>1516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295" t="s">
        <v>1516</v>
      </c>
      <c r="Z153" t="str">
        <f>IFERROR(VLOOKUP(ROWS($Z$3:Z153),$X$3:$Y$992,2,0),"")</f>
        <v>Chov ostatních zvířat</v>
      </c>
    </row>
    <row r="154" spans="1:26" ht="12.75" customHeight="1">
      <c r="A154" s="271"/>
      <c r="B154" s="271"/>
      <c r="C154" s="271"/>
      <c r="D154" s="287">
        <f>IF(ISNUMBER(SEARCH(ZAKL_DATA!$B$14,E154)),MAX($D$2:D153)+1,0)</f>
        <v>152</v>
      </c>
      <c r="E154" s="300" t="s">
        <v>1518</v>
      </c>
      <c r="F154" s="301">
        <v>3011</v>
      </c>
      <c r="G154" s="302"/>
      <c r="H154" s="303" t="str">
        <f>IFERROR(VLOOKUP(ROWS($H$3:H154),$D$3:$E$204,2,0),"")</f>
        <v>HUSTOPEČE</v>
      </c>
      <c r="I154" s="271"/>
      <c r="J154" s="305" t="s">
        <v>1519</v>
      </c>
      <c r="K154" s="293" t="s">
        <v>1520</v>
      </c>
      <c r="M154" s="294">
        <f>IF(ISNUMBER(SEARCH(ZAKL_DATA!$B$29,N154)),MAX($M$2:M153)+1,0)</f>
        <v>152</v>
      </c>
      <c r="N154" s="295" t="s">
        <v>1521</v>
      </c>
      <c r="O154" s="310" t="s">
        <v>1522</v>
      </c>
      <c r="Q154" s="297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295" t="s">
        <v>1521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295" t="s">
        <v>1521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295" t="s">
        <v>1521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271"/>
      <c r="B155" s="271"/>
      <c r="C155" s="271"/>
      <c r="D155" s="287">
        <f>IF(ISNUMBER(SEARCH(ZAKL_DATA!$B$14,E155)),MAX($D$2:D154)+1,0)</f>
        <v>153</v>
      </c>
      <c r="E155" s="300" t="s">
        <v>1523</v>
      </c>
      <c r="F155" s="301">
        <v>3012</v>
      </c>
      <c r="G155" s="302"/>
      <c r="H155" s="303" t="str">
        <f>IFERROR(VLOOKUP(ROWS($H$3:H155),$D$3:$E$204,2,0),"")</f>
        <v>IVANČICE</v>
      </c>
      <c r="I155" s="271"/>
      <c r="J155" s="305" t="s">
        <v>1524</v>
      </c>
      <c r="K155" s="293" t="s">
        <v>1525</v>
      </c>
      <c r="M155" s="294">
        <f>IF(ISNUMBER(SEARCH(ZAKL_DATA!$B$29,N155)),MAX($M$2:M154)+1,0)</f>
        <v>153</v>
      </c>
      <c r="N155" s="295" t="s">
        <v>1526</v>
      </c>
      <c r="O155" s="310" t="s">
        <v>1527</v>
      </c>
      <c r="Q155" s="297" t="str">
        <f>IFERROR(VLOOKUP(ROWS($Q$3:Q155),$M$3:$N$992,2,0),"")</f>
        <v>Výroba obuvi</v>
      </c>
      <c r="R155">
        <f>IF(ISNUMBER(SEARCH('1Př1'!$A$32,N155)),MAX($M$2:M154)+1,0)</f>
        <v>153</v>
      </c>
      <c r="S155" s="295" t="s">
        <v>1526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295" t="s">
        <v>1526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295" t="s">
        <v>1526</v>
      </c>
      <c r="Z155" t="str">
        <f>IFERROR(VLOOKUP(ROWS($Z$3:Z155),$X$3:$Y$992,2,0),"")</f>
        <v>Výroba obuvi</v>
      </c>
    </row>
    <row r="156" spans="1:26" ht="12.75" customHeight="1">
      <c r="A156" s="271"/>
      <c r="B156" s="271"/>
      <c r="C156" s="271"/>
      <c r="D156" s="287">
        <f>IF(ISNUMBER(SEARCH(ZAKL_DATA!$B$14,E156)),MAX($D$2:D155)+1,0)</f>
        <v>154</v>
      </c>
      <c r="E156" s="300" t="s">
        <v>1528</v>
      </c>
      <c r="F156" s="301">
        <v>3013</v>
      </c>
      <c r="G156" s="302"/>
      <c r="H156" s="303" t="str">
        <f>IFERROR(VLOOKUP(ROWS($H$3:H156),$D$3:$E$204,2,0),"")</f>
        <v>KYJOV</v>
      </c>
      <c r="I156" s="271"/>
      <c r="J156" s="305" t="s">
        <v>1529</v>
      </c>
      <c r="K156" s="293" t="s">
        <v>1530</v>
      </c>
      <c r="M156" s="294">
        <f>IF(ISNUMBER(SEARCH(ZAKL_DATA!$B$29,N156)),MAX($M$2:M155)+1,0)</f>
        <v>154</v>
      </c>
      <c r="N156" s="295" t="s">
        <v>1531</v>
      </c>
      <c r="O156" s="310" t="s">
        <v>1532</v>
      </c>
      <c r="Q156" s="297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295" t="s">
        <v>1531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295" t="s">
        <v>1531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295" t="s">
        <v>1531</v>
      </c>
      <c r="Z156" t="str">
        <f>IFERROR(VLOOKUP(ROWS($Z$3:Z156),$X$3:$Y$992,2,0),"")</f>
        <v>Výroba pilařská a impregnace dřeva</v>
      </c>
    </row>
    <row r="157" spans="1:26" ht="12.75" customHeight="1">
      <c r="A157" s="271"/>
      <c r="B157" s="271"/>
      <c r="C157" s="271"/>
      <c r="D157" s="287">
        <f>IF(ISNUMBER(SEARCH(ZAKL_DATA!$B$14,E157)),MAX($D$2:D156)+1,0)</f>
        <v>155</v>
      </c>
      <c r="E157" s="300" t="s">
        <v>1533</v>
      </c>
      <c r="F157" s="301">
        <v>3014</v>
      </c>
      <c r="G157" s="302"/>
      <c r="H157" s="303" t="str">
        <f>IFERROR(VLOOKUP(ROWS($H$3:H157),$D$3:$E$204,2,0),"")</f>
        <v>MIKULOV</v>
      </c>
      <c r="I157" s="271"/>
      <c r="J157" s="305" t="s">
        <v>1534</v>
      </c>
      <c r="K157" s="293" t="s">
        <v>1535</v>
      </c>
      <c r="M157" s="294">
        <f>IF(ISNUMBER(SEARCH(ZAKL_DATA!$B$29,N157)),MAX($M$2:M156)+1,0)</f>
        <v>155</v>
      </c>
      <c r="N157" s="295" t="s">
        <v>1536</v>
      </c>
      <c r="O157" s="310" t="s">
        <v>1537</v>
      </c>
      <c r="Q157" s="297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295" t="s">
        <v>1536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295" t="s">
        <v>1536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295" t="s">
        <v>1536</v>
      </c>
      <c r="Z157" t="str">
        <f>IFERROR(VLOOKUP(ROWS($Z$3:Z157),$X$3:$Y$992,2,0),"")</f>
        <v>Podpůrné činnosti pro rostlinnou výrobu</v>
      </c>
    </row>
    <row r="158" spans="1:26" ht="12.75" customHeight="1">
      <c r="A158" s="271"/>
      <c r="B158" s="271"/>
      <c r="C158" s="271"/>
      <c r="D158" s="287">
        <f>IF(ISNUMBER(SEARCH(ZAKL_DATA!$B$14,E158)),MAX($D$2:D157)+1,0)</f>
        <v>156</v>
      </c>
      <c r="E158" s="300" t="s">
        <v>1538</v>
      </c>
      <c r="F158" s="301">
        <v>3015</v>
      </c>
      <c r="G158" s="302"/>
      <c r="H158" s="303" t="str">
        <f>IFERROR(VLOOKUP(ROWS($H$3:H158),$D$3:$E$204,2,0),"")</f>
        <v>MORAVSKÝ KRUMLOV</v>
      </c>
      <c r="I158" s="271"/>
      <c r="J158" s="305" t="s">
        <v>1539</v>
      </c>
      <c r="K158" s="293" t="s">
        <v>1540</v>
      </c>
      <c r="M158" s="294">
        <f>IF(ISNUMBER(SEARCH(ZAKL_DATA!$B$29,N158)),MAX($M$2:M157)+1,0)</f>
        <v>156</v>
      </c>
      <c r="N158" s="295" t="s">
        <v>1541</v>
      </c>
      <c r="O158" s="310" t="s">
        <v>1542</v>
      </c>
      <c r="Q158" s="297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295" t="s">
        <v>1541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295" t="s">
        <v>1541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295" t="s">
        <v>1541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271"/>
      <c r="B159" s="271"/>
      <c r="C159" s="271"/>
      <c r="D159" s="287">
        <f>IF(ISNUMBER(SEARCH(ZAKL_DATA!$B$14,E159)),MAX($D$2:D158)+1,0)</f>
        <v>157</v>
      </c>
      <c r="E159" s="300" t="s">
        <v>1543</v>
      </c>
      <c r="F159" s="301">
        <v>3016</v>
      </c>
      <c r="G159" s="302"/>
      <c r="H159" s="303" t="str">
        <f>IFERROR(VLOOKUP(ROWS($H$3:H159),$D$3:$E$204,2,0),"")</f>
        <v>SLAVKOV U BRNA</v>
      </c>
      <c r="I159" s="271"/>
      <c r="J159" s="305" t="s">
        <v>1544</v>
      </c>
      <c r="K159" s="293" t="s">
        <v>1545</v>
      </c>
      <c r="M159" s="294">
        <f>IF(ISNUMBER(SEARCH(ZAKL_DATA!$B$29,N159)),MAX($M$2:M158)+1,0)</f>
        <v>157</v>
      </c>
      <c r="N159" s="295" t="s">
        <v>1546</v>
      </c>
      <c r="O159" s="310" t="s">
        <v>1547</v>
      </c>
      <c r="Q159" s="297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295" t="s">
        <v>1546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295" t="s">
        <v>1546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295" t="s">
        <v>1546</v>
      </c>
      <c r="Z159" t="str">
        <f>IFERROR(VLOOKUP(ROWS($Z$3:Z159),$X$3:$Y$992,2,0),"")</f>
        <v>Podpůrné činnosti pro živočišnou výrobu</v>
      </c>
    </row>
    <row r="160" spans="1:26" ht="12.75" customHeight="1">
      <c r="A160" s="271"/>
      <c r="B160" s="271"/>
      <c r="C160" s="271"/>
      <c r="D160" s="287">
        <f>IF(ISNUMBER(SEARCH(ZAKL_DATA!$B$14,E160)),MAX($D$2:D159)+1,0)</f>
        <v>158</v>
      </c>
      <c r="E160" s="300" t="s">
        <v>1548</v>
      </c>
      <c r="F160" s="301">
        <v>3017</v>
      </c>
      <c r="G160" s="302"/>
      <c r="H160" s="303" t="str">
        <f>IFERROR(VLOOKUP(ROWS($H$3:H160),$D$3:$E$204,2,0),"")</f>
        <v>TIŠNOV</v>
      </c>
      <c r="I160" s="271"/>
      <c r="J160" s="305" t="s">
        <v>1549</v>
      </c>
      <c r="K160" s="293" t="s">
        <v>1550</v>
      </c>
      <c r="M160" s="294">
        <f>IF(ISNUMBER(SEARCH(ZAKL_DATA!$B$29,N160)),MAX($M$2:M159)+1,0)</f>
        <v>158</v>
      </c>
      <c r="N160" s="295" t="s">
        <v>1551</v>
      </c>
      <c r="O160" s="310" t="s">
        <v>1552</v>
      </c>
      <c r="Q160" s="297" t="str">
        <f>IFERROR(VLOOKUP(ROWS($Q$3:Q160),$M$3:$N$992,2,0),"")</f>
        <v>Posklizňové činnosti</v>
      </c>
      <c r="R160">
        <f>IF(ISNUMBER(SEARCH('1Př1'!$A$32,N160)),MAX($M$2:M159)+1,0)</f>
        <v>158</v>
      </c>
      <c r="S160" s="295" t="s">
        <v>1551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295" t="s">
        <v>1551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295" t="s">
        <v>1551</v>
      </c>
      <c r="Z160" t="str">
        <f>IFERROR(VLOOKUP(ROWS($Z$3:Z160),$X$3:$Y$992,2,0),"")</f>
        <v>Posklizňové činnosti</v>
      </c>
    </row>
    <row r="161" spans="1:26" ht="12.75" customHeight="1">
      <c r="A161" s="271"/>
      <c r="B161" s="271"/>
      <c r="C161" s="271"/>
      <c r="D161" s="287">
        <f>IF(ISNUMBER(SEARCH(ZAKL_DATA!$B$14,E161)),MAX($D$2:D160)+1,0)</f>
        <v>159</v>
      </c>
      <c r="E161" s="300" t="s">
        <v>1553</v>
      </c>
      <c r="F161" s="301">
        <v>3018</v>
      </c>
      <c r="G161" s="302"/>
      <c r="H161" s="303" t="str">
        <f>IFERROR(VLOOKUP(ROWS($H$3:H161),$D$3:$E$204,2,0),"")</f>
        <v>VESELÍ NAD MORAVOU</v>
      </c>
      <c r="I161" s="271"/>
      <c r="J161" s="304" t="s">
        <v>1554</v>
      </c>
      <c r="K161" s="293" t="s">
        <v>1555</v>
      </c>
      <c r="M161" s="294">
        <f>IF(ISNUMBER(SEARCH(ZAKL_DATA!$B$29,N161)),MAX($M$2:M160)+1,0)</f>
        <v>159</v>
      </c>
      <c r="N161" s="295" t="s">
        <v>1556</v>
      </c>
      <c r="O161" s="310" t="s">
        <v>1557</v>
      </c>
      <c r="Q161" s="297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295" t="s">
        <v>1556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295" t="s">
        <v>1556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295" t="s">
        <v>1556</v>
      </c>
      <c r="Z161" t="str">
        <f>IFERROR(VLOOKUP(ROWS($Z$3:Z161),$X$3:$Y$992,2,0),"")</f>
        <v>Zpracování osiva pro účely množení</v>
      </c>
    </row>
    <row r="162" spans="1:26" ht="12.75" customHeight="1">
      <c r="A162" s="271"/>
      <c r="B162" s="271"/>
      <c r="C162" s="271"/>
      <c r="D162" s="287">
        <f>IF(ISNUMBER(SEARCH(ZAKL_DATA!$B$14,E162)),MAX($D$2:D161)+1,0)</f>
        <v>160</v>
      </c>
      <c r="E162" s="300" t="s">
        <v>1558</v>
      </c>
      <c r="F162" s="301">
        <v>3019</v>
      </c>
      <c r="G162" s="302"/>
      <c r="H162" s="303" t="str">
        <f>IFERROR(VLOOKUP(ROWS($H$3:H162),$D$3:$E$204,2,0),"")</f>
        <v>VYŠKOV</v>
      </c>
      <c r="I162" s="271"/>
      <c r="J162" s="305" t="s">
        <v>1559</v>
      </c>
      <c r="K162" s="293" t="s">
        <v>1560</v>
      </c>
      <c r="M162" s="294">
        <f>IF(ISNUMBER(SEARCH(ZAKL_DATA!$B$29,N162)),MAX($M$2:M161)+1,0)</f>
        <v>160</v>
      </c>
      <c r="N162" s="295" t="s">
        <v>1561</v>
      </c>
      <c r="O162" s="310" t="s">
        <v>1562</v>
      </c>
      <c r="Q162" s="297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295" t="s">
        <v>1561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295" t="s">
        <v>1561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295" t="s">
        <v>1561</v>
      </c>
      <c r="Z162" t="str">
        <f>IFERROR(VLOOKUP(ROWS($Z$3:Z162),$X$3:$Y$992,2,0),"")</f>
        <v>Výroba buničiny, papíru a lepenky</v>
      </c>
    </row>
    <row r="163" spans="1:26" ht="12.75" customHeight="1">
      <c r="A163" s="271"/>
      <c r="B163" s="271"/>
      <c r="C163" s="271"/>
      <c r="D163" s="287">
        <f>IF(ISNUMBER(SEARCH(ZAKL_DATA!$B$14,E163)),MAX($D$2:D162)+1,0)</f>
        <v>161</v>
      </c>
      <c r="E163" s="300" t="s">
        <v>1563</v>
      </c>
      <c r="F163" s="301">
        <v>3020</v>
      </c>
      <c r="G163" s="302"/>
      <c r="H163" s="303" t="str">
        <f>IFERROR(VLOOKUP(ROWS($H$3:H163),$D$3:$E$204,2,0),"")</f>
        <v>ZNOJMO</v>
      </c>
      <c r="I163" s="271"/>
      <c r="J163" s="305" t="s">
        <v>1564</v>
      </c>
      <c r="K163" s="293" t="s">
        <v>1565</v>
      </c>
      <c r="M163" s="294">
        <f>IF(ISNUMBER(SEARCH(ZAKL_DATA!$B$29,N163)),MAX($M$2:M162)+1,0)</f>
        <v>161</v>
      </c>
      <c r="N163" s="295" t="s">
        <v>1566</v>
      </c>
      <c r="O163" s="310" t="s">
        <v>1567</v>
      </c>
      <c r="Q163" s="297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295" t="s">
        <v>1566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295" t="s">
        <v>1566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295" t="s">
        <v>1566</v>
      </c>
      <c r="Z163" t="str">
        <f>IFERROR(VLOOKUP(ROWS($Z$3:Z163),$X$3:$Y$992,2,0),"")</f>
        <v>Výroba výrobků z papíru a lepenky</v>
      </c>
    </row>
    <row r="164" spans="1:26" ht="12.75" customHeight="1">
      <c r="A164" s="271"/>
      <c r="B164" s="271"/>
      <c r="C164" s="271"/>
      <c r="D164" s="287">
        <f>IF(ISNUMBER(SEARCH(ZAKL_DATA!$B$14,E164)),MAX($D$2:D163)+1,0)</f>
        <v>162</v>
      </c>
      <c r="E164" s="300" t="s">
        <v>1568</v>
      </c>
      <c r="F164" s="301">
        <v>3101</v>
      </c>
      <c r="G164" s="302"/>
      <c r="H164" s="303" t="str">
        <f>IFERROR(VLOOKUP(ROWS($H$3:H164),$D$3:$E$204,2,0),"")</f>
        <v>OLOMOUC</v>
      </c>
      <c r="I164" s="271"/>
      <c r="J164" s="305" t="s">
        <v>1569</v>
      </c>
      <c r="K164" s="293" t="s">
        <v>1570</v>
      </c>
      <c r="M164" s="294">
        <f>IF(ISNUMBER(SEARCH(ZAKL_DATA!$B$29,N164)),MAX($M$2:M163)+1,0)</f>
        <v>162</v>
      </c>
      <c r="N164" s="295" t="s">
        <v>1571</v>
      </c>
      <c r="O164" s="310" t="s">
        <v>1572</v>
      </c>
      <c r="Q164" s="297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295" t="s">
        <v>1571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295" t="s">
        <v>1571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295" t="s">
        <v>1571</v>
      </c>
      <c r="Z164" t="str">
        <f>IFERROR(VLOOKUP(ROWS($Z$3:Z164),$X$3:$Y$992,2,0),"")</f>
        <v>Tisk a činnosti související s tiskem</v>
      </c>
    </row>
    <row r="165" spans="1:26" ht="12.75" customHeight="1">
      <c r="A165" s="271"/>
      <c r="B165" s="271"/>
      <c r="C165" s="271"/>
      <c r="D165" s="287">
        <f>IF(ISNUMBER(SEARCH(ZAKL_DATA!$B$14,E165)),MAX($D$2:D164)+1,0)</f>
        <v>163</v>
      </c>
      <c r="E165" s="300" t="s">
        <v>1573</v>
      </c>
      <c r="F165" s="301">
        <v>3102</v>
      </c>
      <c r="G165" s="302"/>
      <c r="H165" s="303" t="str">
        <f>IFERROR(VLOOKUP(ROWS($H$3:H165),$D$3:$E$204,2,0),"")</f>
        <v>HRANICE</v>
      </c>
      <c r="I165" s="271"/>
      <c r="J165" s="304" t="s">
        <v>1574</v>
      </c>
      <c r="K165" s="293" t="s">
        <v>1575</v>
      </c>
      <c r="M165" s="294">
        <f>IF(ISNUMBER(SEARCH(ZAKL_DATA!$B$29,N165)),MAX($M$2:M164)+1,0)</f>
        <v>163</v>
      </c>
      <c r="N165" s="295" t="s">
        <v>1576</v>
      </c>
      <c r="O165" s="310" t="s">
        <v>1577</v>
      </c>
      <c r="Q165" s="297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295" t="s">
        <v>1576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295" t="s">
        <v>1576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295" t="s">
        <v>1576</v>
      </c>
      <c r="Z165" t="str">
        <f>IFERROR(VLOOKUP(ROWS($Z$3:Z165),$X$3:$Y$992,2,0),"")</f>
        <v>Rozmnožování nahraných nosičů</v>
      </c>
    </row>
    <row r="166" spans="1:26" ht="12.75" customHeight="1">
      <c r="A166" s="271"/>
      <c r="B166" s="271"/>
      <c r="C166" s="271"/>
      <c r="D166" s="287">
        <f>IF(ISNUMBER(SEARCH(ZAKL_DATA!$B$14,E166)),MAX($D$2:D165)+1,0)</f>
        <v>164</v>
      </c>
      <c r="E166" s="300" t="s">
        <v>1578</v>
      </c>
      <c r="F166" s="301">
        <v>3103</v>
      </c>
      <c r="G166" s="302"/>
      <c r="H166" s="303" t="str">
        <f>IFERROR(VLOOKUP(ROWS($H$3:H166),$D$3:$E$204,2,0),"")</f>
        <v>JESENÍK</v>
      </c>
      <c r="I166" s="271"/>
      <c r="J166" s="305" t="s">
        <v>1579</v>
      </c>
      <c r="K166" s="293" t="s">
        <v>1580</v>
      </c>
      <c r="M166" s="294">
        <f>IF(ISNUMBER(SEARCH(ZAKL_DATA!$B$29,N166)),MAX($M$2:M165)+1,0)</f>
        <v>164</v>
      </c>
      <c r="N166" s="295" t="s">
        <v>1581</v>
      </c>
      <c r="O166" s="310" t="s">
        <v>1582</v>
      </c>
      <c r="Q166" s="297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295" t="s">
        <v>1581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295" t="s">
        <v>1581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295" t="s">
        <v>1581</v>
      </c>
      <c r="Z166" t="str">
        <f>IFERROR(VLOOKUP(ROWS($Z$3:Z166),$X$3:$Y$992,2,0),"")</f>
        <v>Výroba koksárenských produktů</v>
      </c>
    </row>
    <row r="167" spans="1:26" ht="12.75" customHeight="1">
      <c r="A167" s="271"/>
      <c r="B167" s="271"/>
      <c r="C167" s="271"/>
      <c r="D167" s="287">
        <f>IF(ISNUMBER(SEARCH(ZAKL_DATA!$B$14,E167)),MAX($D$2:D166)+1,0)</f>
        <v>165</v>
      </c>
      <c r="E167" s="300" t="s">
        <v>1583</v>
      </c>
      <c r="F167" s="301">
        <v>3104</v>
      </c>
      <c r="G167" s="302"/>
      <c r="H167" s="303" t="str">
        <f>IFERROR(VLOOKUP(ROWS($H$3:H167),$D$3:$E$204,2,0),"")</f>
        <v>KONICE</v>
      </c>
      <c r="I167" s="271"/>
      <c r="J167" s="305" t="s">
        <v>1584</v>
      </c>
      <c r="K167" s="293" t="s">
        <v>1585</v>
      </c>
      <c r="M167" s="294">
        <f>IF(ISNUMBER(SEARCH(ZAKL_DATA!$B$29,N167)),MAX($M$2:M166)+1,0)</f>
        <v>165</v>
      </c>
      <c r="N167" s="295" t="s">
        <v>1586</v>
      </c>
      <c r="O167" s="310" t="s">
        <v>1587</v>
      </c>
      <c r="Q167" s="297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295" t="s">
        <v>1586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295" t="s">
        <v>1586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295" t="s">
        <v>1586</v>
      </c>
      <c r="Z167" t="str">
        <f>IFERROR(VLOOKUP(ROWS($Z$3:Z167),$X$3:$Y$992,2,0),"")</f>
        <v>Výroba rafinovaných ropných produktů</v>
      </c>
    </row>
    <row r="168" spans="1:26" ht="12.75" customHeight="1">
      <c r="A168" s="271"/>
      <c r="B168" s="271"/>
      <c r="C168" s="271"/>
      <c r="D168" s="287">
        <f>IF(ISNUMBER(SEARCH(ZAKL_DATA!$B$14,E168)),MAX($D$2:D167)+1,0)</f>
        <v>166</v>
      </c>
      <c r="E168" s="300" t="s">
        <v>1588</v>
      </c>
      <c r="F168" s="301">
        <v>3105</v>
      </c>
      <c r="G168" s="302"/>
      <c r="H168" s="303" t="str">
        <f>IFERROR(VLOOKUP(ROWS($H$3:H168),$D$3:$E$204,2,0),"")</f>
        <v>LITOVEL</v>
      </c>
      <c r="I168" s="271"/>
      <c r="J168" s="305" t="s">
        <v>1589</v>
      </c>
      <c r="K168" s="293" t="s">
        <v>1590</v>
      </c>
      <c r="M168" s="294">
        <f>IF(ISNUMBER(SEARCH(ZAKL_DATA!$B$29,N168)),MAX($M$2:M167)+1,0)</f>
        <v>166</v>
      </c>
      <c r="N168" s="295" t="s">
        <v>1591</v>
      </c>
      <c r="O168" s="296" t="s">
        <v>1592</v>
      </c>
      <c r="Q168" s="297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295" t="s">
        <v>1591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295" t="s">
        <v>1591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295" t="s">
        <v>1591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271"/>
      <c r="B169" s="271"/>
      <c r="C169" s="271"/>
      <c r="D169" s="287">
        <f>IF(ISNUMBER(SEARCH(ZAKL_DATA!$B$14,E169)),MAX($D$2:D168)+1,0)</f>
        <v>167</v>
      </c>
      <c r="E169" s="300" t="s">
        <v>1593</v>
      </c>
      <c r="F169" s="301">
        <v>3106</v>
      </c>
      <c r="G169" s="302"/>
      <c r="H169" s="303" t="str">
        <f>IFERROR(VLOOKUP(ROWS($H$3:H169),$D$3:$E$204,2,0),"")</f>
        <v>PROSTĚJOV</v>
      </c>
      <c r="I169" s="271"/>
      <c r="J169" s="305" t="s">
        <v>1594</v>
      </c>
      <c r="K169" s="293" t="s">
        <v>1595</v>
      </c>
      <c r="M169" s="294">
        <f>IF(ISNUMBER(SEARCH(ZAKL_DATA!$B$29,N169)),MAX($M$2:M168)+1,0)</f>
        <v>167</v>
      </c>
      <c r="N169" s="295" t="s">
        <v>1596</v>
      </c>
      <c r="O169" s="296" t="s">
        <v>1597</v>
      </c>
      <c r="Q169" s="297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295" t="s">
        <v>1596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295" t="s">
        <v>1596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295" t="s">
        <v>1596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271"/>
      <c r="B170" s="271"/>
      <c r="C170" s="271"/>
      <c r="D170" s="287">
        <f>IF(ISNUMBER(SEARCH(ZAKL_DATA!$B$14,E170)),MAX($D$2:D169)+1,0)</f>
        <v>168</v>
      </c>
      <c r="E170" s="300" t="s">
        <v>1598</v>
      </c>
      <c r="F170" s="301">
        <v>3107</v>
      </c>
      <c r="G170" s="302"/>
      <c r="H170" s="303" t="str">
        <f>IFERROR(VLOOKUP(ROWS($H$3:H170),$D$3:$E$204,2,0),"")</f>
        <v>PŘEROV</v>
      </c>
      <c r="I170" s="271"/>
      <c r="J170" s="305" t="s">
        <v>1599</v>
      </c>
      <c r="K170" s="293" t="s">
        <v>1600</v>
      </c>
      <c r="M170" s="294">
        <f>IF(ISNUMBER(SEARCH(ZAKL_DATA!$B$29,N170)),MAX($M$2:M169)+1,0)</f>
        <v>168</v>
      </c>
      <c r="N170" s="295" t="s">
        <v>1601</v>
      </c>
      <c r="O170" s="296" t="s">
        <v>1602</v>
      </c>
      <c r="Q170" s="297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295" t="s">
        <v>1601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295" t="s">
        <v>1601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295" t="s">
        <v>1601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271"/>
      <c r="B171" s="271"/>
      <c r="C171" s="271"/>
      <c r="D171" s="287">
        <f>IF(ISNUMBER(SEARCH(ZAKL_DATA!$B$14,E171)),MAX($D$2:D170)+1,0)</f>
        <v>169</v>
      </c>
      <c r="E171" s="300" t="s">
        <v>1603</v>
      </c>
      <c r="F171" s="301">
        <v>3108</v>
      </c>
      <c r="G171" s="302"/>
      <c r="H171" s="303" t="str">
        <f>IFERROR(VLOOKUP(ROWS($H$3:H171),$D$3:$E$204,2,0),"")</f>
        <v>ŠTERNBERK</v>
      </c>
      <c r="I171" s="271"/>
      <c r="J171" s="305" t="s">
        <v>1604</v>
      </c>
      <c r="K171" s="293" t="s">
        <v>1605</v>
      </c>
      <c r="M171" s="294">
        <f>IF(ISNUMBER(SEARCH(ZAKL_DATA!$B$29,N171)),MAX($M$2:M170)+1,0)</f>
        <v>169</v>
      </c>
      <c r="N171" s="295" t="s">
        <v>1606</v>
      </c>
      <c r="O171" s="296" t="s">
        <v>1607</v>
      </c>
      <c r="Q171" s="297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295" t="s">
        <v>1606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295" t="s">
        <v>1606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295" t="s">
        <v>1606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271"/>
      <c r="B172" s="271"/>
      <c r="C172" s="271"/>
      <c r="D172" s="287">
        <f>IF(ISNUMBER(SEARCH(ZAKL_DATA!$B$14,E172)),MAX($D$2:D171)+1,0)</f>
        <v>170</v>
      </c>
      <c r="E172" s="300" t="s">
        <v>1608</v>
      </c>
      <c r="F172" s="301">
        <v>3109</v>
      </c>
      <c r="G172" s="302"/>
      <c r="H172" s="303" t="str">
        <f>IFERROR(VLOOKUP(ROWS($H$3:H172),$D$3:$E$204,2,0),"")</f>
        <v>ŠUMPERK</v>
      </c>
      <c r="I172" s="271"/>
      <c r="J172" s="305" t="s">
        <v>1609</v>
      </c>
      <c r="K172" s="293" t="s">
        <v>1610</v>
      </c>
      <c r="M172" s="294">
        <f>IF(ISNUMBER(SEARCH(ZAKL_DATA!$B$29,N172)),MAX($M$2:M171)+1,0)</f>
        <v>170</v>
      </c>
      <c r="N172" s="295" t="s">
        <v>1611</v>
      </c>
      <c r="O172" s="310" t="s">
        <v>1612</v>
      </c>
      <c r="Q172" s="297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295" t="s">
        <v>1611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295" t="s">
        <v>1611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295" t="s">
        <v>1611</v>
      </c>
      <c r="Z172" t="str">
        <f>IFERROR(VLOOKUP(ROWS($Z$3:Z172),$X$3:$Y$992,2,0),"")</f>
        <v>Výroba ostatních chemických výrobků</v>
      </c>
    </row>
    <row r="173" spans="1:26" ht="12.75" customHeight="1">
      <c r="A173" s="271"/>
      <c r="B173" s="271"/>
      <c r="C173" s="271"/>
      <c r="D173" s="287">
        <f>IF(ISNUMBER(SEARCH(ZAKL_DATA!$B$14,E173)),MAX($D$2:D172)+1,0)</f>
        <v>171</v>
      </c>
      <c r="E173" s="300" t="s">
        <v>1613</v>
      </c>
      <c r="F173" s="301">
        <v>3110</v>
      </c>
      <c r="G173" s="302"/>
      <c r="H173" s="303" t="str">
        <f>IFERROR(VLOOKUP(ROWS($H$3:H173),$D$3:$E$204,2,0),"")</f>
        <v>ZÁBŘEH</v>
      </c>
      <c r="I173" s="271"/>
      <c r="J173" s="305" t="s">
        <v>1614</v>
      </c>
      <c r="K173" s="293" t="s">
        <v>1615</v>
      </c>
      <c r="M173" s="294">
        <f>IF(ISNUMBER(SEARCH(ZAKL_DATA!$B$29,N173)),MAX($M$2:M172)+1,0)</f>
        <v>171</v>
      </c>
      <c r="N173" s="295" t="s">
        <v>1616</v>
      </c>
      <c r="O173" s="296" t="s">
        <v>1617</v>
      </c>
      <c r="Q173" s="297" t="str">
        <f>IFERROR(VLOOKUP(ROWS($Q$3:Q173),$M$3:$N$992,2,0),"")</f>
        <v>Výroba chemických vláken</v>
      </c>
      <c r="R173">
        <f>IF(ISNUMBER(SEARCH('1Př1'!$A$32,N173)),MAX($M$2:M172)+1,0)</f>
        <v>171</v>
      </c>
      <c r="S173" s="295" t="s">
        <v>1616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295" t="s">
        <v>1616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295" t="s">
        <v>1616</v>
      </c>
      <c r="Z173" t="str">
        <f>IFERROR(VLOOKUP(ROWS($Z$3:Z173),$X$3:$Y$992,2,0),"")</f>
        <v>Výroba chemických vláken</v>
      </c>
    </row>
    <row r="174" spans="1:26" ht="12.75" customHeight="1">
      <c r="A174" s="271"/>
      <c r="B174" s="271"/>
      <c r="C174" s="271"/>
      <c r="D174" s="287">
        <f>IF(ISNUMBER(SEARCH(ZAKL_DATA!$B$14,E174)),MAX($D$2:D173)+1,0)</f>
        <v>172</v>
      </c>
      <c r="E174" s="300" t="s">
        <v>1618</v>
      </c>
      <c r="F174" s="301">
        <v>3201</v>
      </c>
      <c r="G174" s="302"/>
      <c r="H174" s="303" t="str">
        <f>IFERROR(VLOOKUP(ROWS($H$3:H174),$D$3:$E$204,2,0),"")</f>
        <v>OSTRAVA I</v>
      </c>
      <c r="I174" s="271"/>
      <c r="J174" s="305" t="s">
        <v>1619</v>
      </c>
      <c r="K174" s="293" t="s">
        <v>1620</v>
      </c>
      <c r="M174" s="294">
        <f>IF(ISNUMBER(SEARCH(ZAKL_DATA!$B$29,N174)),MAX($M$2:M173)+1,0)</f>
        <v>172</v>
      </c>
      <c r="N174" s="295" t="s">
        <v>1621</v>
      </c>
      <c r="O174" s="310" t="s">
        <v>1622</v>
      </c>
      <c r="Q174" s="297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295" t="s">
        <v>1621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295" t="s">
        <v>1621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295" t="s">
        <v>1621</v>
      </c>
      <c r="Z174" t="str">
        <f>IFERROR(VLOOKUP(ROWS($Z$3:Z174),$X$3:$Y$992,2,0),"")</f>
        <v>Výroba základních farmaceutických výrobků</v>
      </c>
    </row>
    <row r="175" spans="1:26" ht="12.75" customHeight="1">
      <c r="A175" s="271"/>
      <c r="B175" s="271"/>
      <c r="C175" s="271"/>
      <c r="D175" s="287">
        <f>IF(ISNUMBER(SEARCH(ZAKL_DATA!$B$14,E175)),MAX($D$2:D174)+1,0)</f>
        <v>173</v>
      </c>
      <c r="E175" s="300" t="s">
        <v>1623</v>
      </c>
      <c r="F175" s="301">
        <v>3202</v>
      </c>
      <c r="G175" s="302"/>
      <c r="H175" s="303" t="str">
        <f>IFERROR(VLOOKUP(ROWS($H$3:H175),$D$3:$E$204,2,0),"")</f>
        <v>OSTRAVA II</v>
      </c>
      <c r="I175" s="271"/>
      <c r="J175" s="305" t="s">
        <v>1624</v>
      </c>
      <c r="K175" s="293" t="s">
        <v>1625</v>
      </c>
      <c r="M175" s="294">
        <f>IF(ISNUMBER(SEARCH(ZAKL_DATA!$B$29,N175)),MAX($M$2:M174)+1,0)</f>
        <v>173</v>
      </c>
      <c r="N175" s="295" t="s">
        <v>1626</v>
      </c>
      <c r="O175" s="296" t="s">
        <v>1627</v>
      </c>
      <c r="Q175" s="297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295" t="s">
        <v>1626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295" t="s">
        <v>1626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295" t="s">
        <v>1626</v>
      </c>
      <c r="Z175" t="str">
        <f>IFERROR(VLOOKUP(ROWS($Z$3:Z175),$X$3:$Y$992,2,0),"")</f>
        <v>Výroba farmaceutických přípravků</v>
      </c>
    </row>
    <row r="176" spans="1:26" ht="12.75" customHeight="1">
      <c r="A176" s="271"/>
      <c r="B176" s="271"/>
      <c r="C176" s="271"/>
      <c r="D176" s="287">
        <f>IF(ISNUMBER(SEARCH(ZAKL_DATA!$B$14,E176)),MAX($D$2:D175)+1,0)</f>
        <v>174</v>
      </c>
      <c r="E176" s="300" t="s">
        <v>1628</v>
      </c>
      <c r="F176" s="301">
        <v>3203</v>
      </c>
      <c r="G176" s="302"/>
      <c r="H176" s="303" t="str">
        <f>IFERROR(VLOOKUP(ROWS($H$3:H176),$D$3:$E$204,2,0),"")</f>
        <v>OSTRAVA III</v>
      </c>
      <c r="I176" s="271"/>
      <c r="J176" s="305" t="s">
        <v>1629</v>
      </c>
      <c r="K176" s="293" t="s">
        <v>1630</v>
      </c>
      <c r="M176" s="294">
        <f>IF(ISNUMBER(SEARCH(ZAKL_DATA!$B$29,N176)),MAX($M$2:M175)+1,0)</f>
        <v>174</v>
      </c>
      <c r="N176" s="295" t="s">
        <v>1631</v>
      </c>
      <c r="O176" s="310" t="s">
        <v>1632</v>
      </c>
      <c r="Q176" s="297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295" t="s">
        <v>1631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295" t="s">
        <v>1631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295" t="s">
        <v>1631</v>
      </c>
      <c r="Z176" t="str">
        <f>IFERROR(VLOOKUP(ROWS($Z$3:Z176),$X$3:$Y$992,2,0),"")</f>
        <v>Výroba pryžových výrobků</v>
      </c>
    </row>
    <row r="177" spans="1:26" ht="12.75" customHeight="1">
      <c r="A177" s="271"/>
      <c r="B177" s="271"/>
      <c r="C177" s="271"/>
      <c r="D177" s="287">
        <f>IF(ISNUMBER(SEARCH(ZAKL_DATA!$B$14,E177)),MAX($D$2:D176)+1,0)</f>
        <v>175</v>
      </c>
      <c r="E177" s="300" t="s">
        <v>1633</v>
      </c>
      <c r="F177" s="301">
        <v>3204</v>
      </c>
      <c r="G177" s="302"/>
      <c r="H177" s="303" t="str">
        <f>IFERROR(VLOOKUP(ROWS($H$3:H177),$D$3:$E$204,2,0),"")</f>
        <v>BOHUMÍN</v>
      </c>
      <c r="I177" s="271"/>
      <c r="J177" s="305" t="s">
        <v>1634</v>
      </c>
      <c r="K177" s="293" t="s">
        <v>1635</v>
      </c>
      <c r="M177" s="294">
        <f>IF(ISNUMBER(SEARCH(ZAKL_DATA!$B$29,N177)),MAX($M$2:M176)+1,0)</f>
        <v>175</v>
      </c>
      <c r="N177" s="295" t="s">
        <v>1636</v>
      </c>
      <c r="O177" s="296" t="s">
        <v>1637</v>
      </c>
      <c r="Q177" s="297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295" t="s">
        <v>1636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295" t="s">
        <v>1636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295" t="s">
        <v>1636</v>
      </c>
      <c r="Z177" t="str">
        <f>IFERROR(VLOOKUP(ROWS($Z$3:Z177),$X$3:$Y$992,2,0),"")</f>
        <v>Výroba plastových výrobků</v>
      </c>
    </row>
    <row r="178" spans="1:26" ht="12.75" customHeight="1">
      <c r="A178" s="271"/>
      <c r="B178" s="271"/>
      <c r="C178" s="271"/>
      <c r="D178" s="287">
        <f>IF(ISNUMBER(SEARCH(ZAKL_DATA!$B$14,E178)),MAX($D$2:D177)+1,0)</f>
        <v>176</v>
      </c>
      <c r="E178" s="300" t="s">
        <v>1638</v>
      </c>
      <c r="F178" s="301">
        <v>3205</v>
      </c>
      <c r="G178" s="302"/>
      <c r="H178" s="303" t="str">
        <f>IFERROR(VLOOKUP(ROWS($H$3:H178),$D$3:$E$204,2,0),"")</f>
        <v>BRUNTÁL</v>
      </c>
      <c r="I178" s="271"/>
      <c r="J178" s="305" t="s">
        <v>1639</v>
      </c>
      <c r="K178" s="293" t="s">
        <v>1640</v>
      </c>
      <c r="M178" s="294">
        <f>IF(ISNUMBER(SEARCH(ZAKL_DATA!$B$29,N178)),MAX($M$2:M177)+1,0)</f>
        <v>176</v>
      </c>
      <c r="N178" s="295" t="s">
        <v>1641</v>
      </c>
      <c r="O178" s="310" t="s">
        <v>1642</v>
      </c>
      <c r="Q178" s="297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295" t="s">
        <v>1641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295" t="s">
        <v>1641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295" t="s">
        <v>1641</v>
      </c>
      <c r="Z178" t="str">
        <f>IFERROR(VLOOKUP(ROWS($Z$3:Z178),$X$3:$Y$992,2,0),"")</f>
        <v>Výroba skla a skleněných výrobků</v>
      </c>
    </row>
    <row r="179" spans="1:26" ht="12.75" customHeight="1">
      <c r="A179" s="271"/>
      <c r="B179" s="271"/>
      <c r="C179" s="271"/>
      <c r="D179" s="287">
        <f>IF(ISNUMBER(SEARCH(ZAKL_DATA!$B$14,E179)),MAX($D$2:D178)+1,0)</f>
        <v>177</v>
      </c>
      <c r="E179" s="300" t="s">
        <v>1643</v>
      </c>
      <c r="F179" s="301">
        <v>3206</v>
      </c>
      <c r="G179" s="302"/>
      <c r="H179" s="303" t="str">
        <f>IFERROR(VLOOKUP(ROWS($H$3:H179),$D$3:$E$204,2,0),"")</f>
        <v>ČESKÝ TĚŠÍN</v>
      </c>
      <c r="I179" s="271"/>
      <c r="J179" s="305" t="s">
        <v>1644</v>
      </c>
      <c r="K179" s="293" t="s">
        <v>1645</v>
      </c>
      <c r="M179" s="294">
        <f>IF(ISNUMBER(SEARCH(ZAKL_DATA!$B$29,N179)),MAX($M$2:M178)+1,0)</f>
        <v>177</v>
      </c>
      <c r="N179" s="295" t="s">
        <v>1646</v>
      </c>
      <c r="O179" s="310" t="s">
        <v>1647</v>
      </c>
      <c r="Q179" s="297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295" t="s">
        <v>1646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295" t="s">
        <v>1646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295" t="s">
        <v>1646</v>
      </c>
      <c r="Z179" t="str">
        <f>IFERROR(VLOOKUP(ROWS($Z$3:Z179),$X$3:$Y$992,2,0),"")</f>
        <v>Výroba žáruvzdorných výrobků</v>
      </c>
    </row>
    <row r="180" spans="1:26" ht="12.75" customHeight="1">
      <c r="A180" s="271"/>
      <c r="B180" s="271"/>
      <c r="C180" s="271"/>
      <c r="D180" s="287">
        <f>IF(ISNUMBER(SEARCH(ZAKL_DATA!$B$14,E180)),MAX($D$2:D179)+1,0)</f>
        <v>178</v>
      </c>
      <c r="E180" s="300" t="s">
        <v>1648</v>
      </c>
      <c r="F180" s="301">
        <v>3207</v>
      </c>
      <c r="G180" s="302"/>
      <c r="H180" s="303" t="str">
        <f>IFERROR(VLOOKUP(ROWS($H$3:H180),$D$3:$E$204,2,0),"")</f>
        <v>FRÝDEK-MÍSTEK</v>
      </c>
      <c r="I180" s="271"/>
      <c r="J180" s="305" t="s">
        <v>1649</v>
      </c>
      <c r="K180" s="293" t="s">
        <v>1650</v>
      </c>
      <c r="M180" s="294">
        <f>IF(ISNUMBER(SEARCH(ZAKL_DATA!$B$29,N180)),MAX($M$2:M179)+1,0)</f>
        <v>178</v>
      </c>
      <c r="N180" s="295" t="s">
        <v>1651</v>
      </c>
      <c r="O180" s="310" t="s">
        <v>1652</v>
      </c>
      <c r="Q180" s="297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295" t="s">
        <v>1651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295" t="s">
        <v>1651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295" t="s">
        <v>1651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271"/>
      <c r="B181" s="271"/>
      <c r="C181" s="271"/>
      <c r="D181" s="287">
        <f>IF(ISNUMBER(SEARCH(ZAKL_DATA!$B$14,E181)),MAX($D$2:D180)+1,0)</f>
        <v>179</v>
      </c>
      <c r="E181" s="300" t="s">
        <v>1653</v>
      </c>
      <c r="F181" s="301">
        <v>3208</v>
      </c>
      <c r="G181" s="302"/>
      <c r="H181" s="303" t="str">
        <f>IFERROR(VLOOKUP(ROWS($H$3:H181),$D$3:$E$204,2,0),"")</f>
        <v>FRÝDLANT NAD OSTRAV.</v>
      </c>
      <c r="I181" s="271"/>
      <c r="J181" s="305" t="s">
        <v>1654</v>
      </c>
      <c r="K181" s="293" t="s">
        <v>1655</v>
      </c>
      <c r="M181" s="294">
        <f>IF(ISNUMBER(SEARCH(ZAKL_DATA!$B$29,N181)),MAX($M$2:M180)+1,0)</f>
        <v>179</v>
      </c>
      <c r="N181" s="295" t="s">
        <v>1656</v>
      </c>
      <c r="O181" s="310" t="s">
        <v>1657</v>
      </c>
      <c r="Q181" s="297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295" t="s">
        <v>1656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295" t="s">
        <v>1656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295" t="s">
        <v>1656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271"/>
      <c r="B182" s="271"/>
      <c r="C182" s="271"/>
      <c r="D182" s="287">
        <f>IF(ISNUMBER(SEARCH(ZAKL_DATA!$B$14,E182)),MAX($D$2:D181)+1,0)</f>
        <v>180</v>
      </c>
      <c r="E182" s="300" t="s">
        <v>1658</v>
      </c>
      <c r="F182" s="301">
        <v>3209</v>
      </c>
      <c r="G182" s="302"/>
      <c r="H182" s="303" t="str">
        <f>IFERROR(VLOOKUP(ROWS($H$3:H182),$D$3:$E$204,2,0),"")</f>
        <v>FULNEK</v>
      </c>
      <c r="I182" s="271"/>
      <c r="J182" s="305" t="s">
        <v>1659</v>
      </c>
      <c r="K182" s="293" t="s">
        <v>1660</v>
      </c>
      <c r="M182" s="294">
        <f>IF(ISNUMBER(SEARCH(ZAKL_DATA!$B$29,N182)),MAX($M$2:M181)+1,0)</f>
        <v>180</v>
      </c>
      <c r="N182" s="295" t="s">
        <v>1661</v>
      </c>
      <c r="O182" s="310" t="s">
        <v>1662</v>
      </c>
      <c r="Q182" s="297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295" t="s">
        <v>1661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295" t="s">
        <v>1661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295" t="s">
        <v>1661</v>
      </c>
      <c r="Z182" t="str">
        <f>IFERROR(VLOOKUP(ROWS($Z$3:Z182),$X$3:$Y$992,2,0),"")</f>
        <v>Výroba cementu, vápna a sádry</v>
      </c>
    </row>
    <row r="183" spans="1:26" ht="12.75" customHeight="1">
      <c r="A183" s="271"/>
      <c r="B183" s="271"/>
      <c r="C183" s="271"/>
      <c r="D183" s="287">
        <f>IF(ISNUMBER(SEARCH(ZAKL_DATA!$B$14,E183)),MAX($D$2:D182)+1,0)</f>
        <v>181</v>
      </c>
      <c r="E183" s="300" t="s">
        <v>1663</v>
      </c>
      <c r="F183" s="301">
        <v>3210</v>
      </c>
      <c r="G183" s="302"/>
      <c r="H183" s="303" t="str">
        <f>IFERROR(VLOOKUP(ROWS($H$3:H183),$D$3:$E$204,2,0),"")</f>
        <v>HAVÍŘOV</v>
      </c>
      <c r="I183" s="271"/>
      <c r="J183" s="305" t="s">
        <v>1664</v>
      </c>
      <c r="K183" s="293" t="s">
        <v>1665</v>
      </c>
      <c r="M183" s="294">
        <f>IF(ISNUMBER(SEARCH(ZAKL_DATA!$B$29,N183)),MAX($M$2:M182)+1,0)</f>
        <v>181</v>
      </c>
      <c r="N183" s="295" t="s">
        <v>1666</v>
      </c>
      <c r="O183" s="310" t="s">
        <v>1667</v>
      </c>
      <c r="Q183" s="297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295" t="s">
        <v>1666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295" t="s">
        <v>1666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295" t="s">
        <v>1666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271"/>
      <c r="B184" s="271"/>
      <c r="C184" s="271"/>
      <c r="D184" s="287">
        <f>IF(ISNUMBER(SEARCH(ZAKL_DATA!$B$14,E184)),MAX($D$2:D183)+1,0)</f>
        <v>182</v>
      </c>
      <c r="E184" s="300" t="s">
        <v>1668</v>
      </c>
      <c r="F184" s="301">
        <v>3211</v>
      </c>
      <c r="G184" s="302"/>
      <c r="H184" s="303" t="str">
        <f>IFERROR(VLOOKUP(ROWS($H$3:H184),$D$3:$E$204,2,0),"")</f>
        <v>HLUČÍN</v>
      </c>
      <c r="I184" s="271"/>
      <c r="J184" s="305" t="s">
        <v>1669</v>
      </c>
      <c r="K184" s="293" t="s">
        <v>1670</v>
      </c>
      <c r="M184" s="294">
        <f>IF(ISNUMBER(SEARCH(ZAKL_DATA!$B$29,N184)),MAX($M$2:M183)+1,0)</f>
        <v>182</v>
      </c>
      <c r="N184" s="295" t="s">
        <v>1671</v>
      </c>
      <c r="O184" s="310" t="s">
        <v>1672</v>
      </c>
      <c r="Q184" s="297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295" t="s">
        <v>1671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295" t="s">
        <v>1671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295" t="s">
        <v>1671</v>
      </c>
      <c r="Z184" t="str">
        <f>IFERROR(VLOOKUP(ROWS($Z$3:Z184),$X$3:$Y$992,2,0),"")</f>
        <v>Řezání, tvarování a konečná úprava kamenů</v>
      </c>
    </row>
    <row r="185" spans="1:26" ht="12.75" customHeight="1">
      <c r="A185" s="271"/>
      <c r="B185" s="271"/>
      <c r="C185" s="271"/>
      <c r="D185" s="287">
        <f>IF(ISNUMBER(SEARCH(ZAKL_DATA!$B$14,E185)),MAX($D$2:D184)+1,0)</f>
        <v>183</v>
      </c>
      <c r="E185" s="300" t="s">
        <v>1673</v>
      </c>
      <c r="F185" s="301">
        <v>3212</v>
      </c>
      <c r="G185" s="302"/>
      <c r="H185" s="303" t="str">
        <f>IFERROR(VLOOKUP(ROWS($H$3:H185),$D$3:$E$204,2,0),"")</f>
        <v>KARVINÁ</v>
      </c>
      <c r="I185" s="271"/>
      <c r="J185" s="305" t="s">
        <v>1674</v>
      </c>
      <c r="K185" s="293" t="s">
        <v>1675</v>
      </c>
      <c r="M185" s="294">
        <f>IF(ISNUMBER(SEARCH(ZAKL_DATA!$B$29,N185)),MAX($M$2:M184)+1,0)</f>
        <v>183</v>
      </c>
      <c r="N185" s="295" t="s">
        <v>1676</v>
      </c>
      <c r="O185" s="296" t="s">
        <v>1677</v>
      </c>
      <c r="Q185" s="297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295" t="s">
        <v>1676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295" t="s">
        <v>1676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295" t="s">
        <v>1676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271"/>
      <c r="B186" s="271"/>
      <c r="C186" s="271"/>
      <c r="D186" s="287">
        <f>IF(ISNUMBER(SEARCH(ZAKL_DATA!$B$14,E186)),MAX($D$2:D185)+1,0)</f>
        <v>184</v>
      </c>
      <c r="E186" s="300" t="s">
        <v>1678</v>
      </c>
      <c r="F186" s="301">
        <v>3213</v>
      </c>
      <c r="G186" s="302"/>
      <c r="H186" s="303" t="str">
        <f>IFERROR(VLOOKUP(ROWS($H$3:H186),$D$3:$E$204,2,0),"")</f>
        <v>KOPŘIVNICE</v>
      </c>
      <c r="I186" s="271"/>
      <c r="J186" s="305" t="s">
        <v>1679</v>
      </c>
      <c r="K186" s="293" t="s">
        <v>1680</v>
      </c>
      <c r="M186" s="294">
        <f>IF(ISNUMBER(SEARCH(ZAKL_DATA!$B$29,N186)),MAX($M$2:M185)+1,0)</f>
        <v>184</v>
      </c>
      <c r="N186" s="295" t="s">
        <v>1681</v>
      </c>
      <c r="O186" s="296" t="s">
        <v>1682</v>
      </c>
      <c r="Q186" s="297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295" t="s">
        <v>1681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295" t="s">
        <v>1681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295" t="s">
        <v>1681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271"/>
      <c r="B187" s="271"/>
      <c r="C187" s="271"/>
      <c r="D187" s="287">
        <f>IF(ISNUMBER(SEARCH(ZAKL_DATA!$B$14,E187)),MAX($D$2:D186)+1,0)</f>
        <v>185</v>
      </c>
      <c r="E187" s="300" t="s">
        <v>1683</v>
      </c>
      <c r="F187" s="301">
        <v>3214</v>
      </c>
      <c r="G187" s="302"/>
      <c r="H187" s="303" t="str">
        <f>IFERROR(VLOOKUP(ROWS($H$3:H187),$D$3:$E$204,2,0),"")</f>
        <v>KRNOV</v>
      </c>
      <c r="I187" s="271"/>
      <c r="J187" s="305" t="s">
        <v>1684</v>
      </c>
      <c r="K187" s="293" t="s">
        <v>1685</v>
      </c>
      <c r="M187" s="294">
        <f>IF(ISNUMBER(SEARCH(ZAKL_DATA!$B$29,N187)),MAX($M$2:M186)+1,0)</f>
        <v>185</v>
      </c>
      <c r="N187" s="295" t="s">
        <v>1686</v>
      </c>
      <c r="O187" s="310" t="s">
        <v>1687</v>
      </c>
      <c r="Q187" s="297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295" t="s">
        <v>1686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295" t="s">
        <v>1686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295" t="s">
        <v>1686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271"/>
      <c r="B188" s="271"/>
      <c r="C188" s="271"/>
      <c r="D188" s="287">
        <f>IF(ISNUMBER(SEARCH(ZAKL_DATA!$B$14,E188)),MAX($D$2:D187)+1,0)</f>
        <v>186</v>
      </c>
      <c r="E188" s="300" t="s">
        <v>1688</v>
      </c>
      <c r="F188" s="301">
        <v>3215</v>
      </c>
      <c r="G188" s="302"/>
      <c r="H188" s="303" t="str">
        <f>IFERROR(VLOOKUP(ROWS($H$3:H188),$D$3:$E$204,2,0),"")</f>
        <v>NOVÝ JIČÍN</v>
      </c>
      <c r="I188" s="271"/>
      <c r="J188" s="305" t="s">
        <v>1689</v>
      </c>
      <c r="K188" s="293" t="s">
        <v>1690</v>
      </c>
      <c r="M188" s="294">
        <f>IF(ISNUMBER(SEARCH(ZAKL_DATA!$B$29,N188)),MAX($M$2:M187)+1,0)</f>
        <v>186</v>
      </c>
      <c r="N188" s="295" t="s">
        <v>1691</v>
      </c>
      <c r="O188" s="296" t="s">
        <v>1692</v>
      </c>
      <c r="Q188" s="297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295" t="s">
        <v>1691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295" t="s">
        <v>1691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295" t="s">
        <v>1691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271"/>
      <c r="B189" s="271"/>
      <c r="C189" s="271"/>
      <c r="D189" s="287">
        <f>IF(ISNUMBER(SEARCH(ZAKL_DATA!$B$14,E189)),MAX($D$2:D188)+1,0)</f>
        <v>187</v>
      </c>
      <c r="E189" s="300" t="s">
        <v>1693</v>
      </c>
      <c r="F189" s="301">
        <v>3216</v>
      </c>
      <c r="G189" s="302"/>
      <c r="H189" s="303" t="str">
        <f>IFERROR(VLOOKUP(ROWS($H$3:H189),$D$3:$E$204,2,0),"")</f>
        <v>OPAVA</v>
      </c>
      <c r="I189" s="271"/>
      <c r="J189" s="305" t="s">
        <v>1694</v>
      </c>
      <c r="K189" s="293" t="s">
        <v>1695</v>
      </c>
      <c r="M189" s="294">
        <f>IF(ISNUMBER(SEARCH(ZAKL_DATA!$B$29,N189)),MAX($M$2:M188)+1,0)</f>
        <v>187</v>
      </c>
      <c r="N189" s="295" t="s">
        <v>1696</v>
      </c>
      <c r="O189" s="310" t="s">
        <v>1697</v>
      </c>
      <c r="Q189" s="297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295" t="s">
        <v>1696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295" t="s">
        <v>1696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295" t="s">
        <v>1696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271"/>
      <c r="B190" s="271"/>
      <c r="C190" s="271"/>
      <c r="D190" s="287">
        <f>IF(ISNUMBER(SEARCH(ZAKL_DATA!$B$14,E190)),MAX($D$2:D189)+1,0)</f>
        <v>188</v>
      </c>
      <c r="E190" s="300" t="s">
        <v>1698</v>
      </c>
      <c r="F190" s="301">
        <v>3217</v>
      </c>
      <c r="G190" s="302"/>
      <c r="H190" s="303" t="str">
        <f>IFERROR(VLOOKUP(ROWS($H$3:H190),$D$3:$E$204,2,0),"")</f>
        <v>ORLOVÁ</v>
      </c>
      <c r="I190" s="271"/>
      <c r="J190" s="305" t="s">
        <v>1699</v>
      </c>
      <c r="K190" s="293" t="s">
        <v>1700</v>
      </c>
      <c r="M190" s="294">
        <f>IF(ISNUMBER(SEARCH(ZAKL_DATA!$B$29,N190)),MAX($M$2:M189)+1,0)</f>
        <v>188</v>
      </c>
      <c r="N190" s="295" t="s">
        <v>1701</v>
      </c>
      <c r="O190" s="296" t="s">
        <v>1702</v>
      </c>
      <c r="Q190" s="297" t="str">
        <f>IFERROR(VLOOKUP(ROWS($Q$3:Q190),$M$3:$N$992,2,0),"")</f>
        <v>Slévárenství</v>
      </c>
      <c r="R190">
        <f>IF(ISNUMBER(SEARCH('1Př1'!$A$32,N190)),MAX($M$2:M189)+1,0)</f>
        <v>188</v>
      </c>
      <c r="S190" s="295" t="s">
        <v>1701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295" t="s">
        <v>1701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295" t="s">
        <v>1701</v>
      </c>
      <c r="Z190" t="str">
        <f>IFERROR(VLOOKUP(ROWS($Z$3:Z190),$X$3:$Y$992,2,0),"")</f>
        <v>Slévárenství</v>
      </c>
    </row>
    <row r="191" spans="1:26" ht="12.75" customHeight="1">
      <c r="A191" s="271"/>
      <c r="B191" s="271"/>
      <c r="C191" s="271"/>
      <c r="D191" s="287">
        <f>IF(ISNUMBER(SEARCH(ZAKL_DATA!$B$14,E191)),MAX($D$2:D190)+1,0)</f>
        <v>189</v>
      </c>
      <c r="E191" s="300" t="s">
        <v>1703</v>
      </c>
      <c r="F191" s="301">
        <v>3218</v>
      </c>
      <c r="G191" s="302"/>
      <c r="H191" s="303" t="str">
        <f>IFERROR(VLOOKUP(ROWS($H$3:H191),$D$3:$E$204,2,0),"")</f>
        <v>TŘINEC</v>
      </c>
      <c r="I191" s="271"/>
      <c r="J191" s="305" t="s">
        <v>1704</v>
      </c>
      <c r="K191" s="293" t="s">
        <v>1705</v>
      </c>
      <c r="M191" s="294">
        <f>IF(ISNUMBER(SEARCH(ZAKL_DATA!$B$29,N191)),MAX($M$2:M190)+1,0)</f>
        <v>189</v>
      </c>
      <c r="N191" s="295" t="s">
        <v>1706</v>
      </c>
      <c r="O191" s="310" t="s">
        <v>1707</v>
      </c>
      <c r="Q191" s="297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295" t="s">
        <v>1706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295" t="s">
        <v>1706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295" t="s">
        <v>1706</v>
      </c>
      <c r="Z191" t="str">
        <f>IFERROR(VLOOKUP(ROWS($Z$3:Z191),$X$3:$Y$992,2,0),"")</f>
        <v>Výroba konstrukčních kovových výrobků</v>
      </c>
    </row>
    <row r="192" spans="1:26" ht="12.75" customHeight="1">
      <c r="A192" s="271"/>
      <c r="B192" s="271"/>
      <c r="C192" s="271"/>
      <c r="D192" s="287">
        <f>IF(ISNUMBER(SEARCH(ZAKL_DATA!$B$14,E192)),MAX($D$2:D191)+1,0)</f>
        <v>190</v>
      </c>
      <c r="E192" s="300" t="s">
        <v>1708</v>
      </c>
      <c r="F192" s="301">
        <v>3301</v>
      </c>
      <c r="G192" s="302"/>
      <c r="H192" s="303" t="str">
        <f>IFERROR(VLOOKUP(ROWS($H$3:H192),$D$3:$E$204,2,0),"")</f>
        <v>ZLÍN</v>
      </c>
      <c r="I192" s="271"/>
      <c r="J192" s="305" t="s">
        <v>1709</v>
      </c>
      <c r="K192" s="293" t="s">
        <v>1710</v>
      </c>
      <c r="M192" s="294">
        <f>IF(ISNUMBER(SEARCH(ZAKL_DATA!$B$29,N192)),MAX($M$2:M191)+1,0)</f>
        <v>190</v>
      </c>
      <c r="N192" s="295" t="s">
        <v>1711</v>
      </c>
      <c r="O192" s="310" t="s">
        <v>1712</v>
      </c>
      <c r="Q192" s="297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295" t="s">
        <v>1711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295" t="s">
        <v>1711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295" t="s">
        <v>1711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271"/>
      <c r="B193" s="271"/>
      <c r="C193" s="271"/>
      <c r="D193" s="287">
        <f>IF(ISNUMBER(SEARCH(ZAKL_DATA!$B$14,E193)),MAX($D$2:D192)+1,0)</f>
        <v>191</v>
      </c>
      <c r="E193" s="300" t="s">
        <v>1713</v>
      </c>
      <c r="F193" s="301">
        <v>3302</v>
      </c>
      <c r="G193" s="302"/>
      <c r="H193" s="303" t="str">
        <f>IFERROR(VLOOKUP(ROWS($H$3:H193),$D$3:$E$204,2,0),"")</f>
        <v>BYSTŘICE POD HOSTÝNEM</v>
      </c>
      <c r="I193" s="271"/>
      <c r="J193" s="305" t="s">
        <v>1714</v>
      </c>
      <c r="K193" s="293" t="s">
        <v>1715</v>
      </c>
      <c r="M193" s="294">
        <f>IF(ISNUMBER(SEARCH(ZAKL_DATA!$B$29,N193)),MAX($M$2:M192)+1,0)</f>
        <v>191</v>
      </c>
      <c r="N193" s="295" t="s">
        <v>1716</v>
      </c>
      <c r="O193" s="310" t="s">
        <v>1717</v>
      </c>
      <c r="Q193" s="297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295" t="s">
        <v>1716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295" t="s">
        <v>1716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295" t="s">
        <v>1716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271"/>
      <c r="B194" s="271"/>
      <c r="C194" s="271"/>
      <c r="D194" s="287">
        <f>IF(ISNUMBER(SEARCH(ZAKL_DATA!$B$14,E194)),MAX($D$2:D193)+1,0)</f>
        <v>192</v>
      </c>
      <c r="E194" s="300" t="s">
        <v>1718</v>
      </c>
      <c r="F194" s="301">
        <v>3303</v>
      </c>
      <c r="G194" s="302"/>
      <c r="H194" s="303" t="str">
        <f>IFERROR(VLOOKUP(ROWS($H$3:H194),$D$3:$E$204,2,0),"")</f>
        <v>HOLEŠOV</v>
      </c>
      <c r="I194" s="271"/>
      <c r="J194" s="305" t="s">
        <v>1719</v>
      </c>
      <c r="K194" s="293" t="s">
        <v>1720</v>
      </c>
      <c r="M194" s="294">
        <f>IF(ISNUMBER(SEARCH(ZAKL_DATA!$B$29,N194)),MAX($M$2:M193)+1,0)</f>
        <v>192</v>
      </c>
      <c r="N194" s="295" t="s">
        <v>1721</v>
      </c>
      <c r="O194" s="310" t="s">
        <v>1722</v>
      </c>
      <c r="Q194" s="297" t="str">
        <f>IFERROR(VLOOKUP(ROWS($Q$3:Q194),$M$3:$N$992,2,0),"")</f>
        <v>Výroba zbraní a střeliva</v>
      </c>
      <c r="R194">
        <f>IF(ISNUMBER(SEARCH('1Př1'!$A$32,N194)),MAX($M$2:M193)+1,0)</f>
        <v>192</v>
      </c>
      <c r="S194" s="295" t="s">
        <v>1721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295" t="s">
        <v>1721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295" t="s">
        <v>1721</v>
      </c>
      <c r="Z194" t="str">
        <f>IFERROR(VLOOKUP(ROWS($Z$3:Z194),$X$3:$Y$992,2,0),"")</f>
        <v>Výroba zbraní a střeliva</v>
      </c>
    </row>
    <row r="195" spans="1:26" ht="12.75" customHeight="1">
      <c r="A195" s="271"/>
      <c r="B195" s="271"/>
      <c r="C195" s="271"/>
      <c r="D195" s="287">
        <f>IF(ISNUMBER(SEARCH(ZAKL_DATA!$B$14,E195)),MAX($D$2:D194)+1,0)</f>
        <v>193</v>
      </c>
      <c r="E195" s="300" t="s">
        <v>1723</v>
      </c>
      <c r="F195" s="301">
        <v>3304</v>
      </c>
      <c r="G195" s="302"/>
      <c r="H195" s="303" t="str">
        <f>IFERROR(VLOOKUP(ROWS($H$3:H195),$D$3:$E$204,2,0),"")</f>
        <v>KROMĚŘÍŽ</v>
      </c>
      <c r="I195" s="271"/>
      <c r="J195" s="305" t="s">
        <v>1724</v>
      </c>
      <c r="K195" s="293" t="s">
        <v>1725</v>
      </c>
      <c r="M195" s="294">
        <f>IF(ISNUMBER(SEARCH(ZAKL_DATA!$B$29,N195)),MAX($M$2:M194)+1,0)</f>
        <v>193</v>
      </c>
      <c r="N195" s="295" t="s">
        <v>1726</v>
      </c>
      <c r="O195" s="296" t="s">
        <v>1727</v>
      </c>
      <c r="Q195" s="297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295" t="s">
        <v>1726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295" t="s">
        <v>1726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295" t="s">
        <v>1726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271"/>
      <c r="B196" s="271"/>
      <c r="C196" s="271"/>
      <c r="D196" s="287">
        <f>IF(ISNUMBER(SEARCH(ZAKL_DATA!$B$14,E196)),MAX($D$2:D195)+1,0)</f>
        <v>194</v>
      </c>
      <c r="E196" s="300" t="s">
        <v>1728</v>
      </c>
      <c r="F196" s="301">
        <v>3305</v>
      </c>
      <c r="G196" s="302"/>
      <c r="H196" s="303" t="str">
        <f>IFERROR(VLOOKUP(ROWS($H$3:H196),$D$3:$E$204,2,0),"")</f>
        <v>LUHAČOVICE</v>
      </c>
      <c r="I196" s="271"/>
      <c r="J196" s="305" t="s">
        <v>1729</v>
      </c>
      <c r="K196" s="293" t="s">
        <v>1730</v>
      </c>
      <c r="M196" s="294">
        <f>IF(ISNUMBER(SEARCH(ZAKL_DATA!$B$29,N196)),MAX($M$2:M195)+1,0)</f>
        <v>194</v>
      </c>
      <c r="N196" s="295" t="s">
        <v>1731</v>
      </c>
      <c r="O196" s="296" t="s">
        <v>1732</v>
      </c>
      <c r="Q196" s="297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295" t="s">
        <v>1731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295" t="s">
        <v>1731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295" t="s">
        <v>1731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271"/>
      <c r="B197" s="271"/>
      <c r="C197" s="271"/>
      <c r="D197" s="287">
        <f>IF(ISNUMBER(SEARCH(ZAKL_DATA!$B$14,E197)),MAX($D$2:D196)+1,0)</f>
        <v>195</v>
      </c>
      <c r="E197" s="300" t="s">
        <v>1733</v>
      </c>
      <c r="F197" s="301">
        <v>3306</v>
      </c>
      <c r="G197" s="302"/>
      <c r="H197" s="303" t="str">
        <f>IFERROR(VLOOKUP(ROWS($H$3:H197),$D$3:$E$204,2,0),"")</f>
        <v>OTROKOVICE</v>
      </c>
      <c r="I197" s="271"/>
      <c r="J197" s="305" t="s">
        <v>1734</v>
      </c>
      <c r="K197" s="293" t="s">
        <v>1735</v>
      </c>
      <c r="M197" s="294">
        <f>IF(ISNUMBER(SEARCH(ZAKL_DATA!$B$29,N197)),MAX($M$2:M196)+1,0)</f>
        <v>195</v>
      </c>
      <c r="N197" s="295" t="s">
        <v>1736</v>
      </c>
      <c r="O197" s="296" t="s">
        <v>1737</v>
      </c>
      <c r="Q197" s="297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295" t="s">
        <v>1736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295" t="s">
        <v>1736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295" t="s">
        <v>1736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271"/>
      <c r="B198" s="271"/>
      <c r="C198" s="271"/>
      <c r="D198" s="287">
        <f>IF(ISNUMBER(SEARCH(ZAKL_DATA!$B$14,E198)),MAX($D$2:D197)+1,0)</f>
        <v>196</v>
      </c>
      <c r="E198" s="300" t="s">
        <v>1738</v>
      </c>
      <c r="F198" s="301">
        <v>3307</v>
      </c>
      <c r="G198" s="302"/>
      <c r="H198" s="303" t="str">
        <f>IFERROR(VLOOKUP(ROWS($H$3:H198),$D$3:$E$204,2,0),"")</f>
        <v>ROŽNOV POD RADH.</v>
      </c>
      <c r="I198" s="271"/>
      <c r="J198" s="305" t="s">
        <v>1739</v>
      </c>
      <c r="K198" s="293" t="s">
        <v>1740</v>
      </c>
      <c r="M198" s="294">
        <f>IF(ISNUMBER(SEARCH(ZAKL_DATA!$B$29,N198)),MAX($M$2:M197)+1,0)</f>
        <v>196</v>
      </c>
      <c r="N198" s="295" t="s">
        <v>1741</v>
      </c>
      <c r="O198" s="296" t="s">
        <v>1742</v>
      </c>
      <c r="Q198" s="297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295" t="s">
        <v>1741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295" t="s">
        <v>1741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295" t="s">
        <v>1741</v>
      </c>
      <c r="Z198" t="str">
        <f>IFERROR(VLOOKUP(ROWS($Z$3:Z198),$X$3:$Y$992,2,0),"")</f>
        <v>Výroba ostatních kovodělných výrobků</v>
      </c>
    </row>
    <row r="199" spans="1:26" ht="12.75" customHeight="1">
      <c r="A199" s="271"/>
      <c r="B199" s="271"/>
      <c r="C199" s="271"/>
      <c r="D199" s="287">
        <f>IF(ISNUMBER(SEARCH(ZAKL_DATA!$B$14,E199)),MAX($D$2:D198)+1,0)</f>
        <v>197</v>
      </c>
      <c r="E199" s="300" t="s">
        <v>1743</v>
      </c>
      <c r="F199" s="301">
        <v>3308</v>
      </c>
      <c r="G199" s="302"/>
      <c r="H199" s="303" t="str">
        <f>IFERROR(VLOOKUP(ROWS($H$3:H199),$D$3:$E$204,2,0),"")</f>
        <v>UHERSKÝ BROD</v>
      </c>
      <c r="I199" s="271"/>
      <c r="J199" s="305" t="s">
        <v>1744</v>
      </c>
      <c r="K199" s="293" t="s">
        <v>1745</v>
      </c>
      <c r="M199" s="294">
        <f>IF(ISNUMBER(SEARCH(ZAKL_DATA!$B$29,N199)),MAX($M$2:M198)+1,0)</f>
        <v>197</v>
      </c>
      <c r="N199" s="295" t="s">
        <v>1746</v>
      </c>
      <c r="O199" s="296" t="s">
        <v>1747</v>
      </c>
      <c r="Q199" s="297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295" t="s">
        <v>1746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295" t="s">
        <v>1746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295" t="s">
        <v>1746</v>
      </c>
      <c r="Z199" t="str">
        <f>IFERROR(VLOOKUP(ROWS($Z$3:Z199),$X$3:$Y$992,2,0),"")</f>
        <v>Výroba elektronických součástek a desek</v>
      </c>
    </row>
    <row r="200" spans="1:26" ht="12.75" customHeight="1">
      <c r="A200" s="271"/>
      <c r="B200" s="271"/>
      <c r="C200" s="271"/>
      <c r="D200" s="287">
        <f>IF(ISNUMBER(SEARCH(ZAKL_DATA!$B$14,E200)),MAX($D$2:D199)+1,0)</f>
        <v>198</v>
      </c>
      <c r="E200" s="300" t="s">
        <v>1748</v>
      </c>
      <c r="F200" s="301">
        <v>3309</v>
      </c>
      <c r="G200" s="302"/>
      <c r="H200" s="303" t="str">
        <f>IFERROR(VLOOKUP(ROWS($H$3:H200),$D$3:$E$204,2,0),"")</f>
        <v>UHERSKÉ HRADIŠTĚ</v>
      </c>
      <c r="I200" s="271"/>
      <c r="J200" s="305" t="s">
        <v>1749</v>
      </c>
      <c r="K200" s="293" t="s">
        <v>1750</v>
      </c>
      <c r="M200" s="294">
        <f>IF(ISNUMBER(SEARCH(ZAKL_DATA!$B$29,N200)),MAX($M$2:M199)+1,0)</f>
        <v>198</v>
      </c>
      <c r="N200" s="295" t="s">
        <v>1751</v>
      </c>
      <c r="O200" s="296" t="s">
        <v>1752</v>
      </c>
      <c r="Q200" s="297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295" t="s">
        <v>1751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295" t="s">
        <v>1751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295" t="s">
        <v>1751</v>
      </c>
      <c r="Z200" t="str">
        <f>IFERROR(VLOOKUP(ROWS($Z$3:Z200),$X$3:$Y$992,2,0),"")</f>
        <v>Výroba počítačů a periferních zařízení</v>
      </c>
    </row>
    <row r="201" spans="1:26" ht="12.75" customHeight="1">
      <c r="A201" s="271"/>
      <c r="B201" s="271"/>
      <c r="C201" s="271"/>
      <c r="D201" s="287">
        <f>IF(ISNUMBER(SEARCH(ZAKL_DATA!$B$14,E201)),MAX($D$2:D200)+1,0)</f>
        <v>199</v>
      </c>
      <c r="E201" s="300" t="s">
        <v>1753</v>
      </c>
      <c r="F201" s="301">
        <v>3310</v>
      </c>
      <c r="G201" s="302"/>
      <c r="H201" s="303" t="str">
        <f>IFERROR(VLOOKUP(ROWS($H$3:H201),$D$3:$E$204,2,0),"")</f>
        <v>VALAŠSKÉ MEZIŘÍČÍ</v>
      </c>
      <c r="I201" s="271"/>
      <c r="J201" s="305" t="s">
        <v>1754</v>
      </c>
      <c r="K201" s="293" t="s">
        <v>1755</v>
      </c>
      <c r="M201" s="294">
        <f>IF(ISNUMBER(SEARCH(ZAKL_DATA!$B$29,N201)),MAX($M$2:M200)+1,0)</f>
        <v>199</v>
      </c>
      <c r="N201" s="295" t="s">
        <v>1756</v>
      </c>
      <c r="O201" s="310" t="s">
        <v>1757</v>
      </c>
      <c r="Q201" s="297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295" t="s">
        <v>1756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295" t="s">
        <v>1756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295" t="s">
        <v>1756</v>
      </c>
      <c r="Z201" t="str">
        <f>IFERROR(VLOOKUP(ROWS($Z$3:Z201),$X$3:$Y$992,2,0),"")</f>
        <v>Výroba komunikačních zařízení</v>
      </c>
    </row>
    <row r="202" spans="1:26" ht="12.75" customHeight="1">
      <c r="A202" s="271"/>
      <c r="B202" s="271"/>
      <c r="C202" s="271"/>
      <c r="D202" s="287">
        <f>IF(ISNUMBER(SEARCH(ZAKL_DATA!$B$14,E202)),MAX($D$2:D201)+1,0)</f>
        <v>200</v>
      </c>
      <c r="E202" s="300" t="s">
        <v>1758</v>
      </c>
      <c r="F202" s="301">
        <v>3311</v>
      </c>
      <c r="G202" s="302"/>
      <c r="H202" s="303" t="str">
        <f>IFERROR(VLOOKUP(ROWS($H$3:H202),$D$3:$E$204,2,0),"")</f>
        <v>VALAŠSKÉ KLOBOUKY</v>
      </c>
      <c r="I202" s="271"/>
      <c r="J202" s="305" t="s">
        <v>1759</v>
      </c>
      <c r="K202" s="293" t="s">
        <v>1760</v>
      </c>
      <c r="M202" s="294">
        <f>IF(ISNUMBER(SEARCH(ZAKL_DATA!$B$29,N202)),MAX($M$2:M201)+1,0)</f>
        <v>200</v>
      </c>
      <c r="N202" s="295" t="s">
        <v>1761</v>
      </c>
      <c r="O202" s="296" t="s">
        <v>1762</v>
      </c>
      <c r="Q202" s="297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295" t="s">
        <v>1761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295" t="s">
        <v>1761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295" t="s">
        <v>1761</v>
      </c>
      <c r="Z202" t="str">
        <f>IFERROR(VLOOKUP(ROWS($Z$3:Z202),$X$3:$Y$992,2,0),"")</f>
        <v>Výroba spotřební elektroniky</v>
      </c>
    </row>
    <row r="203" spans="1:26" ht="12.75" customHeight="1">
      <c r="A203" s="271"/>
      <c r="B203" s="271"/>
      <c r="C203" s="271"/>
      <c r="D203" s="287">
        <f>IF(ISNUMBER(SEARCH(ZAKL_DATA!$B$14,E203)),MAX($D$2:D202)+1,0)</f>
        <v>201</v>
      </c>
      <c r="E203" s="300" t="s">
        <v>1763</v>
      </c>
      <c r="F203" s="301">
        <v>3312</v>
      </c>
      <c r="G203" s="302"/>
      <c r="H203" s="303" t="str">
        <f>IFERROR(VLOOKUP(ROWS($H$3:H203),$D$3:$E$204,2,0),"")</f>
        <v>VSETÍN</v>
      </c>
      <c r="I203" s="271"/>
      <c r="J203" s="305" t="s">
        <v>1764</v>
      </c>
      <c r="K203" s="293" t="s">
        <v>1765</v>
      </c>
      <c r="M203" s="294">
        <f>IF(ISNUMBER(SEARCH(ZAKL_DATA!$B$29,N203)),MAX($M$2:M202)+1,0)</f>
        <v>201</v>
      </c>
      <c r="N203" s="295" t="s">
        <v>1766</v>
      </c>
      <c r="O203" s="296" t="s">
        <v>1767</v>
      </c>
      <c r="Q203" s="297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295" t="s">
        <v>1766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295" t="s">
        <v>1766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295" t="s">
        <v>1766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271"/>
      <c r="B204" s="271"/>
      <c r="C204" s="271"/>
      <c r="D204" s="287">
        <f>IF(ISNUMBER(SEARCH(ZAKL_DATA!$B$14,E204)),MAX($D$2:D203)+1,0)</f>
        <v>202</v>
      </c>
      <c r="E204" s="313" t="s">
        <v>835</v>
      </c>
      <c r="F204" s="314">
        <v>4000</v>
      </c>
      <c r="G204" s="315"/>
      <c r="H204" s="316" t="str">
        <f>IFERROR(VLOOKUP(ROWS($H$3:H204),$D$3:$E$204,2,0),"")</f>
        <v>SPECIALIZOVANÝ</v>
      </c>
      <c r="I204" s="271"/>
      <c r="J204" s="305" t="s">
        <v>1768</v>
      </c>
      <c r="K204" s="293" t="s">
        <v>1769</v>
      </c>
      <c r="M204" s="294">
        <f>IF(ISNUMBER(SEARCH(ZAKL_DATA!$B$29,N204)),MAX($M$2:M203)+1,0)</f>
        <v>202</v>
      </c>
      <c r="N204" s="295" t="s">
        <v>1770</v>
      </c>
      <c r="O204" s="296" t="s">
        <v>1771</v>
      </c>
      <c r="Q204" s="297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295" t="s">
        <v>1770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295" t="s">
        <v>1770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295" t="s">
        <v>1770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271"/>
      <c r="B205" s="271"/>
      <c r="C205" s="271"/>
      <c r="D205" s="272"/>
      <c r="E205" s="271"/>
      <c r="F205" s="271"/>
      <c r="G205" s="271"/>
      <c r="H205" s="271" t="str">
        <f>IFERROR(VLOOKUP(ROWS($H$3:H205),$D$2:$E$204,2,0),"")</f>
        <v/>
      </c>
      <c r="I205" s="271"/>
      <c r="J205" s="305" t="s">
        <v>1772</v>
      </c>
      <c r="K205" s="293" t="s">
        <v>1773</v>
      </c>
      <c r="M205" s="294">
        <f>IF(ISNUMBER(SEARCH(ZAKL_DATA!$B$29,N205)),MAX($M$2:M204)+1,0)</f>
        <v>203</v>
      </c>
      <c r="N205" s="295" t="s">
        <v>1774</v>
      </c>
      <c r="O205" s="296" t="s">
        <v>1775</v>
      </c>
      <c r="Q205" s="297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295" t="s">
        <v>1774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295" t="s">
        <v>1774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295" t="s">
        <v>1774</v>
      </c>
      <c r="Z205" t="str">
        <f>IFERROR(VLOOKUP(ROWS($Z$3:Z205),$X$3:$Y$992,2,0),"")</f>
        <v>Výroba optických a fotografických přístrojů a zařízení</v>
      </c>
    </row>
    <row r="206" spans="10:26" ht="12.75">
      <c r="J206" s="305" t="s">
        <v>1776</v>
      </c>
      <c r="K206" s="293" t="s">
        <v>1777</v>
      </c>
      <c r="M206" s="294">
        <f>IF(ISNUMBER(SEARCH(ZAKL_DATA!$B$29,N206)),MAX($M$2:M205)+1,0)</f>
        <v>204</v>
      </c>
      <c r="N206" s="295" t="s">
        <v>1778</v>
      </c>
      <c r="O206" s="296" t="s">
        <v>1779</v>
      </c>
      <c r="Q206" s="297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295" t="s">
        <v>1778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295" t="s">
        <v>1778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295" t="s">
        <v>1778</v>
      </c>
      <c r="Z206" t="str">
        <f>IFERROR(VLOOKUP(ROWS($Z$3:Z206),$X$3:$Y$992,2,0),"")</f>
        <v>Výroba magnetických a optických médií</v>
      </c>
    </row>
    <row r="207" spans="10:26" ht="12.75">
      <c r="J207" s="305" t="s">
        <v>1780</v>
      </c>
      <c r="K207" s="293" t="s">
        <v>1781</v>
      </c>
      <c r="M207" s="294">
        <f>IF(ISNUMBER(SEARCH(ZAKL_DATA!$B$29,N207)),MAX($M$2:M206)+1,0)</f>
        <v>205</v>
      </c>
      <c r="N207" s="295" t="s">
        <v>1782</v>
      </c>
      <c r="O207" s="296" t="s">
        <v>1783</v>
      </c>
      <c r="Q207" s="297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295" t="s">
        <v>1782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295" t="s">
        <v>1782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295" t="s">
        <v>1782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05" t="s">
        <v>1784</v>
      </c>
      <c r="K208" s="293" t="s">
        <v>1785</v>
      </c>
      <c r="M208" s="294">
        <f>IF(ISNUMBER(SEARCH(ZAKL_DATA!$B$29,N208)),MAX($M$2:M207)+1,0)</f>
        <v>206</v>
      </c>
      <c r="N208" s="295" t="s">
        <v>1786</v>
      </c>
      <c r="O208" s="310" t="s">
        <v>1787</v>
      </c>
      <c r="Q208" s="297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295" t="s">
        <v>1786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295" t="s">
        <v>1786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295" t="s">
        <v>1786</v>
      </c>
      <c r="Z208" t="str">
        <f>IFERROR(VLOOKUP(ROWS($Z$3:Z208),$X$3:$Y$992,2,0),"")</f>
        <v>Výroba baterií a akumulátorů</v>
      </c>
    </row>
    <row r="209" spans="10:26" ht="12.75">
      <c r="J209" s="305" t="s">
        <v>1788</v>
      </c>
      <c r="K209" s="293" t="s">
        <v>1789</v>
      </c>
      <c r="M209" s="294">
        <f>IF(ISNUMBER(SEARCH(ZAKL_DATA!$B$29,N209)),MAX($M$2:M208)+1,0)</f>
        <v>207</v>
      </c>
      <c r="N209" s="295" t="s">
        <v>1790</v>
      </c>
      <c r="O209" s="296" t="s">
        <v>1791</v>
      </c>
      <c r="Q209" s="297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295" t="s">
        <v>1790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295" t="s">
        <v>1790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295" t="s">
        <v>1790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05" t="s">
        <v>1792</v>
      </c>
      <c r="K210" s="293" t="s">
        <v>1793</v>
      </c>
      <c r="M210" s="294">
        <f>IF(ISNUMBER(SEARCH(ZAKL_DATA!$B$29,N210)),MAX($M$2:M209)+1,0)</f>
        <v>208</v>
      </c>
      <c r="N210" s="295" t="s">
        <v>1794</v>
      </c>
      <c r="O210" s="296" t="s">
        <v>1795</v>
      </c>
      <c r="Q210" s="297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295" t="s">
        <v>1794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295" t="s">
        <v>1794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295" t="s">
        <v>1794</v>
      </c>
      <c r="Z210" t="str">
        <f>IFERROR(VLOOKUP(ROWS($Z$3:Z210),$X$3:$Y$992,2,0),"")</f>
        <v>Výroba elektrických osvětlovacích zařízení</v>
      </c>
    </row>
    <row r="211" spans="10:26" ht="12.75">
      <c r="J211" s="305" t="s">
        <v>1796</v>
      </c>
      <c r="K211" s="293" t="s">
        <v>1797</v>
      </c>
      <c r="M211" s="294">
        <f>IF(ISNUMBER(SEARCH(ZAKL_DATA!$B$29,N211)),MAX($M$2:M210)+1,0)</f>
        <v>209</v>
      </c>
      <c r="N211" s="295" t="s">
        <v>1798</v>
      </c>
      <c r="O211" s="310" t="s">
        <v>1799</v>
      </c>
      <c r="Q211" s="297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295" t="s">
        <v>1798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295" t="s">
        <v>1798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295" t="s">
        <v>1798</v>
      </c>
      <c r="Z211" t="str">
        <f>IFERROR(VLOOKUP(ROWS($Z$3:Z211),$X$3:$Y$992,2,0),"")</f>
        <v>Výroba spotřebičů převážně pro domácnost</v>
      </c>
    </row>
    <row r="212" spans="10:26" ht="12.75">
      <c r="J212" s="304" t="s">
        <v>1800</v>
      </c>
      <c r="K212" s="293" t="s">
        <v>1801</v>
      </c>
      <c r="M212" s="294">
        <f>IF(ISNUMBER(SEARCH(ZAKL_DATA!$B$29,N212)),MAX($M$2:M211)+1,0)</f>
        <v>210</v>
      </c>
      <c r="N212" s="295" t="s">
        <v>1802</v>
      </c>
      <c r="O212" s="296" t="s">
        <v>1803</v>
      </c>
      <c r="Q212" s="297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295" t="s">
        <v>1802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295" t="s">
        <v>1802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295" t="s">
        <v>1802</v>
      </c>
      <c r="Z212" t="str">
        <f>IFERROR(VLOOKUP(ROWS($Z$3:Z212),$X$3:$Y$992,2,0),"")</f>
        <v>Výroba ostatních elektrických zařízení</v>
      </c>
    </row>
    <row r="213" spans="10:26" ht="12.75">
      <c r="J213" s="305" t="s">
        <v>1804</v>
      </c>
      <c r="K213" s="293" t="s">
        <v>1805</v>
      </c>
      <c r="M213" s="294">
        <f>IF(ISNUMBER(SEARCH(ZAKL_DATA!$B$29,N213)),MAX($M$2:M212)+1,0)</f>
        <v>211</v>
      </c>
      <c r="N213" s="295" t="s">
        <v>1806</v>
      </c>
      <c r="O213" s="296" t="s">
        <v>1807</v>
      </c>
      <c r="Q213" s="297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295" t="s">
        <v>1806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295" t="s">
        <v>1806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295" t="s">
        <v>1806</v>
      </c>
      <c r="Z213" t="str">
        <f>IFERROR(VLOOKUP(ROWS($Z$3:Z213),$X$3:$Y$992,2,0),"")</f>
        <v>Výroba strojů a zařízení pro všeobecné účely</v>
      </c>
    </row>
    <row r="214" spans="10:26" ht="12.75">
      <c r="J214" s="304" t="s">
        <v>1808</v>
      </c>
      <c r="K214" s="293" t="s">
        <v>1809</v>
      </c>
      <c r="M214" s="294">
        <f>IF(ISNUMBER(SEARCH(ZAKL_DATA!$B$29,N214)),MAX($M$2:M213)+1,0)</f>
        <v>212</v>
      </c>
      <c r="N214" s="295" t="s">
        <v>1810</v>
      </c>
      <c r="O214" s="310" t="s">
        <v>1811</v>
      </c>
      <c r="Q214" s="297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295" t="s">
        <v>1810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295" t="s">
        <v>1810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295" t="s">
        <v>1810</v>
      </c>
      <c r="Z214" t="str">
        <f>IFERROR(VLOOKUP(ROWS($Z$3:Z214),$X$3:$Y$992,2,0),"")</f>
        <v>Výroba ostatních strojů a zařízení pro všeobecné účely</v>
      </c>
    </row>
    <row r="215" spans="10:26" ht="12.75">
      <c r="J215" s="304" t="s">
        <v>1812</v>
      </c>
      <c r="K215" s="293" t="s">
        <v>1813</v>
      </c>
      <c r="M215" s="294">
        <f>IF(ISNUMBER(SEARCH(ZAKL_DATA!$B$29,N215)),MAX($M$2:M214)+1,0)</f>
        <v>213</v>
      </c>
      <c r="N215" s="295" t="s">
        <v>1814</v>
      </c>
      <c r="O215" s="296" t="s">
        <v>1815</v>
      </c>
      <c r="Q215" s="297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295" t="s">
        <v>1814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295" t="s">
        <v>1814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295" t="s">
        <v>1814</v>
      </c>
      <c r="Z215" t="str">
        <f>IFERROR(VLOOKUP(ROWS($Z$3:Z215),$X$3:$Y$992,2,0),"")</f>
        <v>Výroba zemědělských a lesnických strojů</v>
      </c>
    </row>
    <row r="216" spans="10:26" ht="12.75">
      <c r="J216" s="305" t="s">
        <v>1816</v>
      </c>
      <c r="K216" s="293" t="s">
        <v>1817</v>
      </c>
      <c r="M216" s="294">
        <f>IF(ISNUMBER(SEARCH(ZAKL_DATA!$B$29,N216)),MAX($M$2:M215)+1,0)</f>
        <v>214</v>
      </c>
      <c r="N216" s="295" t="s">
        <v>1818</v>
      </c>
      <c r="O216" s="296" t="s">
        <v>1819</v>
      </c>
      <c r="Q216" s="297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295" t="s">
        <v>1818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295" t="s">
        <v>1818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295" t="s">
        <v>1818</v>
      </c>
      <c r="Z216" t="str">
        <f>IFERROR(VLOOKUP(ROWS($Z$3:Z216),$X$3:$Y$992,2,0),"")</f>
        <v>Výroba kovoobráběcích a ostatních obráběcích strojů</v>
      </c>
    </row>
    <row r="217" spans="10:26" ht="12.75">
      <c r="J217" s="305" t="s">
        <v>1820</v>
      </c>
      <c r="K217" s="293" t="s">
        <v>1821</v>
      </c>
      <c r="M217" s="294">
        <f>IF(ISNUMBER(SEARCH(ZAKL_DATA!$B$29,N217)),MAX($M$2:M216)+1,0)</f>
        <v>215</v>
      </c>
      <c r="N217" s="295" t="s">
        <v>1822</v>
      </c>
      <c r="O217" s="296" t="s">
        <v>1823</v>
      </c>
      <c r="Q217" s="297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295" t="s">
        <v>1822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295" t="s">
        <v>1822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295" t="s">
        <v>1822</v>
      </c>
      <c r="Z217" t="str">
        <f>IFERROR(VLOOKUP(ROWS($Z$3:Z217),$X$3:$Y$992,2,0),"")</f>
        <v>Výroba ostatních strojů pro speciální účely</v>
      </c>
    </row>
    <row r="218" spans="10:26" ht="12.75">
      <c r="J218" s="305" t="s">
        <v>1824</v>
      </c>
      <c r="K218" s="293" t="s">
        <v>1825</v>
      </c>
      <c r="M218" s="294">
        <f>IF(ISNUMBER(SEARCH(ZAKL_DATA!$B$29,N218)),MAX($M$2:M217)+1,0)</f>
        <v>216</v>
      </c>
      <c r="N218" s="295" t="s">
        <v>1826</v>
      </c>
      <c r="O218" s="296" t="s">
        <v>1827</v>
      </c>
      <c r="Q218" s="297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295" t="s">
        <v>1826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295" t="s">
        <v>1826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295" t="s">
        <v>1826</v>
      </c>
      <c r="Z218" t="str">
        <f>IFERROR(VLOOKUP(ROWS($Z$3:Z218),$X$3:$Y$992,2,0),"")</f>
        <v>Výroba motorových vozidel a jejich motorů</v>
      </c>
    </row>
    <row r="219" spans="10:26" ht="12.75">
      <c r="J219" s="305" t="s">
        <v>1828</v>
      </c>
      <c r="K219" s="293" t="s">
        <v>1829</v>
      </c>
      <c r="M219" s="294">
        <f>IF(ISNUMBER(SEARCH(ZAKL_DATA!$B$29,N219)),MAX($M$2:M218)+1,0)</f>
        <v>217</v>
      </c>
      <c r="N219" s="295" t="s">
        <v>1830</v>
      </c>
      <c r="O219" s="296" t="s">
        <v>1831</v>
      </c>
      <c r="Q219" s="297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295" t="s">
        <v>1830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295" t="s">
        <v>1830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295" t="s">
        <v>1830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05" t="s">
        <v>1832</v>
      </c>
      <c r="K220" s="293" t="s">
        <v>1833</v>
      </c>
      <c r="M220" s="294">
        <f>IF(ISNUMBER(SEARCH(ZAKL_DATA!$B$29,N220)),MAX($M$2:M219)+1,0)</f>
        <v>218</v>
      </c>
      <c r="N220" s="295" t="s">
        <v>1834</v>
      </c>
      <c r="O220" s="296" t="s">
        <v>1835</v>
      </c>
      <c r="Q220" s="297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295" t="s">
        <v>1834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295" t="s">
        <v>1834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295" t="s">
        <v>1834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05" t="s">
        <v>1836</v>
      </c>
      <c r="K221" s="293" t="s">
        <v>1837</v>
      </c>
      <c r="M221" s="294">
        <f>IF(ISNUMBER(SEARCH(ZAKL_DATA!$B$29,N221)),MAX($M$2:M220)+1,0)</f>
        <v>219</v>
      </c>
      <c r="N221" s="295" t="s">
        <v>1838</v>
      </c>
      <c r="O221" s="296" t="s">
        <v>1839</v>
      </c>
      <c r="Q221" s="297" t="str">
        <f>IFERROR(VLOOKUP(ROWS($Q$3:Q221),$M$3:$N$992,2,0),"")</f>
        <v>Stavba lodí a člunů</v>
      </c>
      <c r="R221">
        <f>IF(ISNUMBER(SEARCH('1Př1'!$A$32,N221)),MAX($M$2:M220)+1,0)</f>
        <v>219</v>
      </c>
      <c r="S221" s="295" t="s">
        <v>1838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295" t="s">
        <v>1838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295" t="s">
        <v>1838</v>
      </c>
      <c r="Z221" t="str">
        <f>IFERROR(VLOOKUP(ROWS($Z$3:Z221),$X$3:$Y$992,2,0),"")</f>
        <v>Stavba lodí a člunů</v>
      </c>
    </row>
    <row r="222" spans="10:26" ht="12.75">
      <c r="J222" s="304" t="s">
        <v>1840</v>
      </c>
      <c r="K222" s="293" t="s">
        <v>1841</v>
      </c>
      <c r="M222" s="294">
        <f>IF(ISNUMBER(SEARCH(ZAKL_DATA!$B$29,N222)),MAX($M$2:M221)+1,0)</f>
        <v>220</v>
      </c>
      <c r="N222" s="295" t="s">
        <v>1842</v>
      </c>
      <c r="O222" s="310" t="s">
        <v>1843</v>
      </c>
      <c r="Q222" s="297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295" t="s">
        <v>1842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295" t="s">
        <v>1842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295" t="s">
        <v>1842</v>
      </c>
      <c r="Z222" t="str">
        <f>IFERROR(VLOOKUP(ROWS($Z$3:Z222),$X$3:$Y$992,2,0),"")</f>
        <v>Výroba železničních lokomotiv a vozového parku</v>
      </c>
    </row>
    <row r="223" spans="10:26" ht="12.75">
      <c r="J223" s="305" t="s">
        <v>1844</v>
      </c>
      <c r="K223" s="293" t="s">
        <v>1845</v>
      </c>
      <c r="M223" s="294">
        <f>IF(ISNUMBER(SEARCH(ZAKL_DATA!$B$29,N223)),MAX($M$2:M222)+1,0)</f>
        <v>221</v>
      </c>
      <c r="N223" s="295" t="s">
        <v>1846</v>
      </c>
      <c r="O223" s="310" t="s">
        <v>1847</v>
      </c>
      <c r="Q223" s="297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295" t="s">
        <v>1846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295" t="s">
        <v>1846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295" t="s">
        <v>1846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05" t="s">
        <v>1848</v>
      </c>
      <c r="K224" s="293" t="s">
        <v>1849</v>
      </c>
      <c r="M224" s="294">
        <f>IF(ISNUMBER(SEARCH(ZAKL_DATA!$B$29,N224)),MAX($M$2:M223)+1,0)</f>
        <v>222</v>
      </c>
      <c r="N224" s="295" t="s">
        <v>1850</v>
      </c>
      <c r="O224" s="310" t="s">
        <v>1851</v>
      </c>
      <c r="Q224" s="297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295" t="s">
        <v>1850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295" t="s">
        <v>1850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295" t="s">
        <v>1850</v>
      </c>
      <c r="Z224" t="str">
        <f>IFERROR(VLOOKUP(ROWS($Z$3:Z224),$X$3:$Y$992,2,0),"")</f>
        <v>Výroba vojenských bojových vozidel</v>
      </c>
    </row>
    <row r="225" spans="10:26" ht="12.75">
      <c r="J225" s="305" t="s">
        <v>1852</v>
      </c>
      <c r="K225" s="293" t="s">
        <v>1853</v>
      </c>
      <c r="M225" s="294">
        <f>IF(ISNUMBER(SEARCH(ZAKL_DATA!$B$29,N225)),MAX($M$2:M224)+1,0)</f>
        <v>223</v>
      </c>
      <c r="N225" s="295" t="s">
        <v>1854</v>
      </c>
      <c r="O225" s="310" t="s">
        <v>1855</v>
      </c>
      <c r="Q225" s="297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295" t="s">
        <v>1854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295" t="s">
        <v>1854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295" t="s">
        <v>1854</v>
      </c>
      <c r="Z225" t="str">
        <f>IFERROR(VLOOKUP(ROWS($Z$3:Z225),$X$3:$Y$992,2,0),"")</f>
        <v>Výroba dopravních prostředků a zařízení j. n.</v>
      </c>
    </row>
    <row r="226" spans="10:26" ht="12.75">
      <c r="J226" s="305" t="s">
        <v>1856</v>
      </c>
      <c r="K226" s="293" t="s">
        <v>1857</v>
      </c>
      <c r="M226" s="294">
        <f>IF(ISNUMBER(SEARCH(ZAKL_DATA!$B$29,N226)),MAX($M$2:M225)+1,0)</f>
        <v>224</v>
      </c>
      <c r="N226" s="295" t="s">
        <v>1858</v>
      </c>
      <c r="O226" s="310" t="s">
        <v>1859</v>
      </c>
      <c r="Q226" s="297" t="str">
        <f>IFERROR(VLOOKUP(ROWS($Q$3:Q226),$M$3:$N$992,2,0),"")</f>
        <v>Mořský rybolov</v>
      </c>
      <c r="R226">
        <f>IF(ISNUMBER(SEARCH('1Př1'!$A$32,N226)),MAX($M$2:M225)+1,0)</f>
        <v>224</v>
      </c>
      <c r="S226" s="295" t="s">
        <v>1858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295" t="s">
        <v>1858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295" t="s">
        <v>1858</v>
      </c>
      <c r="Z226" t="str">
        <f>IFERROR(VLOOKUP(ROWS($Z$3:Z226),$X$3:$Y$992,2,0),"")</f>
        <v>Mořský rybolov</v>
      </c>
    </row>
    <row r="227" spans="10:26" ht="12.75">
      <c r="J227" s="305" t="s">
        <v>1860</v>
      </c>
      <c r="K227" s="293" t="s">
        <v>1861</v>
      </c>
      <c r="M227" s="294">
        <f>IF(ISNUMBER(SEARCH(ZAKL_DATA!$B$29,N227)),MAX($M$2:M226)+1,0)</f>
        <v>225</v>
      </c>
      <c r="N227" s="295" t="s">
        <v>1862</v>
      </c>
      <c r="O227" s="310" t="s">
        <v>1863</v>
      </c>
      <c r="Q227" s="297" t="str">
        <f>IFERROR(VLOOKUP(ROWS($Q$3:Q227),$M$3:$N$992,2,0),"")</f>
        <v>Sladkovodní rybolov</v>
      </c>
      <c r="R227">
        <f>IF(ISNUMBER(SEARCH('1Př1'!$A$32,N227)),MAX($M$2:M226)+1,0)</f>
        <v>225</v>
      </c>
      <c r="S227" s="295" t="s">
        <v>1862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295" t="s">
        <v>1862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295" t="s">
        <v>1862</v>
      </c>
      <c r="Z227" t="str">
        <f>IFERROR(VLOOKUP(ROWS($Z$3:Z227),$X$3:$Y$992,2,0),"")</f>
        <v>Sladkovodní rybolov</v>
      </c>
    </row>
    <row r="228" spans="10:26" ht="12.75">
      <c r="J228" s="305" t="s">
        <v>1864</v>
      </c>
      <c r="K228" s="293" t="s">
        <v>1865</v>
      </c>
      <c r="M228" s="294">
        <f>IF(ISNUMBER(SEARCH(ZAKL_DATA!$B$29,N228)),MAX($M$2:M227)+1,0)</f>
        <v>226</v>
      </c>
      <c r="N228" s="295" t="s">
        <v>1866</v>
      </c>
      <c r="O228" s="310" t="s">
        <v>1867</v>
      </c>
      <c r="Q228" s="297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295" t="s">
        <v>1866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295" t="s">
        <v>1866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295" t="s">
        <v>1866</v>
      </c>
      <c r="Z228" t="str">
        <f>IFERROR(VLOOKUP(ROWS($Z$3:Z228),$X$3:$Y$992,2,0),"")</f>
        <v>Výroba klenotů, bižuterie a příbuzných výrobků</v>
      </c>
    </row>
    <row r="229" spans="10:26" ht="12.75">
      <c r="J229" s="305" t="s">
        <v>1868</v>
      </c>
      <c r="K229" s="293" t="s">
        <v>1869</v>
      </c>
      <c r="M229" s="294">
        <f>IF(ISNUMBER(SEARCH(ZAKL_DATA!$B$29,N229)),MAX($M$2:M228)+1,0)</f>
        <v>227</v>
      </c>
      <c r="N229" s="295" t="s">
        <v>1870</v>
      </c>
      <c r="O229" s="310" t="s">
        <v>1871</v>
      </c>
      <c r="Q229" s="297" t="str">
        <f>IFERROR(VLOOKUP(ROWS($Q$3:Q229),$M$3:$N$992,2,0),"")</f>
        <v>Mořská akvakultura</v>
      </c>
      <c r="R229">
        <f>IF(ISNUMBER(SEARCH('1Př1'!$A$32,N229)),MAX($M$2:M228)+1,0)</f>
        <v>227</v>
      </c>
      <c r="S229" s="295" t="s">
        <v>1870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295" t="s">
        <v>1870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295" t="s">
        <v>1870</v>
      </c>
      <c r="Z229" t="str">
        <f>IFERROR(VLOOKUP(ROWS($Z$3:Z229),$X$3:$Y$992,2,0),"")</f>
        <v>Mořská akvakultura</v>
      </c>
    </row>
    <row r="230" spans="10:26" ht="12.75">
      <c r="J230" s="305" t="s">
        <v>1872</v>
      </c>
      <c r="K230" s="293" t="s">
        <v>1873</v>
      </c>
      <c r="M230" s="294">
        <f>IF(ISNUMBER(SEARCH(ZAKL_DATA!$B$29,N230)),MAX($M$2:M229)+1,0)</f>
        <v>228</v>
      </c>
      <c r="N230" s="295" t="s">
        <v>1874</v>
      </c>
      <c r="O230" s="310" t="s">
        <v>1875</v>
      </c>
      <c r="Q230" s="297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295" t="s">
        <v>1874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295" t="s">
        <v>1874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295" t="s">
        <v>1874</v>
      </c>
      <c r="Z230" t="str">
        <f>IFERROR(VLOOKUP(ROWS($Z$3:Z230),$X$3:$Y$992,2,0),"")</f>
        <v>Výroba hudebních nástrojů</v>
      </c>
    </row>
    <row r="231" spans="10:26" ht="12.75">
      <c r="J231" s="305" t="s">
        <v>1876</v>
      </c>
      <c r="K231" s="293" t="s">
        <v>1877</v>
      </c>
      <c r="M231" s="294">
        <f>IF(ISNUMBER(SEARCH(ZAKL_DATA!$B$29,N231)),MAX($M$2:M230)+1,0)</f>
        <v>229</v>
      </c>
      <c r="N231" s="295" t="s">
        <v>1878</v>
      </c>
      <c r="O231" s="310" t="s">
        <v>1879</v>
      </c>
      <c r="Q231" s="297" t="str">
        <f>IFERROR(VLOOKUP(ROWS($Q$3:Q231),$M$3:$N$992,2,0),"")</f>
        <v>Sladkovodní akvakultura</v>
      </c>
      <c r="R231">
        <f>IF(ISNUMBER(SEARCH('1Př1'!$A$32,N231)),MAX($M$2:M230)+1,0)</f>
        <v>229</v>
      </c>
      <c r="S231" s="295" t="s">
        <v>1878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295" t="s">
        <v>1878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295" t="s">
        <v>1878</v>
      </c>
      <c r="Z231" t="str">
        <f>IFERROR(VLOOKUP(ROWS($Z$3:Z231),$X$3:$Y$992,2,0),"")</f>
        <v>Sladkovodní akvakultura</v>
      </c>
    </row>
    <row r="232" spans="10:26" ht="12.75">
      <c r="J232" s="305" t="s">
        <v>1880</v>
      </c>
      <c r="K232" s="293" t="s">
        <v>1881</v>
      </c>
      <c r="M232" s="294">
        <f>IF(ISNUMBER(SEARCH(ZAKL_DATA!$B$29,N232)),MAX($M$2:M231)+1,0)</f>
        <v>230</v>
      </c>
      <c r="N232" s="295" t="s">
        <v>1882</v>
      </c>
      <c r="O232" s="310" t="s">
        <v>1883</v>
      </c>
      <c r="Q232" s="297" t="str">
        <f>IFERROR(VLOOKUP(ROWS($Q$3:Q232),$M$3:$N$992,2,0),"")</f>
        <v>Výroba sportovních potřeb</v>
      </c>
      <c r="R232">
        <f>IF(ISNUMBER(SEARCH('1Př1'!$A$32,N232)),MAX($M$2:M231)+1,0)</f>
        <v>230</v>
      </c>
      <c r="S232" s="295" t="s">
        <v>1882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295" t="s">
        <v>1882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295" t="s">
        <v>1882</v>
      </c>
      <c r="Z232" t="str">
        <f>IFERROR(VLOOKUP(ROWS($Z$3:Z232),$X$3:$Y$992,2,0),"")</f>
        <v>Výroba sportovních potřeb</v>
      </c>
    </row>
    <row r="233" spans="10:26" ht="12.75">
      <c r="J233" s="305" t="s">
        <v>1884</v>
      </c>
      <c r="K233" s="293" t="s">
        <v>1885</v>
      </c>
      <c r="M233" s="294">
        <f>IF(ISNUMBER(SEARCH(ZAKL_DATA!$B$29,N233)),MAX($M$2:M232)+1,0)</f>
        <v>231</v>
      </c>
      <c r="N233" s="295" t="s">
        <v>1886</v>
      </c>
      <c r="O233" s="310" t="s">
        <v>1887</v>
      </c>
      <c r="Q233" s="297" t="str">
        <f>IFERROR(VLOOKUP(ROWS($Q$3:Q233),$M$3:$N$992,2,0),"")</f>
        <v>Výroba her a hraček</v>
      </c>
      <c r="R233">
        <f>IF(ISNUMBER(SEARCH('1Př1'!$A$32,N233)),MAX($M$2:M232)+1,0)</f>
        <v>231</v>
      </c>
      <c r="S233" s="295" t="s">
        <v>1886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295" t="s">
        <v>1886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295" t="s">
        <v>1886</v>
      </c>
      <c r="Z233" t="str">
        <f>IFERROR(VLOOKUP(ROWS($Z$3:Z233),$X$3:$Y$992,2,0),"")</f>
        <v>Výroba her a hraček</v>
      </c>
    </row>
    <row r="234" spans="10:26" ht="12.75">
      <c r="J234" s="305" t="s">
        <v>1888</v>
      </c>
      <c r="K234" s="293" t="s">
        <v>1889</v>
      </c>
      <c r="M234" s="294">
        <f>IF(ISNUMBER(SEARCH(ZAKL_DATA!$B$29,N234)),MAX($M$2:M233)+1,0)</f>
        <v>232</v>
      </c>
      <c r="N234" s="295" t="s">
        <v>1890</v>
      </c>
      <c r="O234" s="310" t="s">
        <v>1891</v>
      </c>
      <c r="Q234" s="297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295" t="s">
        <v>1890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295" t="s">
        <v>1890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295" t="s">
        <v>1890</v>
      </c>
      <c r="Z234" t="str">
        <f>IFERROR(VLOOKUP(ROWS($Z$3:Z234),$X$3:$Y$992,2,0),"")</f>
        <v>Výroba lékařských a dentálních nástrojů a potřeb</v>
      </c>
    </row>
    <row r="235" spans="10:26" ht="12.75">
      <c r="J235" s="305" t="s">
        <v>1892</v>
      </c>
      <c r="K235" s="293" t="s">
        <v>1893</v>
      </c>
      <c r="M235" s="294">
        <f>IF(ISNUMBER(SEARCH(ZAKL_DATA!$B$29,N235)),MAX($M$2:M234)+1,0)</f>
        <v>233</v>
      </c>
      <c r="N235" s="295" t="s">
        <v>1894</v>
      </c>
      <c r="O235" s="310" t="s">
        <v>1895</v>
      </c>
      <c r="Q235" s="297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295" t="s">
        <v>1894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295" t="s">
        <v>1894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295" t="s">
        <v>1894</v>
      </c>
      <c r="Z235" t="str">
        <f>IFERROR(VLOOKUP(ROWS($Z$3:Z235),$X$3:$Y$992,2,0),"")</f>
        <v>Zpracovatelský průmysl j. n.</v>
      </c>
    </row>
    <row r="236" spans="10:26" ht="12.75">
      <c r="J236" s="305" t="s">
        <v>1896</v>
      </c>
      <c r="K236" s="293" t="s">
        <v>1897</v>
      </c>
      <c r="M236" s="294">
        <f>IF(ISNUMBER(SEARCH(ZAKL_DATA!$B$29,N236)),MAX($M$2:M235)+1,0)</f>
        <v>234</v>
      </c>
      <c r="N236" s="295" t="s">
        <v>1898</v>
      </c>
      <c r="O236" s="310" t="s">
        <v>1899</v>
      </c>
      <c r="Q236" s="297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295" t="s">
        <v>1898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295" t="s">
        <v>1898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295" t="s">
        <v>1898</v>
      </c>
      <c r="Z236" t="str">
        <f>IFERROR(VLOOKUP(ROWS($Z$3:Z236),$X$3:$Y$992,2,0),"")</f>
        <v>Opravy kovodělných výrobků, strojů a zařízení</v>
      </c>
    </row>
    <row r="237" spans="10:26" ht="12.75">
      <c r="J237" s="304" t="s">
        <v>1900</v>
      </c>
      <c r="K237" s="293" t="s">
        <v>1901</v>
      </c>
      <c r="M237" s="294">
        <f>IF(ISNUMBER(SEARCH(ZAKL_DATA!$B$29,N237)),MAX($M$2:M236)+1,0)</f>
        <v>235</v>
      </c>
      <c r="N237" s="295" t="s">
        <v>1902</v>
      </c>
      <c r="O237" s="310" t="s">
        <v>1903</v>
      </c>
      <c r="Q237" s="297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295" t="s">
        <v>1902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295" t="s">
        <v>1902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295" t="s">
        <v>1902</v>
      </c>
      <c r="Z237" t="str">
        <f>IFERROR(VLOOKUP(ROWS($Z$3:Z237),$X$3:$Y$992,2,0),"")</f>
        <v>Instalace průmyslových strojů a zařízení</v>
      </c>
    </row>
    <row r="238" spans="10:26" ht="12.75">
      <c r="J238" s="305" t="s">
        <v>1904</v>
      </c>
      <c r="K238" s="293" t="s">
        <v>1905</v>
      </c>
      <c r="M238" s="294">
        <f>IF(ISNUMBER(SEARCH(ZAKL_DATA!$B$29,N238)),MAX($M$2:M237)+1,0)</f>
        <v>236</v>
      </c>
      <c r="N238" s="295" t="s">
        <v>1906</v>
      </c>
      <c r="O238" s="310" t="s">
        <v>1907</v>
      </c>
      <c r="Q238" s="297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295" t="s">
        <v>1906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295" t="s">
        <v>1906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295" t="s">
        <v>1906</v>
      </c>
      <c r="Z238" t="str">
        <f>IFERROR(VLOOKUP(ROWS($Z$3:Z238),$X$3:$Y$992,2,0),"")</f>
        <v>Výroba, přenos a rozvod elektřiny</v>
      </c>
    </row>
    <row r="239" spans="10:26" ht="12.75">
      <c r="J239" s="305" t="s">
        <v>1908</v>
      </c>
      <c r="K239" s="293" t="s">
        <v>1909</v>
      </c>
      <c r="M239" s="294">
        <f>IF(ISNUMBER(SEARCH(ZAKL_DATA!$B$29,N239)),MAX($M$2:M238)+1,0)</f>
        <v>237</v>
      </c>
      <c r="N239" s="295" t="s">
        <v>1910</v>
      </c>
      <c r="O239" s="310" t="s">
        <v>1911</v>
      </c>
      <c r="Q239" s="297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295" t="s">
        <v>1910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295" t="s">
        <v>1910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295" t="s">
        <v>1910</v>
      </c>
      <c r="Z239" t="str">
        <f>IFERROR(VLOOKUP(ROWS($Z$3:Z239),$X$3:$Y$992,2,0),"")</f>
        <v>Výroba plynu; rozvod plynných paliv prostřednictvím sítí</v>
      </c>
    </row>
    <row r="240" spans="10:26" ht="12.75">
      <c r="J240" s="305" t="s">
        <v>1912</v>
      </c>
      <c r="K240" s="293" t="s">
        <v>1913</v>
      </c>
      <c r="M240" s="294">
        <f>IF(ISNUMBER(SEARCH(ZAKL_DATA!$B$29,N240)),MAX($M$2:M239)+1,0)</f>
        <v>238</v>
      </c>
      <c r="N240" s="295" t="s">
        <v>1914</v>
      </c>
      <c r="O240" s="310" t="s">
        <v>1915</v>
      </c>
      <c r="Q240" s="297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295" t="s">
        <v>1914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295" t="s">
        <v>1914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295" t="s">
        <v>1914</v>
      </c>
      <c r="Z240" t="str">
        <f>IFERROR(VLOOKUP(ROWS($Z$3:Z240),$X$3:$Y$992,2,0),"")</f>
        <v>Výroba a rozvod tepla a klimatizovaného vzduchu, výroba ledu</v>
      </c>
    </row>
    <row r="241" spans="10:26" ht="12.75">
      <c r="J241" s="305" t="s">
        <v>1916</v>
      </c>
      <c r="K241" s="293" t="s">
        <v>1917</v>
      </c>
      <c r="M241" s="294">
        <f>IF(ISNUMBER(SEARCH(ZAKL_DATA!$B$29,N241)),MAX($M$2:M240)+1,0)</f>
        <v>239</v>
      </c>
      <c r="N241" s="295" t="s">
        <v>1918</v>
      </c>
      <c r="O241" s="310" t="s">
        <v>1919</v>
      </c>
      <c r="Q241" s="297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295" t="s">
        <v>1918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295" t="s">
        <v>1918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295" t="s">
        <v>1918</v>
      </c>
      <c r="Z241" t="str">
        <f>IFERROR(VLOOKUP(ROWS($Z$3:Z241),$X$3:$Y$992,2,0),"")</f>
        <v>Shromažďování a sběr odpadů</v>
      </c>
    </row>
    <row r="242" spans="10:26" ht="12.75">
      <c r="J242" s="305" t="s">
        <v>1920</v>
      </c>
      <c r="K242" s="293" t="s">
        <v>1921</v>
      </c>
      <c r="M242" s="294">
        <f>IF(ISNUMBER(SEARCH(ZAKL_DATA!$B$29,N242)),MAX($M$2:M241)+1,0)</f>
        <v>240</v>
      </c>
      <c r="N242" s="295" t="s">
        <v>1922</v>
      </c>
      <c r="O242" s="310" t="s">
        <v>1923</v>
      </c>
      <c r="Q242" s="297" t="str">
        <f>IFERROR(VLOOKUP(ROWS($Q$3:Q242),$M$3:$N$992,2,0),"")</f>
        <v>Odstraňování odpadů</v>
      </c>
      <c r="R242">
        <f>IF(ISNUMBER(SEARCH('1Př1'!$A$32,N242)),MAX($M$2:M241)+1,0)</f>
        <v>240</v>
      </c>
      <c r="S242" s="295" t="s">
        <v>1922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295" t="s">
        <v>1922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295" t="s">
        <v>1922</v>
      </c>
      <c r="Z242" t="str">
        <f>IFERROR(VLOOKUP(ROWS($Z$3:Z242),$X$3:$Y$992,2,0),"")</f>
        <v>Odstraňování odpadů</v>
      </c>
    </row>
    <row r="243" spans="10:26" ht="12.75">
      <c r="J243" s="305" t="s">
        <v>1924</v>
      </c>
      <c r="K243" s="293" t="s">
        <v>1925</v>
      </c>
      <c r="M243" s="294">
        <f>IF(ISNUMBER(SEARCH(ZAKL_DATA!$B$29,N243)),MAX($M$2:M242)+1,0)</f>
        <v>241</v>
      </c>
      <c r="N243" s="295" t="s">
        <v>1926</v>
      </c>
      <c r="O243" s="310" t="s">
        <v>1927</v>
      </c>
      <c r="Q243" s="297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295" t="s">
        <v>1926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295" t="s">
        <v>1926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295" t="s">
        <v>1926</v>
      </c>
      <c r="Z243" t="str">
        <f>IFERROR(VLOOKUP(ROWS($Z$3:Z243),$X$3:$Y$992,2,0),"")</f>
        <v>Úprava odpadů k dalšímu využití</v>
      </c>
    </row>
    <row r="244" spans="10:26" ht="12.75">
      <c r="J244" s="305" t="s">
        <v>1928</v>
      </c>
      <c r="K244" s="293" t="s">
        <v>1929</v>
      </c>
      <c r="M244" s="294">
        <f>IF(ISNUMBER(SEARCH(ZAKL_DATA!$B$29,N244)),MAX($M$2:M243)+1,0)</f>
        <v>242</v>
      </c>
      <c r="N244" s="295" t="s">
        <v>1930</v>
      </c>
      <c r="O244" s="310" t="s">
        <v>1931</v>
      </c>
      <c r="Q244" s="297" t="str">
        <f>IFERROR(VLOOKUP(ROWS($Q$3:Q244),$M$3:$N$992,2,0),"")</f>
        <v>Developerská činnost</v>
      </c>
      <c r="R244">
        <f>IF(ISNUMBER(SEARCH('1Př1'!$A$32,N244)),MAX($M$2:M243)+1,0)</f>
        <v>242</v>
      </c>
      <c r="S244" s="295" t="s">
        <v>1930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295" t="s">
        <v>1930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295" t="s">
        <v>1930</v>
      </c>
      <c r="Z244" t="str">
        <f>IFERROR(VLOOKUP(ROWS($Z$3:Z244),$X$3:$Y$992,2,0),"")</f>
        <v>Developerská činnost</v>
      </c>
    </row>
    <row r="245" spans="10:26" ht="12.75">
      <c r="J245" s="305" t="s">
        <v>1932</v>
      </c>
      <c r="K245" s="293" t="s">
        <v>1933</v>
      </c>
      <c r="M245" s="294">
        <f>IF(ISNUMBER(SEARCH(ZAKL_DATA!$B$29,N245)),MAX($M$2:M244)+1,0)</f>
        <v>243</v>
      </c>
      <c r="N245" s="295" t="s">
        <v>1934</v>
      </c>
      <c r="O245" s="310" t="s">
        <v>1935</v>
      </c>
      <c r="Q245" s="297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295" t="s">
        <v>1934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295" t="s">
        <v>1934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295" t="s">
        <v>1934</v>
      </c>
      <c r="Z245" t="str">
        <f>IFERROR(VLOOKUP(ROWS($Z$3:Z245),$X$3:$Y$992,2,0),"")</f>
        <v>Výstavba bytových a nebytových budov</v>
      </c>
    </row>
    <row r="246" spans="10:26" ht="12.75">
      <c r="J246" s="305" t="s">
        <v>1936</v>
      </c>
      <c r="K246" s="293" t="s">
        <v>1937</v>
      </c>
      <c r="M246" s="294">
        <f>IF(ISNUMBER(SEARCH(ZAKL_DATA!$B$29,N246)),MAX($M$2:M245)+1,0)</f>
        <v>244</v>
      </c>
      <c r="N246" s="295" t="s">
        <v>1938</v>
      </c>
      <c r="O246" s="310" t="s">
        <v>1939</v>
      </c>
      <c r="Q246" s="297" t="str">
        <f>IFERROR(VLOOKUP(ROWS($Q$3:Q246),$M$3:$N$992,2,0),"")</f>
        <v>Výstavba silnic a železnic</v>
      </c>
      <c r="R246">
        <f>IF(ISNUMBER(SEARCH('1Př1'!$A$32,N246)),MAX($M$2:M245)+1,0)</f>
        <v>244</v>
      </c>
      <c r="S246" s="295" t="s">
        <v>1938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295" t="s">
        <v>1938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295" t="s">
        <v>1938</v>
      </c>
      <c r="Z246" t="str">
        <f>IFERROR(VLOOKUP(ROWS($Z$3:Z246),$X$3:$Y$992,2,0),"")</f>
        <v>Výstavba silnic a železnic</v>
      </c>
    </row>
    <row r="247" spans="10:26" ht="12.75">
      <c r="J247" s="305" t="s">
        <v>1940</v>
      </c>
      <c r="K247" s="293" t="s">
        <v>1941</v>
      </c>
      <c r="M247" s="294">
        <f>IF(ISNUMBER(SEARCH(ZAKL_DATA!$B$29,N247)),MAX($M$2:M246)+1,0)</f>
        <v>245</v>
      </c>
      <c r="N247" s="295" t="s">
        <v>1942</v>
      </c>
      <c r="O247" s="310" t="s">
        <v>1943</v>
      </c>
      <c r="Q247" s="297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295" t="s">
        <v>1942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295" t="s">
        <v>1942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295" t="s">
        <v>1942</v>
      </c>
      <c r="Z247" t="str">
        <f>IFERROR(VLOOKUP(ROWS($Z$3:Z247),$X$3:$Y$992,2,0),"")</f>
        <v>Výstavba inženýrských sítí</v>
      </c>
    </row>
    <row r="248" spans="10:26" ht="12.75">
      <c r="J248" s="305" t="s">
        <v>1944</v>
      </c>
      <c r="K248" s="293" t="s">
        <v>1945</v>
      </c>
      <c r="M248" s="294">
        <f>IF(ISNUMBER(SEARCH(ZAKL_DATA!$B$29,N248)),MAX($M$2:M247)+1,0)</f>
        <v>246</v>
      </c>
      <c r="N248" s="295" t="s">
        <v>1946</v>
      </c>
      <c r="O248" s="310" t="s">
        <v>1947</v>
      </c>
      <c r="Q248" s="297" t="str">
        <f>IFERROR(VLOOKUP(ROWS($Q$3:Q248),$M$3:$N$992,2,0),"")</f>
        <v>Výstavba ostatních staveb</v>
      </c>
      <c r="R248">
        <f>IF(ISNUMBER(SEARCH('1Př1'!$A$32,N248)),MAX($M$2:M247)+1,0)</f>
        <v>246</v>
      </c>
      <c r="S248" s="295" t="s">
        <v>1946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295" t="s">
        <v>1946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295" t="s">
        <v>1946</v>
      </c>
      <c r="Z248" t="str">
        <f>IFERROR(VLOOKUP(ROWS($Z$3:Z248),$X$3:$Y$992,2,0),"")</f>
        <v>Výstavba ostatních staveb</v>
      </c>
    </row>
    <row r="249" spans="10:26" ht="12.75">
      <c r="J249" s="305" t="s">
        <v>1948</v>
      </c>
      <c r="K249" s="293" t="s">
        <v>1949</v>
      </c>
      <c r="M249" s="294">
        <f>IF(ISNUMBER(SEARCH(ZAKL_DATA!$B$29,N249)),MAX($M$2:M248)+1,0)</f>
        <v>247</v>
      </c>
      <c r="N249" s="295" t="s">
        <v>1950</v>
      </c>
      <c r="O249" s="310" t="s">
        <v>1951</v>
      </c>
      <c r="Q249" s="297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295" t="s">
        <v>1950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295" t="s">
        <v>1950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295" t="s">
        <v>1950</v>
      </c>
      <c r="Z249" t="str">
        <f>IFERROR(VLOOKUP(ROWS($Z$3:Z249),$X$3:$Y$992,2,0),"")</f>
        <v>Demolice a příprava staveniště</v>
      </c>
    </row>
    <row r="250" spans="10:26" ht="12.75">
      <c r="J250" s="305" t="s">
        <v>1952</v>
      </c>
      <c r="K250" s="293" t="s">
        <v>1953</v>
      </c>
      <c r="M250" s="294">
        <f>IF(ISNUMBER(SEARCH(ZAKL_DATA!$B$29,N250)),MAX($M$2:M249)+1,0)</f>
        <v>248</v>
      </c>
      <c r="N250" s="295" t="s">
        <v>1954</v>
      </c>
      <c r="O250" s="310" t="s">
        <v>1955</v>
      </c>
      <c r="Q250" s="297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295" t="s">
        <v>1954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295" t="s">
        <v>1954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295" t="s">
        <v>1954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05" t="s">
        <v>1956</v>
      </c>
      <c r="K251" s="293" t="s">
        <v>1957</v>
      </c>
      <c r="M251" s="294">
        <f>IF(ISNUMBER(SEARCH(ZAKL_DATA!$B$29,N251)),MAX($M$2:M250)+1,0)</f>
        <v>249</v>
      </c>
      <c r="N251" s="295" t="s">
        <v>1958</v>
      </c>
      <c r="O251" s="310" t="s">
        <v>1959</v>
      </c>
      <c r="Q251" s="297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295" t="s">
        <v>1958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295" t="s">
        <v>1958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295" t="s">
        <v>1958</v>
      </c>
      <c r="Z251" t="str">
        <f>IFERROR(VLOOKUP(ROWS($Z$3:Z251),$X$3:$Y$992,2,0),"")</f>
        <v>Kompletační a dokončovací práce</v>
      </c>
    </row>
    <row r="252" spans="10:26" ht="12.75">
      <c r="J252" s="305" t="s">
        <v>1960</v>
      </c>
      <c r="K252" s="293" t="s">
        <v>1961</v>
      </c>
      <c r="M252" s="294">
        <f>IF(ISNUMBER(SEARCH(ZAKL_DATA!$B$29,N252)),MAX($M$2:M251)+1,0)</f>
        <v>250</v>
      </c>
      <c r="N252" s="295" t="s">
        <v>1962</v>
      </c>
      <c r="O252" s="310" t="s">
        <v>1963</v>
      </c>
      <c r="Q252" s="297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295" t="s">
        <v>1962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295" t="s">
        <v>1962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295" t="s">
        <v>1962</v>
      </c>
      <c r="Z252" t="str">
        <f>IFERROR(VLOOKUP(ROWS($Z$3:Z252),$X$3:$Y$992,2,0),"")</f>
        <v>Ostatní specializované stavební činnosti</v>
      </c>
    </row>
    <row r="253" spans="10:26" ht="13.5" thickBot="1">
      <c r="J253" s="317" t="s">
        <v>1964</v>
      </c>
      <c r="K253" s="293" t="s">
        <v>1965</v>
      </c>
      <c r="M253" s="294">
        <f>IF(ISNUMBER(SEARCH(ZAKL_DATA!$B$29,N253)),MAX($M$2:M252)+1,0)</f>
        <v>251</v>
      </c>
      <c r="N253" s="295" t="s">
        <v>1966</v>
      </c>
      <c r="O253" s="310" t="s">
        <v>1967</v>
      </c>
      <c r="Q253" s="297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295" t="s">
        <v>1966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295" t="s">
        <v>1966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295" t="s">
        <v>1966</v>
      </c>
      <c r="Z253" t="str">
        <f>IFERROR(VLOOKUP(ROWS($Z$3:Z253),$X$3:$Y$992,2,0),"")</f>
        <v>Obchod s motorovými vozidly, kromě motocyklů</v>
      </c>
    </row>
    <row r="254" spans="13:26" ht="12.75">
      <c r="M254" s="294">
        <f>IF(ISNUMBER(SEARCH(ZAKL_DATA!$B$29,N254)),MAX($M$2:M253)+1,0)</f>
        <v>252</v>
      </c>
      <c r="N254" s="295" t="s">
        <v>1968</v>
      </c>
      <c r="O254" s="310" t="s">
        <v>1969</v>
      </c>
      <c r="Q254" s="297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295" t="s">
        <v>1968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295" t="s">
        <v>1968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295" t="s">
        <v>1968</v>
      </c>
      <c r="Z254" t="str">
        <f>IFERROR(VLOOKUP(ROWS($Z$3:Z254),$X$3:$Y$992,2,0),"")</f>
        <v>Opravy a údržba motorových vozidel, kromě motocyklů</v>
      </c>
    </row>
    <row r="255" spans="13:26" ht="12.75">
      <c r="M255" s="294">
        <f>IF(ISNUMBER(SEARCH(ZAKL_DATA!$B$29,N255)),MAX($M$2:M254)+1,0)</f>
        <v>253</v>
      </c>
      <c r="N255" s="295" t="s">
        <v>1970</v>
      </c>
      <c r="O255" s="310" t="s">
        <v>1971</v>
      </c>
      <c r="Q255" s="297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295" t="s">
        <v>1970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295" t="s">
        <v>1970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295" t="s">
        <v>1970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294">
        <f>IF(ISNUMBER(SEARCH(ZAKL_DATA!$B$29,N256)),MAX($M$2:M255)+1,0)</f>
        <v>254</v>
      </c>
      <c r="N256" s="295" t="s">
        <v>1972</v>
      </c>
      <c r="O256" s="310" t="s">
        <v>1973</v>
      </c>
      <c r="Q256" s="297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295" t="s">
        <v>1972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295" t="s">
        <v>1972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295" t="s">
        <v>1972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294">
        <f>IF(ISNUMBER(SEARCH(ZAKL_DATA!$B$29,N257)),MAX($M$2:M256)+1,0)</f>
        <v>255</v>
      </c>
      <c r="N257" s="295" t="s">
        <v>1974</v>
      </c>
      <c r="O257" s="310" t="s">
        <v>1975</v>
      </c>
      <c r="Q257" s="297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295" t="s">
        <v>1974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295" t="s">
        <v>1974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295" t="s">
        <v>1974</v>
      </c>
      <c r="Z257" t="str">
        <f>IFERROR(VLOOKUP(ROWS($Z$3:Z257),$X$3:$Y$992,2,0),"")</f>
        <v>Zprostředkování velkoobchodu a velkoobchod v zastoupení</v>
      </c>
    </row>
    <row r="258" spans="13:26" ht="12.75">
      <c r="M258" s="294">
        <f>IF(ISNUMBER(SEARCH(ZAKL_DATA!$B$29,N258)),MAX($M$2:M257)+1,0)</f>
        <v>256</v>
      </c>
      <c r="N258" s="295" t="s">
        <v>1976</v>
      </c>
      <c r="O258" s="310" t="s">
        <v>1977</v>
      </c>
      <c r="Q258" s="297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295" t="s">
        <v>1976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295" t="s">
        <v>1976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295" t="s">
        <v>1976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294">
        <f>IF(ISNUMBER(SEARCH(ZAKL_DATA!$B$29,N259)),MAX($M$2:M258)+1,0)</f>
        <v>257</v>
      </c>
      <c r="N259" s="295" t="s">
        <v>1978</v>
      </c>
      <c r="O259" s="310" t="s">
        <v>1979</v>
      </c>
      <c r="Q259" s="297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295" t="s">
        <v>1978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295" t="s">
        <v>1978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295" t="s">
        <v>1978</v>
      </c>
      <c r="Z259" t="str">
        <f>IFERROR(VLOOKUP(ROWS($Z$3:Z259),$X$3:$Y$992,2,0),"")</f>
        <v>Velkoobchod s potravinami, nápoji a tabákovými výrobky</v>
      </c>
    </row>
    <row r="260" spans="13:26" ht="12.75">
      <c r="M260" s="294">
        <f>IF(ISNUMBER(SEARCH(ZAKL_DATA!$B$29,N260)),MAX($M$2:M259)+1,0)</f>
        <v>258</v>
      </c>
      <c r="N260" s="295" t="s">
        <v>1980</v>
      </c>
      <c r="O260" s="310" t="s">
        <v>1981</v>
      </c>
      <c r="Q260" s="297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295" t="s">
        <v>1980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295" t="s">
        <v>1980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295" t="s">
        <v>1980</v>
      </c>
      <c r="Z260" t="str">
        <f>IFERROR(VLOOKUP(ROWS($Z$3:Z260),$X$3:$Y$992,2,0),"")</f>
        <v>Velkoobchod s výrobky převážně pro domácnost</v>
      </c>
    </row>
    <row r="261" spans="13:26" ht="12.75">
      <c r="M261" s="294">
        <f>IF(ISNUMBER(SEARCH(ZAKL_DATA!$B$29,N261)),MAX($M$2:M260)+1,0)</f>
        <v>259</v>
      </c>
      <c r="N261" s="295" t="s">
        <v>1982</v>
      </c>
      <c r="O261" s="310" t="s">
        <v>1983</v>
      </c>
      <c r="Q261" s="297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295" t="s">
        <v>1982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295" t="s">
        <v>1982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295" t="s">
        <v>1982</v>
      </c>
      <c r="Z261" t="str">
        <f>IFERROR(VLOOKUP(ROWS($Z$3:Z261),$X$3:$Y$992,2,0),"")</f>
        <v>Velkoobchod s počítačovým a komunikačním zařízením</v>
      </c>
    </row>
    <row r="262" spans="13:26" ht="12.75">
      <c r="M262" s="294">
        <f>IF(ISNUMBER(SEARCH(ZAKL_DATA!$B$29,N262)),MAX($M$2:M261)+1,0)</f>
        <v>260</v>
      </c>
      <c r="N262" s="295" t="s">
        <v>1984</v>
      </c>
      <c r="O262" s="310" t="s">
        <v>1985</v>
      </c>
      <c r="Q262" s="297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295" t="s">
        <v>1984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295" t="s">
        <v>1984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295" t="s">
        <v>1984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294">
        <f>IF(ISNUMBER(SEARCH(ZAKL_DATA!$B$29,N263)),MAX($M$2:M262)+1,0)</f>
        <v>261</v>
      </c>
      <c r="N263" s="295" t="s">
        <v>1986</v>
      </c>
      <c r="O263" s="310" t="s">
        <v>1987</v>
      </c>
      <c r="Q263" s="297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295" t="s">
        <v>1986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295" t="s">
        <v>1986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295" t="s">
        <v>1986</v>
      </c>
      <c r="Z263" t="str">
        <f>IFERROR(VLOOKUP(ROWS($Z$3:Z263),$X$3:$Y$992,2,0),"")</f>
        <v>Ostatní specializovaný velkoobchod</v>
      </c>
    </row>
    <row r="264" spans="13:26" ht="12.75">
      <c r="M264" s="294">
        <f>IF(ISNUMBER(SEARCH(ZAKL_DATA!$B$29,N264)),MAX($M$2:M263)+1,0)</f>
        <v>262</v>
      </c>
      <c r="N264" s="295" t="s">
        <v>1988</v>
      </c>
      <c r="O264" s="310" t="s">
        <v>1989</v>
      </c>
      <c r="Q264" s="297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295" t="s">
        <v>1988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295" t="s">
        <v>1988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295" t="s">
        <v>1988</v>
      </c>
      <c r="Z264" t="str">
        <f>IFERROR(VLOOKUP(ROWS($Z$3:Z264),$X$3:$Y$992,2,0),"")</f>
        <v>Nespecializovaný velkoobchod</v>
      </c>
    </row>
    <row r="265" spans="13:26" ht="12.75">
      <c r="M265" s="294">
        <f>IF(ISNUMBER(SEARCH(ZAKL_DATA!$B$29,N265)),MAX($M$2:M264)+1,0)</f>
        <v>263</v>
      </c>
      <c r="N265" s="295" t="s">
        <v>1990</v>
      </c>
      <c r="O265" s="310" t="s">
        <v>1991</v>
      </c>
      <c r="Q265" s="297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295" t="s">
        <v>1990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295" t="s">
        <v>1990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295" t="s">
        <v>1990</v>
      </c>
      <c r="Z265" t="str">
        <f>IFERROR(VLOOKUP(ROWS($Z$3:Z265),$X$3:$Y$992,2,0),"")</f>
        <v>Maloobchod v nespecializovaných prodejnách</v>
      </c>
    </row>
    <row r="266" spans="13:26" ht="12.75">
      <c r="M266" s="294">
        <f>IF(ISNUMBER(SEARCH(ZAKL_DATA!$B$29,N266)),MAX($M$2:M265)+1,0)</f>
        <v>264</v>
      </c>
      <c r="N266" s="295" t="s">
        <v>1992</v>
      </c>
      <c r="O266" s="310" t="s">
        <v>1993</v>
      </c>
      <c r="Q266" s="297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295" t="s">
        <v>1992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295" t="s">
        <v>1992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295" t="s">
        <v>1992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294">
        <f>IF(ISNUMBER(SEARCH(ZAKL_DATA!$B$29,N267)),MAX($M$2:M266)+1,0)</f>
        <v>265</v>
      </c>
      <c r="N267" s="295" t="s">
        <v>1994</v>
      </c>
      <c r="O267" s="310" t="s">
        <v>1995</v>
      </c>
      <c r="Q267" s="297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295" t="s">
        <v>1994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295" t="s">
        <v>1994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295" t="s">
        <v>1994</v>
      </c>
      <c r="Z267" t="str">
        <f>IFERROR(VLOOKUP(ROWS($Z$3:Z267),$X$3:$Y$992,2,0),"")</f>
        <v>Maloobchod s pohonnými hmotami ve specializovaných prodejnách</v>
      </c>
    </row>
    <row r="268" spans="13:26" ht="12.75">
      <c r="M268" s="294">
        <f>IF(ISNUMBER(SEARCH(ZAKL_DATA!$B$29,N268)),MAX($M$2:M267)+1,0)</f>
        <v>266</v>
      </c>
      <c r="N268" s="295" t="s">
        <v>1996</v>
      </c>
      <c r="O268" s="310" t="s">
        <v>1997</v>
      </c>
      <c r="Q268" s="297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295" t="s">
        <v>1996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295" t="s">
        <v>1996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295" t="s">
        <v>1996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294">
        <f>IF(ISNUMBER(SEARCH(ZAKL_DATA!$B$29,N269)),MAX($M$2:M268)+1,0)</f>
        <v>267</v>
      </c>
      <c r="N269" s="295" t="s">
        <v>1998</v>
      </c>
      <c r="O269" s="310" t="s">
        <v>1999</v>
      </c>
      <c r="Q269" s="297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295" t="s">
        <v>1998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295" t="s">
        <v>1998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295" t="s">
        <v>1998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294">
        <f>IF(ISNUMBER(SEARCH(ZAKL_DATA!$B$29,N270)),MAX($M$2:M269)+1,0)</f>
        <v>268</v>
      </c>
      <c r="N270" s="295" t="s">
        <v>2000</v>
      </c>
      <c r="O270" s="310" t="s">
        <v>2001</v>
      </c>
      <c r="Q270" s="297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295" t="s">
        <v>2000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295" t="s">
        <v>2000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295" t="s">
        <v>2000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294">
        <f>IF(ISNUMBER(SEARCH(ZAKL_DATA!$B$29,N271)),MAX($M$2:M270)+1,0)</f>
        <v>269</v>
      </c>
      <c r="N271" s="295" t="s">
        <v>2002</v>
      </c>
      <c r="O271" s="310" t="s">
        <v>2003</v>
      </c>
      <c r="Q271" s="297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295" t="s">
        <v>2002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295" t="s">
        <v>2002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295" t="s">
        <v>2002</v>
      </c>
      <c r="Z271" t="str">
        <f>IFERROR(VLOOKUP(ROWS($Z$3:Z271),$X$3:$Y$992,2,0),"")</f>
        <v>Maloobchod s ostatním zbožím ve specializovaných prodejnách</v>
      </c>
    </row>
    <row r="272" spans="13:26" ht="12.75">
      <c r="M272" s="294">
        <f>IF(ISNUMBER(SEARCH(ZAKL_DATA!$B$29,N272)),MAX($M$2:M271)+1,0)</f>
        <v>270</v>
      </c>
      <c r="N272" s="295" t="s">
        <v>2004</v>
      </c>
      <c r="O272" s="310" t="s">
        <v>2005</v>
      </c>
      <c r="Q272" s="297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295" t="s">
        <v>2004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295" t="s">
        <v>2004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295" t="s">
        <v>2004</v>
      </c>
      <c r="Z272" t="str">
        <f>IFERROR(VLOOKUP(ROWS($Z$3:Z272),$X$3:$Y$992,2,0),"")</f>
        <v>Maloobchod ve stáncích a na trzích</v>
      </c>
    </row>
    <row r="273" spans="13:26" ht="12.75">
      <c r="M273" s="294">
        <f>IF(ISNUMBER(SEARCH(ZAKL_DATA!$B$29,N273)),MAX($M$2:M272)+1,0)</f>
        <v>271</v>
      </c>
      <c r="N273" s="295" t="s">
        <v>2006</v>
      </c>
      <c r="O273" s="310" t="s">
        <v>2007</v>
      </c>
      <c r="Q273" s="297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295" t="s">
        <v>2006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295" t="s">
        <v>2006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295" t="s">
        <v>2006</v>
      </c>
      <c r="Z273" t="str">
        <f>IFERROR(VLOOKUP(ROWS($Z$3:Z273),$X$3:$Y$992,2,0),"")</f>
        <v>Maloobchod mimo prodejny, stánky a trhy</v>
      </c>
    </row>
    <row r="274" spans="13:26" ht="12.75">
      <c r="M274" s="294">
        <f>IF(ISNUMBER(SEARCH(ZAKL_DATA!$B$29,N274)),MAX($M$2:M273)+1,0)</f>
        <v>272</v>
      </c>
      <c r="N274" s="295" t="s">
        <v>2008</v>
      </c>
      <c r="O274" s="310" t="s">
        <v>2009</v>
      </c>
      <c r="Q274" s="297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295" t="s">
        <v>2008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295" t="s">
        <v>2008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295" t="s">
        <v>2008</v>
      </c>
      <c r="Z274" t="str">
        <f>IFERROR(VLOOKUP(ROWS($Z$3:Z274),$X$3:$Y$992,2,0),"")</f>
        <v>železniční osobní doprava meziměstská</v>
      </c>
    </row>
    <row r="275" spans="13:26" ht="12.75">
      <c r="M275" s="294">
        <f>IF(ISNUMBER(SEARCH(ZAKL_DATA!$B$29,N275)),MAX($M$2:M274)+1,0)</f>
        <v>273</v>
      </c>
      <c r="N275" s="295" t="s">
        <v>2010</v>
      </c>
      <c r="O275" s="310" t="s">
        <v>2011</v>
      </c>
      <c r="Q275" s="297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295" t="s">
        <v>2010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295" t="s">
        <v>2010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295" t="s">
        <v>2010</v>
      </c>
      <c r="Z275" t="str">
        <f>IFERROR(VLOOKUP(ROWS($Z$3:Z275),$X$3:$Y$992,2,0),"")</f>
        <v>železniční nákladní doprava</v>
      </c>
    </row>
    <row r="276" spans="13:26" ht="12.75">
      <c r="M276" s="294">
        <f>IF(ISNUMBER(SEARCH(ZAKL_DATA!$B$29,N276)),MAX($M$2:M275)+1,0)</f>
        <v>274</v>
      </c>
      <c r="N276" s="295" t="s">
        <v>2012</v>
      </c>
      <c r="O276" s="310" t="s">
        <v>2013</v>
      </c>
      <c r="Q276" s="297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295" t="s">
        <v>2012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295" t="s">
        <v>2012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295" t="s">
        <v>2012</v>
      </c>
      <c r="Z276" t="str">
        <f>IFERROR(VLOOKUP(ROWS($Z$3:Z276),$X$3:$Y$992,2,0),"")</f>
        <v>Ostatní pozemní osobní doprava</v>
      </c>
    </row>
    <row r="277" spans="13:26" ht="12.75">
      <c r="M277" s="294">
        <f>IF(ISNUMBER(SEARCH(ZAKL_DATA!$B$29,N277)),MAX($M$2:M276)+1,0)</f>
        <v>275</v>
      </c>
      <c r="N277" s="295" t="s">
        <v>2014</v>
      </c>
      <c r="O277" s="310" t="s">
        <v>2015</v>
      </c>
      <c r="Q277" s="297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295" t="s">
        <v>2014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295" t="s">
        <v>2014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295" t="s">
        <v>2014</v>
      </c>
      <c r="Z277" t="str">
        <f>IFERROR(VLOOKUP(ROWS($Z$3:Z277),$X$3:$Y$992,2,0),"")</f>
        <v>Silniční nákladní doprava a stěhovací služby</v>
      </c>
    </row>
    <row r="278" spans="13:26" ht="12.75">
      <c r="M278" s="294">
        <f>IF(ISNUMBER(SEARCH(ZAKL_DATA!$B$29,N278)),MAX($M$2:M277)+1,0)</f>
        <v>276</v>
      </c>
      <c r="N278" s="295" t="s">
        <v>2016</v>
      </c>
      <c r="O278" s="310" t="s">
        <v>2017</v>
      </c>
      <c r="Q278" s="297" t="str">
        <f>IFERROR(VLOOKUP(ROWS($Q$3:Q278),$M$3:$N$992,2,0),"")</f>
        <v>Potrubní doprava</v>
      </c>
      <c r="R278">
        <f>IF(ISNUMBER(SEARCH('1Př1'!$A$32,N278)),MAX($M$2:M277)+1,0)</f>
        <v>276</v>
      </c>
      <c r="S278" s="295" t="s">
        <v>2016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295" t="s">
        <v>2016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295" t="s">
        <v>2016</v>
      </c>
      <c r="Z278" t="str">
        <f>IFERROR(VLOOKUP(ROWS($Z$3:Z278),$X$3:$Y$992,2,0),"")</f>
        <v>Potrubní doprava</v>
      </c>
    </row>
    <row r="279" spans="13:26" ht="12.75">
      <c r="M279" s="294">
        <f>IF(ISNUMBER(SEARCH(ZAKL_DATA!$B$29,N279)),MAX($M$2:M278)+1,0)</f>
        <v>277</v>
      </c>
      <c r="N279" s="295" t="s">
        <v>2018</v>
      </c>
      <c r="O279" s="310" t="s">
        <v>2019</v>
      </c>
      <c r="Q279" s="297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295" t="s">
        <v>2018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295" t="s">
        <v>2018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295" t="s">
        <v>2018</v>
      </c>
      <c r="Z279" t="str">
        <f>IFERROR(VLOOKUP(ROWS($Z$3:Z279),$X$3:$Y$992,2,0),"")</f>
        <v>Námořní a pobřežní osobní doprava</v>
      </c>
    </row>
    <row r="280" spans="13:26" ht="12.75">
      <c r="M280" s="294">
        <f>IF(ISNUMBER(SEARCH(ZAKL_DATA!$B$29,N280)),MAX($M$2:M279)+1,0)</f>
        <v>278</v>
      </c>
      <c r="N280" s="295" t="s">
        <v>2020</v>
      </c>
      <c r="O280" s="310" t="s">
        <v>2021</v>
      </c>
      <c r="Q280" s="297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295" t="s">
        <v>2020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295" t="s">
        <v>2020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295" t="s">
        <v>2020</v>
      </c>
      <c r="Z280" t="str">
        <f>IFERROR(VLOOKUP(ROWS($Z$3:Z280),$X$3:$Y$992,2,0),"")</f>
        <v>Námořní a pobřežní nákladní doprava</v>
      </c>
    </row>
    <row r="281" spans="13:26" ht="12.75">
      <c r="M281" s="294">
        <f>IF(ISNUMBER(SEARCH(ZAKL_DATA!$B$29,N281)),MAX($M$2:M280)+1,0)</f>
        <v>279</v>
      </c>
      <c r="N281" s="295" t="s">
        <v>2022</v>
      </c>
      <c r="O281" s="310" t="s">
        <v>2023</v>
      </c>
      <c r="Q281" s="297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295" t="s">
        <v>2022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295" t="s">
        <v>2022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295" t="s">
        <v>2022</v>
      </c>
      <c r="Z281" t="str">
        <f>IFERROR(VLOOKUP(ROWS($Z$3:Z281),$X$3:$Y$992,2,0),"")</f>
        <v>Vnitrozemská vodní osobní doprava</v>
      </c>
    </row>
    <row r="282" spans="13:26" ht="12.75">
      <c r="M282" s="294">
        <f>IF(ISNUMBER(SEARCH(ZAKL_DATA!$B$29,N282)),MAX($M$2:M281)+1,0)</f>
        <v>280</v>
      </c>
      <c r="N282" s="295" t="s">
        <v>2024</v>
      </c>
      <c r="O282" s="310" t="s">
        <v>2025</v>
      </c>
      <c r="Q282" s="297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295" t="s">
        <v>2024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295" t="s">
        <v>2024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295" t="s">
        <v>2024</v>
      </c>
      <c r="Z282" t="str">
        <f>IFERROR(VLOOKUP(ROWS($Z$3:Z282),$X$3:$Y$992,2,0),"")</f>
        <v>Vnitrozemská vodní nákladní doprava</v>
      </c>
    </row>
    <row r="283" spans="13:26" ht="12.75">
      <c r="M283" s="294">
        <f>IF(ISNUMBER(SEARCH(ZAKL_DATA!$B$29,N283)),MAX($M$2:M282)+1,0)</f>
        <v>281</v>
      </c>
      <c r="N283" s="295" t="s">
        <v>2026</v>
      </c>
      <c r="O283" s="310" t="s">
        <v>2027</v>
      </c>
      <c r="Q283" s="297" t="str">
        <f>IFERROR(VLOOKUP(ROWS($Q$3:Q283),$M$3:$N$992,2,0),"")</f>
        <v>Letecká osobní doprava</v>
      </c>
      <c r="R283">
        <f>IF(ISNUMBER(SEARCH('1Př1'!$A$32,N283)),MAX($M$2:M282)+1,0)</f>
        <v>281</v>
      </c>
      <c r="S283" s="295" t="s">
        <v>2026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295" t="s">
        <v>2026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295" t="s">
        <v>2026</v>
      </c>
      <c r="Z283" t="str">
        <f>IFERROR(VLOOKUP(ROWS($Z$3:Z283),$X$3:$Y$992,2,0),"")</f>
        <v>Letecká osobní doprava</v>
      </c>
    </row>
    <row r="284" spans="13:26" ht="12.75">
      <c r="M284" s="294">
        <f>IF(ISNUMBER(SEARCH(ZAKL_DATA!$B$29,N284)),MAX($M$2:M283)+1,0)</f>
        <v>282</v>
      </c>
      <c r="N284" s="295" t="s">
        <v>2028</v>
      </c>
      <c r="O284" s="310" t="s">
        <v>2029</v>
      </c>
      <c r="Q284" s="297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295" t="s">
        <v>2028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295" t="s">
        <v>2028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295" t="s">
        <v>2028</v>
      </c>
      <c r="Z284" t="str">
        <f>IFERROR(VLOOKUP(ROWS($Z$3:Z284),$X$3:$Y$992,2,0),"")</f>
        <v>Letecká nákladní doprava a kosmická doprava</v>
      </c>
    </row>
    <row r="285" spans="13:26" ht="12.75">
      <c r="M285" s="294">
        <f>IF(ISNUMBER(SEARCH(ZAKL_DATA!$B$29,N285)),MAX($M$2:M284)+1,0)</f>
        <v>283</v>
      </c>
      <c r="N285" s="295" t="s">
        <v>2030</v>
      </c>
      <c r="O285" s="310" t="s">
        <v>2031</v>
      </c>
      <c r="Q285" s="297" t="str">
        <f>IFERROR(VLOOKUP(ROWS($Q$3:Q285),$M$3:$N$992,2,0),"")</f>
        <v>Skladování</v>
      </c>
      <c r="R285">
        <f>IF(ISNUMBER(SEARCH('1Př1'!$A$32,N285)),MAX($M$2:M284)+1,0)</f>
        <v>283</v>
      </c>
      <c r="S285" s="295" t="s">
        <v>2030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295" t="s">
        <v>2030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295" t="s">
        <v>2030</v>
      </c>
      <c r="Z285" t="str">
        <f>IFERROR(VLOOKUP(ROWS($Z$3:Z285),$X$3:$Y$992,2,0),"")</f>
        <v>Skladování</v>
      </c>
    </row>
    <row r="286" spans="13:26" ht="12.75">
      <c r="M286" s="294">
        <f>IF(ISNUMBER(SEARCH(ZAKL_DATA!$B$29,N286)),MAX($M$2:M285)+1,0)</f>
        <v>284</v>
      </c>
      <c r="N286" s="295" t="s">
        <v>2032</v>
      </c>
      <c r="O286" s="310" t="s">
        <v>2033</v>
      </c>
      <c r="Q286" s="297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295" t="s">
        <v>2032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295" t="s">
        <v>2032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295" t="s">
        <v>2032</v>
      </c>
      <c r="Z286" t="str">
        <f>IFERROR(VLOOKUP(ROWS($Z$3:Z286),$X$3:$Y$992,2,0),"")</f>
        <v>Vedlejší činnosti v dopravě</v>
      </c>
    </row>
    <row r="287" spans="13:26" ht="12.75">
      <c r="M287" s="294">
        <f>IF(ISNUMBER(SEARCH(ZAKL_DATA!$B$29,N287)),MAX($M$2:M286)+1,0)</f>
        <v>285</v>
      </c>
      <c r="N287" s="295" t="s">
        <v>2034</v>
      </c>
      <c r="O287" s="310" t="s">
        <v>2035</v>
      </c>
      <c r="Q287" s="297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295" t="s">
        <v>2034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295" t="s">
        <v>2034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295" t="s">
        <v>2034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294">
        <f>IF(ISNUMBER(SEARCH(ZAKL_DATA!$B$29,N288)),MAX($M$2:M287)+1,0)</f>
        <v>286</v>
      </c>
      <c r="N288" s="295" t="s">
        <v>2036</v>
      </c>
      <c r="O288" s="310" t="s">
        <v>2037</v>
      </c>
      <c r="Q288" s="297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295" t="s">
        <v>2036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295" t="s">
        <v>2036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295" t="s">
        <v>2036</v>
      </c>
      <c r="Z288" t="str">
        <f>IFERROR(VLOOKUP(ROWS($Z$3:Z288),$X$3:$Y$992,2,0),"")</f>
        <v>Ostatní poštovní a kurýrní činnosti</v>
      </c>
    </row>
    <row r="289" spans="13:26" ht="12.75">
      <c r="M289" s="294">
        <f>IF(ISNUMBER(SEARCH(ZAKL_DATA!$B$29,N289)),MAX($M$2:M288)+1,0)</f>
        <v>287</v>
      </c>
      <c r="N289" s="295" t="s">
        <v>2038</v>
      </c>
      <c r="O289" s="310" t="s">
        <v>2039</v>
      </c>
      <c r="Q289" s="297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295" t="s">
        <v>2038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295" t="s">
        <v>2038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295" t="s">
        <v>2038</v>
      </c>
      <c r="Z289" t="str">
        <f>IFERROR(VLOOKUP(ROWS($Z$3:Z289),$X$3:$Y$992,2,0),"")</f>
        <v>Ubytování v hotelích a podobných ubytovacích zařízeních</v>
      </c>
    </row>
    <row r="290" spans="13:26" ht="12.75">
      <c r="M290" s="294">
        <f>IF(ISNUMBER(SEARCH(ZAKL_DATA!$B$29,N290)),MAX($M$2:M289)+1,0)</f>
        <v>288</v>
      </c>
      <c r="N290" s="295" t="s">
        <v>2040</v>
      </c>
      <c r="O290" s="310" t="s">
        <v>2041</v>
      </c>
      <c r="Q290" s="297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295" t="s">
        <v>2040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295" t="s">
        <v>2040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295" t="s">
        <v>2040</v>
      </c>
      <c r="Z290" t="str">
        <f>IFERROR(VLOOKUP(ROWS($Z$3:Z290),$X$3:$Y$992,2,0),"")</f>
        <v>Rekreační a ostatní krátkodobé ubytování</v>
      </c>
    </row>
    <row r="291" spans="13:26" ht="12.75">
      <c r="M291" s="294">
        <f>IF(ISNUMBER(SEARCH(ZAKL_DATA!$B$29,N291)),MAX($M$2:M290)+1,0)</f>
        <v>289</v>
      </c>
      <c r="N291" s="295" t="s">
        <v>2042</v>
      </c>
      <c r="O291" s="310" t="s">
        <v>2043</v>
      </c>
      <c r="Q291" s="297" t="str">
        <f>IFERROR(VLOOKUP(ROWS($Q$3:Q291),$M$3:$N$992,2,0),"")</f>
        <v>Kempy a tábořiště</v>
      </c>
      <c r="R291">
        <f>IF(ISNUMBER(SEARCH('1Př1'!$A$32,N291)),MAX($M$2:M290)+1,0)</f>
        <v>289</v>
      </c>
      <c r="S291" s="295" t="s">
        <v>2042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295" t="s">
        <v>2042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295" t="s">
        <v>2042</v>
      </c>
      <c r="Z291" t="str">
        <f>IFERROR(VLOOKUP(ROWS($Z$3:Z291),$X$3:$Y$992,2,0),"")</f>
        <v>Kempy a tábořiště</v>
      </c>
    </row>
    <row r="292" spans="13:26" ht="12.75">
      <c r="M292" s="294">
        <f>IF(ISNUMBER(SEARCH(ZAKL_DATA!$B$29,N292)),MAX($M$2:M291)+1,0)</f>
        <v>290</v>
      </c>
      <c r="N292" s="295" t="s">
        <v>2044</v>
      </c>
      <c r="O292" s="310" t="s">
        <v>2045</v>
      </c>
      <c r="Q292" s="297" t="str">
        <f>IFERROR(VLOOKUP(ROWS($Q$3:Q292),$M$3:$N$992,2,0),"")</f>
        <v>Ostatní ubytování</v>
      </c>
      <c r="R292">
        <f>IF(ISNUMBER(SEARCH('1Př1'!$A$32,N292)),MAX($M$2:M291)+1,0)</f>
        <v>290</v>
      </c>
      <c r="S292" s="295" t="s">
        <v>2044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295" t="s">
        <v>2044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295" t="s">
        <v>2044</v>
      </c>
      <c r="Z292" t="str">
        <f>IFERROR(VLOOKUP(ROWS($Z$3:Z292),$X$3:$Y$992,2,0),"")</f>
        <v>Ostatní ubytování</v>
      </c>
    </row>
    <row r="293" spans="13:26" ht="12.75">
      <c r="M293" s="294">
        <f>IF(ISNUMBER(SEARCH(ZAKL_DATA!$B$29,N293)),MAX($M$2:M292)+1,0)</f>
        <v>291</v>
      </c>
      <c r="N293" s="295" t="s">
        <v>2046</v>
      </c>
      <c r="O293" s="310" t="s">
        <v>2047</v>
      </c>
      <c r="Q293" s="297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295" t="s">
        <v>2046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295" t="s">
        <v>2046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295" t="s">
        <v>2046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294">
        <f>IF(ISNUMBER(SEARCH(ZAKL_DATA!$B$29,N294)),MAX($M$2:M293)+1,0)</f>
        <v>292</v>
      </c>
      <c r="N294" s="295" t="s">
        <v>2048</v>
      </c>
      <c r="O294" s="310" t="s">
        <v>2049</v>
      </c>
      <c r="Q294" s="297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295" t="s">
        <v>2048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295" t="s">
        <v>2048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295" t="s">
        <v>2048</v>
      </c>
      <c r="Z294" t="str">
        <f>IFERROR(VLOOKUP(ROWS($Z$3:Z294),$X$3:$Y$992,2,0),"")</f>
        <v>Poskytování cateringových a ostatních stravovacích služeb</v>
      </c>
    </row>
    <row r="295" spans="13:26" ht="12.75">
      <c r="M295" s="294">
        <f>IF(ISNUMBER(SEARCH(ZAKL_DATA!$B$29,N295)),MAX($M$2:M294)+1,0)</f>
        <v>293</v>
      </c>
      <c r="N295" s="295" t="s">
        <v>2050</v>
      </c>
      <c r="O295" s="310" t="s">
        <v>2051</v>
      </c>
      <c r="Q295" s="297" t="str">
        <f>IFERROR(VLOOKUP(ROWS($Q$3:Q295),$M$3:$N$992,2,0),"")</f>
        <v>Pohostinství</v>
      </c>
      <c r="R295">
        <f>IF(ISNUMBER(SEARCH('1Př1'!$A$32,N295)),MAX($M$2:M294)+1,0)</f>
        <v>293</v>
      </c>
      <c r="S295" s="295" t="s">
        <v>2050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295" t="s">
        <v>2050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295" t="s">
        <v>2050</v>
      </c>
      <c r="Z295" t="str">
        <f>IFERROR(VLOOKUP(ROWS($Z$3:Z295),$X$3:$Y$992,2,0),"")</f>
        <v>Pohostinství</v>
      </c>
    </row>
    <row r="296" spans="13:26" ht="12.75">
      <c r="M296" s="294">
        <f>IF(ISNUMBER(SEARCH(ZAKL_DATA!$B$29,N296)),MAX($M$2:M295)+1,0)</f>
        <v>294</v>
      </c>
      <c r="N296" s="295" t="s">
        <v>2052</v>
      </c>
      <c r="O296" s="310" t="s">
        <v>2053</v>
      </c>
      <c r="Q296" s="297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295" t="s">
        <v>2052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295" t="s">
        <v>2052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295" t="s">
        <v>2052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294">
        <f>IF(ISNUMBER(SEARCH(ZAKL_DATA!$B$29,N297)),MAX($M$2:M296)+1,0)</f>
        <v>295</v>
      </c>
      <c r="N297" s="295" t="s">
        <v>2054</v>
      </c>
      <c r="O297" s="310" t="s">
        <v>2055</v>
      </c>
      <c r="Q297" s="297" t="str">
        <f>IFERROR(VLOOKUP(ROWS($Q$3:Q297),$M$3:$N$992,2,0),"")</f>
        <v>Vydávání softwaru</v>
      </c>
      <c r="R297">
        <f>IF(ISNUMBER(SEARCH('1Př1'!$A$32,N297)),MAX($M$2:M296)+1,0)</f>
        <v>295</v>
      </c>
      <c r="S297" s="295" t="s">
        <v>2054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295" t="s">
        <v>2054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295" t="s">
        <v>2054</v>
      </c>
      <c r="Z297" t="str">
        <f>IFERROR(VLOOKUP(ROWS($Z$3:Z297),$X$3:$Y$992,2,0),"")</f>
        <v>Vydávání softwaru</v>
      </c>
    </row>
    <row r="298" spans="13:26" ht="12.75">
      <c r="M298" s="294">
        <f>IF(ISNUMBER(SEARCH(ZAKL_DATA!$B$29,N298)),MAX($M$2:M297)+1,0)</f>
        <v>296</v>
      </c>
      <c r="N298" s="295" t="s">
        <v>2056</v>
      </c>
      <c r="O298" s="310" t="s">
        <v>2057</v>
      </c>
      <c r="Q298" s="297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295" t="s">
        <v>2056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295" t="s">
        <v>2056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295" t="s">
        <v>2056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294">
        <f>IF(ISNUMBER(SEARCH(ZAKL_DATA!$B$29,N299)),MAX($M$2:M298)+1,0)</f>
        <v>297</v>
      </c>
      <c r="N299" s="295" t="s">
        <v>2058</v>
      </c>
      <c r="O299" s="310" t="s">
        <v>2059</v>
      </c>
      <c r="Q299" s="297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295" t="s">
        <v>2058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295" t="s">
        <v>2058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295" t="s">
        <v>2058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294">
        <f>IF(ISNUMBER(SEARCH(ZAKL_DATA!$B$29,N300)),MAX($M$2:M299)+1,0)</f>
        <v>298</v>
      </c>
      <c r="N300" s="295" t="s">
        <v>2060</v>
      </c>
      <c r="O300" s="310" t="s">
        <v>2061</v>
      </c>
      <c r="Q300" s="297" t="str">
        <f>IFERROR(VLOOKUP(ROWS($Q$3:Q300),$M$3:$N$992,2,0),"")</f>
        <v>Rozhlasové vysílání</v>
      </c>
      <c r="R300">
        <f>IF(ISNUMBER(SEARCH('1Př1'!$A$32,N300)),MAX($M$2:M299)+1,0)</f>
        <v>298</v>
      </c>
      <c r="S300" s="295" t="s">
        <v>2060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295" t="s">
        <v>2060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295" t="s">
        <v>2060</v>
      </c>
      <c r="Z300" t="str">
        <f>IFERROR(VLOOKUP(ROWS($Z$3:Z300),$X$3:$Y$992,2,0),"")</f>
        <v>Rozhlasové vysílání</v>
      </c>
    </row>
    <row r="301" spans="13:26" ht="12.75">
      <c r="M301" s="294">
        <f>IF(ISNUMBER(SEARCH(ZAKL_DATA!$B$29,N301)),MAX($M$2:M300)+1,0)</f>
        <v>299</v>
      </c>
      <c r="N301" s="295" t="s">
        <v>2062</v>
      </c>
      <c r="O301" s="310" t="s">
        <v>2063</v>
      </c>
      <c r="Q301" s="297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295" t="s">
        <v>2062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295" t="s">
        <v>2062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295" t="s">
        <v>2062</v>
      </c>
      <c r="Z301" t="str">
        <f>IFERROR(VLOOKUP(ROWS($Z$3:Z301),$X$3:$Y$992,2,0),"")</f>
        <v>Tvorba televizních programů a televizní vysílání</v>
      </c>
    </row>
    <row r="302" spans="13:26" ht="12.75">
      <c r="M302" s="294">
        <f>IF(ISNUMBER(SEARCH(ZAKL_DATA!$B$29,N302)),MAX($M$2:M301)+1,0)</f>
        <v>300</v>
      </c>
      <c r="N302" s="295" t="s">
        <v>2064</v>
      </c>
      <c r="O302" s="310" t="s">
        <v>2065</v>
      </c>
      <c r="Q302" s="297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295" t="s">
        <v>2064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295" t="s">
        <v>2064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295" t="s">
        <v>2064</v>
      </c>
      <c r="Z302" t="str">
        <f>IFERROR(VLOOKUP(ROWS($Z$3:Z302),$X$3:$Y$992,2,0),"")</f>
        <v>Činnosti související s pevnou telekomunikační sítí</v>
      </c>
    </row>
    <row r="303" spans="13:26" ht="12.75">
      <c r="M303" s="294">
        <f>IF(ISNUMBER(SEARCH(ZAKL_DATA!$B$29,N303)),MAX($M$2:M302)+1,0)</f>
        <v>301</v>
      </c>
      <c r="N303" s="295" t="s">
        <v>2066</v>
      </c>
      <c r="O303" s="310" t="s">
        <v>2067</v>
      </c>
      <c r="Q303" s="297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295" t="s">
        <v>2066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295" t="s">
        <v>2066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295" t="s">
        <v>2066</v>
      </c>
      <c r="Z303" t="str">
        <f>IFERROR(VLOOKUP(ROWS($Z$3:Z303),$X$3:$Y$992,2,0),"")</f>
        <v>Činnosti související s bezdrátovou telekomunikační sítí</v>
      </c>
    </row>
    <row r="304" spans="13:26" ht="12.75">
      <c r="M304" s="294">
        <f>IF(ISNUMBER(SEARCH(ZAKL_DATA!$B$29,N304)),MAX($M$2:M303)+1,0)</f>
        <v>302</v>
      </c>
      <c r="N304" s="295" t="s">
        <v>2068</v>
      </c>
      <c r="O304" s="310" t="s">
        <v>2069</v>
      </c>
      <c r="Q304" s="297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295" t="s">
        <v>2068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295" t="s">
        <v>2068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295" t="s">
        <v>2068</v>
      </c>
      <c r="Z304" t="str">
        <f>IFERROR(VLOOKUP(ROWS($Z$3:Z304),$X$3:$Y$992,2,0),"")</f>
        <v>Činnosti související se satelitní telekomunikační sítí</v>
      </c>
    </row>
    <row r="305" spans="13:26" ht="12.75">
      <c r="M305" s="294">
        <f>IF(ISNUMBER(SEARCH(ZAKL_DATA!$B$29,N305)),MAX($M$2:M304)+1,0)</f>
        <v>303</v>
      </c>
      <c r="N305" s="295" t="s">
        <v>2070</v>
      </c>
      <c r="O305" s="310" t="s">
        <v>2071</v>
      </c>
      <c r="Q305" s="297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295" t="s">
        <v>2070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295" t="s">
        <v>2070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295" t="s">
        <v>2070</v>
      </c>
      <c r="Z305" t="str">
        <f>IFERROR(VLOOKUP(ROWS($Z$3:Z305),$X$3:$Y$992,2,0),"")</f>
        <v>Ostatní telekomunikační činnosti</v>
      </c>
    </row>
    <row r="306" spans="13:26" ht="12.75">
      <c r="M306" s="294">
        <f>IF(ISNUMBER(SEARCH(ZAKL_DATA!$B$29,N306)),MAX($M$2:M305)+1,0)</f>
        <v>304</v>
      </c>
      <c r="N306" s="295" t="s">
        <v>2072</v>
      </c>
      <c r="O306" s="310" t="s">
        <v>2073</v>
      </c>
      <c r="Q306" s="297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295" t="s">
        <v>2072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295" t="s">
        <v>2072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295" t="s">
        <v>2072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294">
        <f>IF(ISNUMBER(SEARCH(ZAKL_DATA!$B$29,N307)),MAX($M$2:M306)+1,0)</f>
        <v>305</v>
      </c>
      <c r="N307" s="295" t="s">
        <v>2074</v>
      </c>
      <c r="O307" s="310" t="s">
        <v>2075</v>
      </c>
      <c r="Q307" s="297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295" t="s">
        <v>2074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295" t="s">
        <v>2074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295" t="s">
        <v>2074</v>
      </c>
      <c r="Z307" t="str">
        <f>IFERROR(VLOOKUP(ROWS($Z$3:Z307),$X$3:$Y$992,2,0),"")</f>
        <v>Ostatní informační činnosti</v>
      </c>
    </row>
    <row r="308" spans="13:26" ht="12.75">
      <c r="M308" s="294">
        <f>IF(ISNUMBER(SEARCH(ZAKL_DATA!$B$29,N308)),MAX($M$2:M307)+1,0)</f>
        <v>306</v>
      </c>
      <c r="N308" s="295" t="s">
        <v>2076</v>
      </c>
      <c r="O308" s="310" t="s">
        <v>2077</v>
      </c>
      <c r="Q308" s="297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295" t="s">
        <v>2076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295" t="s">
        <v>2076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295" t="s">
        <v>2076</v>
      </c>
      <c r="Z308" t="str">
        <f>IFERROR(VLOOKUP(ROWS($Z$3:Z308),$X$3:$Y$992,2,0),"")</f>
        <v>Peněžní zprostředkování</v>
      </c>
    </row>
    <row r="309" spans="13:26" ht="12.75">
      <c r="M309" s="294">
        <f>IF(ISNUMBER(SEARCH(ZAKL_DATA!$B$29,N309)),MAX($M$2:M308)+1,0)</f>
        <v>307</v>
      </c>
      <c r="N309" s="295" t="s">
        <v>2078</v>
      </c>
      <c r="O309" s="310" t="s">
        <v>2079</v>
      </c>
      <c r="Q309" s="297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295" t="s">
        <v>2078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295" t="s">
        <v>2078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295" t="s">
        <v>2078</v>
      </c>
      <c r="Z309" t="str">
        <f>IFERROR(VLOOKUP(ROWS($Z$3:Z309),$X$3:$Y$992,2,0),"")</f>
        <v>Činnosti holdingových společností</v>
      </c>
    </row>
    <row r="310" spans="13:26" ht="12.75">
      <c r="M310" s="294">
        <f>IF(ISNUMBER(SEARCH(ZAKL_DATA!$B$29,N310)),MAX($M$2:M309)+1,0)</f>
        <v>308</v>
      </c>
      <c r="N310" s="295" t="s">
        <v>2080</v>
      </c>
      <c r="O310" s="310" t="s">
        <v>2081</v>
      </c>
      <c r="Q310" s="297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295" t="s">
        <v>2080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295" t="s">
        <v>2080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295" t="s">
        <v>2080</v>
      </c>
      <c r="Z310" t="str">
        <f>IFERROR(VLOOKUP(ROWS($Z$3:Z310),$X$3:$Y$992,2,0),"")</f>
        <v>Činnosti trustů, fondů a podobných finančních subjektů</v>
      </c>
    </row>
    <row r="311" spans="13:26" ht="12.75">
      <c r="M311" s="294">
        <f>IF(ISNUMBER(SEARCH(ZAKL_DATA!$B$29,N311)),MAX($M$2:M310)+1,0)</f>
        <v>309</v>
      </c>
      <c r="N311" s="295" t="s">
        <v>2082</v>
      </c>
      <c r="O311" s="310" t="s">
        <v>2083</v>
      </c>
      <c r="Q311" s="297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295" t="s">
        <v>2082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295" t="s">
        <v>2082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295" t="s">
        <v>2082</v>
      </c>
      <c r="Z311" t="str">
        <f>IFERROR(VLOOKUP(ROWS($Z$3:Z311),$X$3:$Y$992,2,0),"")</f>
        <v>Ostatní finanční zprostředkování</v>
      </c>
    </row>
    <row r="312" spans="13:26" ht="12.75">
      <c r="M312" s="294">
        <f>IF(ISNUMBER(SEARCH(ZAKL_DATA!$B$29,N312)),MAX($M$2:M311)+1,0)</f>
        <v>310</v>
      </c>
      <c r="N312" s="295" t="s">
        <v>294</v>
      </c>
      <c r="O312" s="310" t="s">
        <v>2084</v>
      </c>
      <c r="Q312" s="297" t="str">
        <f>IFERROR(VLOOKUP(ROWS($Q$3:Q312),$M$3:$N$992,2,0),"")</f>
        <v>Pojištění</v>
      </c>
      <c r="R312">
        <f>IF(ISNUMBER(SEARCH('1Př1'!$A$32,N312)),MAX($M$2:M311)+1,0)</f>
        <v>310</v>
      </c>
      <c r="S312" s="295" t="s">
        <v>294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295" t="s">
        <v>294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295" t="s">
        <v>294</v>
      </c>
      <c r="Z312" t="str">
        <f>IFERROR(VLOOKUP(ROWS($Z$3:Z312),$X$3:$Y$992,2,0),"")</f>
        <v>Pojištění</v>
      </c>
    </row>
    <row r="313" spans="13:26" ht="12.75">
      <c r="M313" s="294">
        <f>IF(ISNUMBER(SEARCH(ZAKL_DATA!$B$29,N313)),MAX($M$2:M312)+1,0)</f>
        <v>311</v>
      </c>
      <c r="N313" s="295" t="s">
        <v>2085</v>
      </c>
      <c r="O313" s="310" t="s">
        <v>2086</v>
      </c>
      <c r="Q313" s="297" t="str">
        <f>IFERROR(VLOOKUP(ROWS($Q$3:Q313),$M$3:$N$992,2,0),"")</f>
        <v>Zajištění</v>
      </c>
      <c r="R313">
        <f>IF(ISNUMBER(SEARCH('1Př1'!$A$32,N313)),MAX($M$2:M312)+1,0)</f>
        <v>311</v>
      </c>
      <c r="S313" s="295" t="s">
        <v>2085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295" t="s">
        <v>2085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295" t="s">
        <v>2085</v>
      </c>
      <c r="Z313" t="str">
        <f>IFERROR(VLOOKUP(ROWS($Z$3:Z313),$X$3:$Y$992,2,0),"")</f>
        <v>Zajištění</v>
      </c>
    </row>
    <row r="314" spans="13:26" ht="12.75">
      <c r="M314" s="294">
        <f>IF(ISNUMBER(SEARCH(ZAKL_DATA!$B$29,N314)),MAX($M$2:M313)+1,0)</f>
        <v>312</v>
      </c>
      <c r="N314" s="295" t="s">
        <v>2087</v>
      </c>
      <c r="O314" s="310" t="s">
        <v>2088</v>
      </c>
      <c r="Q314" s="297" t="str">
        <f>IFERROR(VLOOKUP(ROWS($Q$3:Q314),$M$3:$N$992,2,0),"")</f>
        <v>Penzijní financování</v>
      </c>
      <c r="R314">
        <f>IF(ISNUMBER(SEARCH('1Př1'!$A$32,N314)),MAX($M$2:M313)+1,0)</f>
        <v>312</v>
      </c>
      <c r="S314" s="295" t="s">
        <v>2087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295" t="s">
        <v>2087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295" t="s">
        <v>2087</v>
      </c>
      <c r="Z314" t="str">
        <f>IFERROR(VLOOKUP(ROWS($Z$3:Z314),$X$3:$Y$992,2,0),"")</f>
        <v>Penzijní financování</v>
      </c>
    </row>
    <row r="315" spans="13:26" ht="12.75">
      <c r="M315" s="294">
        <f>IF(ISNUMBER(SEARCH(ZAKL_DATA!$B$29,N315)),MAX($M$2:M314)+1,0)</f>
        <v>313</v>
      </c>
      <c r="N315" s="295" t="s">
        <v>2089</v>
      </c>
      <c r="O315" s="310" t="s">
        <v>2090</v>
      </c>
      <c r="Q315" s="297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295" t="s">
        <v>2089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295" t="s">
        <v>2089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295" t="s">
        <v>2089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294">
        <f>IF(ISNUMBER(SEARCH(ZAKL_DATA!$B$29,N316)),MAX($M$2:M315)+1,0)</f>
        <v>314</v>
      </c>
      <c r="N316" s="295" t="s">
        <v>2091</v>
      </c>
      <c r="O316" s="310" t="s">
        <v>2092</v>
      </c>
      <c r="Q316" s="297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295" t="s">
        <v>2091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295" t="s">
        <v>2091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295" t="s">
        <v>2091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294">
        <f>IF(ISNUMBER(SEARCH(ZAKL_DATA!$B$29,N317)),MAX($M$2:M316)+1,0)</f>
        <v>315</v>
      </c>
      <c r="N317" s="295" t="s">
        <v>2093</v>
      </c>
      <c r="O317" s="310" t="s">
        <v>2094</v>
      </c>
      <c r="Q317" s="297" t="str">
        <f>IFERROR(VLOOKUP(ROWS($Q$3:Q317),$M$3:$N$992,2,0),"")</f>
        <v>Správa fondů</v>
      </c>
      <c r="R317">
        <f>IF(ISNUMBER(SEARCH('1Př1'!$A$32,N317)),MAX($M$2:M316)+1,0)</f>
        <v>315</v>
      </c>
      <c r="S317" s="295" t="s">
        <v>2093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295" t="s">
        <v>2093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295" t="s">
        <v>2093</v>
      </c>
      <c r="Z317" t="str">
        <f>IFERROR(VLOOKUP(ROWS($Z$3:Z317),$X$3:$Y$992,2,0),"")</f>
        <v>Správa fondů</v>
      </c>
    </row>
    <row r="318" spans="13:26" ht="12.75">
      <c r="M318" s="294">
        <f>IF(ISNUMBER(SEARCH(ZAKL_DATA!$B$29,N318)),MAX($M$2:M317)+1,0)</f>
        <v>316</v>
      </c>
      <c r="N318" s="295" t="s">
        <v>2095</v>
      </c>
      <c r="O318" s="310" t="s">
        <v>2096</v>
      </c>
      <c r="Q318" s="297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295" t="s">
        <v>2095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295" t="s">
        <v>2095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295" t="s">
        <v>2095</v>
      </c>
      <c r="Z318" t="str">
        <f>IFERROR(VLOOKUP(ROWS($Z$3:Z318),$X$3:$Y$992,2,0),"")</f>
        <v>Nákup a následný prodej vlastních nemovitostí</v>
      </c>
    </row>
    <row r="319" spans="13:26" ht="12.75">
      <c r="M319" s="294">
        <f>IF(ISNUMBER(SEARCH(ZAKL_DATA!$B$29,N319)),MAX($M$2:M318)+1,0)</f>
        <v>317</v>
      </c>
      <c r="N319" s="295" t="s">
        <v>2097</v>
      </c>
      <c r="O319" s="310" t="s">
        <v>2098</v>
      </c>
      <c r="Q319" s="297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295" t="s">
        <v>2097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295" t="s">
        <v>2097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295" t="s">
        <v>2097</v>
      </c>
      <c r="Z319" t="str">
        <f>IFERROR(VLOOKUP(ROWS($Z$3:Z319),$X$3:$Y$992,2,0),"")</f>
        <v>Pronájem a správa vlastních nebo pronajatých nemovitostí</v>
      </c>
    </row>
    <row r="320" spans="13:26" ht="12.75">
      <c r="M320" s="294">
        <f>IF(ISNUMBER(SEARCH(ZAKL_DATA!$B$29,N320)),MAX($M$2:M319)+1,0)</f>
        <v>318</v>
      </c>
      <c r="N320" s="295" t="s">
        <v>2099</v>
      </c>
      <c r="O320" s="310" t="s">
        <v>2100</v>
      </c>
      <c r="Q320" s="297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295" t="s">
        <v>2099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295" t="s">
        <v>2099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295" t="s">
        <v>2099</v>
      </c>
      <c r="Z320" t="str">
        <f>IFERROR(VLOOKUP(ROWS($Z$3:Z320),$X$3:$Y$992,2,0),"")</f>
        <v>Činnosti v oblasti nemovitostí na základě smlouvy nebo dohody</v>
      </c>
    </row>
    <row r="321" spans="13:26" ht="12.75">
      <c r="M321" s="294">
        <f>IF(ISNUMBER(SEARCH(ZAKL_DATA!$B$29,N321)),MAX($M$2:M320)+1,0)</f>
        <v>319</v>
      </c>
      <c r="N321" s="295" t="s">
        <v>2101</v>
      </c>
      <c r="O321" s="310" t="s">
        <v>2102</v>
      </c>
      <c r="Q321" s="297" t="str">
        <f>IFERROR(VLOOKUP(ROWS($Q$3:Q321),$M$3:$N$992,2,0),"")</f>
        <v>Právní činnosti</v>
      </c>
      <c r="R321">
        <f>IF(ISNUMBER(SEARCH('1Př1'!$A$32,N321)),MAX($M$2:M320)+1,0)</f>
        <v>319</v>
      </c>
      <c r="S321" s="295" t="s">
        <v>2101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295" t="s">
        <v>2101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295" t="s">
        <v>2101</v>
      </c>
      <c r="Z321" t="str">
        <f>IFERROR(VLOOKUP(ROWS($Z$3:Z321),$X$3:$Y$992,2,0),"")</f>
        <v>Právní činnosti</v>
      </c>
    </row>
    <row r="322" spans="13:26" ht="12.75">
      <c r="M322" s="294">
        <f>IF(ISNUMBER(SEARCH(ZAKL_DATA!$B$29,N322)),MAX($M$2:M321)+1,0)</f>
        <v>320</v>
      </c>
      <c r="N322" s="295" t="s">
        <v>2103</v>
      </c>
      <c r="O322" s="310" t="s">
        <v>2104</v>
      </c>
      <c r="Q322" s="297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295" t="s">
        <v>2103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295" t="s">
        <v>2103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295" t="s">
        <v>2103</v>
      </c>
      <c r="Z322" t="str">
        <f>IFERROR(VLOOKUP(ROWS($Z$3:Z322),$X$3:$Y$992,2,0),"")</f>
        <v>Účetnické a auditorské činnosti; daňové poradenství</v>
      </c>
    </row>
    <row r="323" spans="13:26" ht="12.75">
      <c r="M323" s="294">
        <f>IF(ISNUMBER(SEARCH(ZAKL_DATA!$B$29,N323)),MAX($M$2:M322)+1,0)</f>
        <v>321</v>
      </c>
      <c r="N323" s="295" t="s">
        <v>2105</v>
      </c>
      <c r="O323" s="310" t="s">
        <v>2106</v>
      </c>
      <c r="Q323" s="297" t="str">
        <f>IFERROR(VLOOKUP(ROWS($Q$3:Q323),$M$3:$N$992,2,0),"")</f>
        <v>Činnosti vedení podniků</v>
      </c>
      <c r="R323">
        <f>IF(ISNUMBER(SEARCH('1Př1'!$A$32,N323)),MAX($M$2:M322)+1,0)</f>
        <v>321</v>
      </c>
      <c r="S323" s="295" t="s">
        <v>2105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295" t="s">
        <v>2105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295" t="s">
        <v>2105</v>
      </c>
      <c r="Z323" t="str">
        <f>IFERROR(VLOOKUP(ROWS($Z$3:Z323),$X$3:$Y$992,2,0),"")</f>
        <v>Činnosti vedení podniků</v>
      </c>
    </row>
    <row r="324" spans="13:26" ht="12.75">
      <c r="M324" s="294">
        <f>IF(ISNUMBER(SEARCH(ZAKL_DATA!$B$29,N324)),MAX($M$2:M323)+1,0)</f>
        <v>322</v>
      </c>
      <c r="N324" s="295" t="s">
        <v>2107</v>
      </c>
      <c r="O324" s="310" t="s">
        <v>2108</v>
      </c>
      <c r="Q324" s="297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295" t="s">
        <v>2107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295" t="s">
        <v>2107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295" t="s">
        <v>2107</v>
      </c>
      <c r="Z324" t="str">
        <f>IFERROR(VLOOKUP(ROWS($Z$3:Z324),$X$3:$Y$992,2,0),"")</f>
        <v>Poradenství v oblasti řízení</v>
      </c>
    </row>
    <row r="325" spans="13:26" ht="12.75">
      <c r="M325" s="294">
        <f>IF(ISNUMBER(SEARCH(ZAKL_DATA!$B$29,N325)),MAX($M$2:M324)+1,0)</f>
        <v>323</v>
      </c>
      <c r="N325" s="295" t="s">
        <v>2109</v>
      </c>
      <c r="O325" s="310" t="s">
        <v>2110</v>
      </c>
      <c r="Q325" s="297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295" t="s">
        <v>2109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295" t="s">
        <v>2109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295" t="s">
        <v>2109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294">
        <f>IF(ISNUMBER(SEARCH(ZAKL_DATA!$B$29,N326)),MAX($M$2:M325)+1,0)</f>
        <v>324</v>
      </c>
      <c r="N326" s="295" t="s">
        <v>2111</v>
      </c>
      <c r="O326" s="310" t="s">
        <v>2112</v>
      </c>
      <c r="Q326" s="297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295" t="s">
        <v>2111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295" t="s">
        <v>2111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295" t="s">
        <v>2111</v>
      </c>
      <c r="Z326" t="str">
        <f>IFERROR(VLOOKUP(ROWS($Z$3:Z326),$X$3:$Y$992,2,0),"")</f>
        <v>Technické zkoušky a analýzy</v>
      </c>
    </row>
    <row r="327" spans="13:26" ht="12.75">
      <c r="M327" s="294">
        <f>IF(ISNUMBER(SEARCH(ZAKL_DATA!$B$29,N327)),MAX($M$2:M326)+1,0)</f>
        <v>325</v>
      </c>
      <c r="N327" s="295" t="s">
        <v>2113</v>
      </c>
      <c r="O327" s="310" t="s">
        <v>2114</v>
      </c>
      <c r="Q327" s="297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295" t="s">
        <v>2113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295" t="s">
        <v>2113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295" t="s">
        <v>2113</v>
      </c>
      <c r="Z327" t="str">
        <f>IFERROR(VLOOKUP(ROWS($Z$3:Z327),$X$3:$Y$992,2,0),"")</f>
        <v>Výzkum a vývoj v oblasti přírodních a technických věd</v>
      </c>
    </row>
    <row r="328" spans="13:26" ht="12.75">
      <c r="M328" s="294">
        <f>IF(ISNUMBER(SEARCH(ZAKL_DATA!$B$29,N328)),MAX($M$2:M327)+1,0)</f>
        <v>326</v>
      </c>
      <c r="N328" s="295" t="s">
        <v>2115</v>
      </c>
      <c r="O328" s="310" t="s">
        <v>2116</v>
      </c>
      <c r="Q328" s="297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295" t="s">
        <v>2115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295" t="s">
        <v>2115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295" t="s">
        <v>2115</v>
      </c>
      <c r="Z328" t="str">
        <f>IFERROR(VLOOKUP(ROWS($Z$3:Z328),$X$3:$Y$992,2,0),"")</f>
        <v>Těžba a úprava uranových a thoriových rud</v>
      </c>
    </row>
    <row r="329" spans="13:26" ht="12.75">
      <c r="M329" s="294">
        <f>IF(ISNUMBER(SEARCH(ZAKL_DATA!$B$29,N329)),MAX($M$2:M328)+1,0)</f>
        <v>327</v>
      </c>
      <c r="N329" s="295" t="s">
        <v>2117</v>
      </c>
      <c r="O329" s="310" t="s">
        <v>2118</v>
      </c>
      <c r="Q329" s="297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295" t="s">
        <v>2117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295" t="s">
        <v>2117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295" t="s">
        <v>2117</v>
      </c>
      <c r="Z329" t="str">
        <f>IFERROR(VLOOKUP(ROWS($Z$3:Z329),$X$3:$Y$992,2,0),"")</f>
        <v>Výzkum a vývoj v oblasti společenských a humanitních věd</v>
      </c>
    </row>
    <row r="330" spans="13:26" ht="12.75">
      <c r="M330" s="294">
        <f>IF(ISNUMBER(SEARCH(ZAKL_DATA!$B$29,N330)),MAX($M$2:M329)+1,0)</f>
        <v>328</v>
      </c>
      <c r="N330" s="295" t="s">
        <v>2119</v>
      </c>
      <c r="O330" s="310" t="s">
        <v>2120</v>
      </c>
      <c r="Q330" s="297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295" t="s">
        <v>2119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295" t="s">
        <v>2119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295" t="s">
        <v>2119</v>
      </c>
      <c r="Z330" t="str">
        <f>IFERROR(VLOOKUP(ROWS($Z$3:Z330),$X$3:$Y$992,2,0),"")</f>
        <v>Těžba a úprava ostatních neželezných rud</v>
      </c>
    </row>
    <row r="331" spans="13:26" ht="12.75">
      <c r="M331" s="294">
        <f>IF(ISNUMBER(SEARCH(ZAKL_DATA!$B$29,N331)),MAX($M$2:M330)+1,0)</f>
        <v>329</v>
      </c>
      <c r="N331" s="295" t="s">
        <v>2121</v>
      </c>
      <c r="O331" s="310" t="s">
        <v>2122</v>
      </c>
      <c r="Q331" s="297" t="str">
        <f>IFERROR(VLOOKUP(ROWS($Q$3:Q331),$M$3:$N$992,2,0),"")</f>
        <v>Reklamní činnosti</v>
      </c>
      <c r="R331">
        <f>IF(ISNUMBER(SEARCH('1Př1'!$A$32,N331)),MAX($M$2:M330)+1,0)</f>
        <v>329</v>
      </c>
      <c r="S331" s="295" t="s">
        <v>2121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295" t="s">
        <v>2121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295" t="s">
        <v>2121</v>
      </c>
      <c r="Z331" t="str">
        <f>IFERROR(VLOOKUP(ROWS($Z$3:Z331),$X$3:$Y$992,2,0),"")</f>
        <v>Reklamní činnosti</v>
      </c>
    </row>
    <row r="332" spans="13:26" ht="12.75">
      <c r="M332" s="294">
        <f>IF(ISNUMBER(SEARCH(ZAKL_DATA!$B$29,N332)),MAX($M$2:M331)+1,0)</f>
        <v>330</v>
      </c>
      <c r="N332" s="295" t="s">
        <v>2123</v>
      </c>
      <c r="O332" s="310" t="s">
        <v>2124</v>
      </c>
      <c r="Q332" s="297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295" t="s">
        <v>2123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295" t="s">
        <v>2123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295" t="s">
        <v>2123</v>
      </c>
      <c r="Z332" t="str">
        <f>IFERROR(VLOOKUP(ROWS($Z$3:Z332),$X$3:$Y$992,2,0),"")</f>
        <v>Průzkum trhu a veřejného mínění</v>
      </c>
    </row>
    <row r="333" spans="13:26" ht="12.75">
      <c r="M333" s="294">
        <f>IF(ISNUMBER(SEARCH(ZAKL_DATA!$B$29,N333)),MAX($M$2:M332)+1,0)</f>
        <v>331</v>
      </c>
      <c r="N333" s="295" t="s">
        <v>2125</v>
      </c>
      <c r="O333" s="310" t="s">
        <v>2126</v>
      </c>
      <c r="Q333" s="297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295" t="s">
        <v>2125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295" t="s">
        <v>2125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295" t="s">
        <v>2125</v>
      </c>
      <c r="Z333" t="str">
        <f>IFERROR(VLOOKUP(ROWS($Z$3:Z333),$X$3:$Y$992,2,0),"")</f>
        <v>Specializované návrhářské činnosti</v>
      </c>
    </row>
    <row r="334" spans="13:26" ht="12.75">
      <c r="M334" s="294">
        <f>IF(ISNUMBER(SEARCH(ZAKL_DATA!$B$29,N334)),MAX($M$2:M333)+1,0)</f>
        <v>332</v>
      </c>
      <c r="N334" s="295" t="s">
        <v>2127</v>
      </c>
      <c r="O334" s="310" t="s">
        <v>2128</v>
      </c>
      <c r="Q334" s="297" t="str">
        <f>IFERROR(VLOOKUP(ROWS($Q$3:Q334),$M$3:$N$992,2,0),"")</f>
        <v>Fotografické činnosti</v>
      </c>
      <c r="R334">
        <f>IF(ISNUMBER(SEARCH('1Př1'!$A$32,N334)),MAX($M$2:M333)+1,0)</f>
        <v>332</v>
      </c>
      <c r="S334" s="295" t="s">
        <v>2127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295" t="s">
        <v>2127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295" t="s">
        <v>2127</v>
      </c>
      <c r="Z334" t="str">
        <f>IFERROR(VLOOKUP(ROWS($Z$3:Z334),$X$3:$Y$992,2,0),"")</f>
        <v>Fotografické činnosti</v>
      </c>
    </row>
    <row r="335" spans="13:26" ht="12.75">
      <c r="M335" s="294">
        <f>IF(ISNUMBER(SEARCH(ZAKL_DATA!$B$29,N335)),MAX($M$2:M334)+1,0)</f>
        <v>333</v>
      </c>
      <c r="N335" s="295" t="s">
        <v>2129</v>
      </c>
      <c r="O335" s="310" t="s">
        <v>2130</v>
      </c>
      <c r="Q335" s="297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295" t="s">
        <v>2129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295" t="s">
        <v>2129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295" t="s">
        <v>2129</v>
      </c>
      <c r="Z335" t="str">
        <f>IFERROR(VLOOKUP(ROWS($Z$3:Z335),$X$3:$Y$992,2,0),"")</f>
        <v>Překladatelské a tlumočnické činnosti</v>
      </c>
    </row>
    <row r="336" spans="13:26" ht="12.75">
      <c r="M336" s="294">
        <f>IF(ISNUMBER(SEARCH(ZAKL_DATA!$B$29,N336)),MAX($M$2:M335)+1,0)</f>
        <v>334</v>
      </c>
      <c r="N336" s="295" t="s">
        <v>2131</v>
      </c>
      <c r="O336" s="310" t="s">
        <v>2132</v>
      </c>
      <c r="Q336" s="297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295" t="s">
        <v>2131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295" t="s">
        <v>2131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295" t="s">
        <v>2131</v>
      </c>
      <c r="Z336" t="str">
        <f>IFERROR(VLOOKUP(ROWS($Z$3:Z336),$X$3:$Y$992,2,0),"")</f>
        <v>Ostatní profesní, vědecké a technické činnosti j. n.</v>
      </c>
    </row>
    <row r="337" spans="13:26" ht="12.75">
      <c r="M337" s="294">
        <f>IF(ISNUMBER(SEARCH(ZAKL_DATA!$B$29,N337)),MAX($M$2:M336)+1,0)</f>
        <v>335</v>
      </c>
      <c r="N337" s="295" t="s">
        <v>2133</v>
      </c>
      <c r="O337" s="310" t="s">
        <v>2134</v>
      </c>
      <c r="Q337" s="297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295" t="s">
        <v>2133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295" t="s">
        <v>2133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295" t="s">
        <v>2133</v>
      </c>
      <c r="Z337" t="str">
        <f>IFERROR(VLOOKUP(ROWS($Z$3:Z337),$X$3:$Y$992,2,0),"")</f>
        <v>Pronájem a leasing motorových vozidel, kromě motocyklů</v>
      </c>
    </row>
    <row r="338" spans="13:26" ht="12.75">
      <c r="M338" s="294">
        <f>IF(ISNUMBER(SEARCH(ZAKL_DATA!$B$29,N338)),MAX($M$2:M337)+1,0)</f>
        <v>336</v>
      </c>
      <c r="N338" s="295" t="s">
        <v>2135</v>
      </c>
      <c r="O338" s="310" t="s">
        <v>2136</v>
      </c>
      <c r="Q338" s="297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295" t="s">
        <v>2135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295" t="s">
        <v>2135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295" t="s">
        <v>2135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294">
        <f>IF(ISNUMBER(SEARCH(ZAKL_DATA!$B$29,N339)),MAX($M$2:M338)+1,0)</f>
        <v>337</v>
      </c>
      <c r="N339" s="295" t="s">
        <v>2137</v>
      </c>
      <c r="O339" s="310" t="s">
        <v>2138</v>
      </c>
      <c r="Q339" s="297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295" t="s">
        <v>2137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295" t="s">
        <v>2137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295" t="s">
        <v>2137</v>
      </c>
      <c r="Z339" t="str">
        <f>IFERROR(VLOOKUP(ROWS($Z$3:Z339),$X$3:$Y$992,2,0),"")</f>
        <v>Pronájem a leasing ostatních strojů, zařízení a výrobků</v>
      </c>
    </row>
    <row r="340" spans="13:26" ht="12.75">
      <c r="M340" s="294">
        <f>IF(ISNUMBER(SEARCH(ZAKL_DATA!$B$29,N340)),MAX($M$2:M339)+1,0)</f>
        <v>338</v>
      </c>
      <c r="N340" s="295" t="s">
        <v>2139</v>
      </c>
      <c r="O340" s="310" t="s">
        <v>2140</v>
      </c>
      <c r="Q340" s="297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295" t="s">
        <v>2139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295" t="s">
        <v>2139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295" t="s">
        <v>2139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294">
        <f>IF(ISNUMBER(SEARCH(ZAKL_DATA!$B$29,N341)),MAX($M$2:M340)+1,0)</f>
        <v>339</v>
      </c>
      <c r="N341" s="295" t="s">
        <v>2141</v>
      </c>
      <c r="O341" s="310" t="s">
        <v>2142</v>
      </c>
      <c r="Q341" s="297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295" t="s">
        <v>2141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295" t="s">
        <v>2141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295" t="s">
        <v>2141</v>
      </c>
      <c r="Z341" t="str">
        <f>IFERROR(VLOOKUP(ROWS($Z$3:Z341),$X$3:$Y$992,2,0),"")</f>
        <v>Činnosti agentur zprostředkujících zaměstnání</v>
      </c>
    </row>
    <row r="342" spans="13:26" ht="12.75">
      <c r="M342" s="294">
        <f>IF(ISNUMBER(SEARCH(ZAKL_DATA!$B$29,N342)),MAX($M$2:M341)+1,0)</f>
        <v>340</v>
      </c>
      <c r="N342" s="295" t="s">
        <v>2143</v>
      </c>
      <c r="O342" s="310" t="s">
        <v>2144</v>
      </c>
      <c r="Q342" s="297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295" t="s">
        <v>2143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295" t="s">
        <v>2143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295" t="s">
        <v>2143</v>
      </c>
      <c r="Z342" t="str">
        <f>IFERROR(VLOOKUP(ROWS($Z$3:Z342),$X$3:$Y$992,2,0),"")</f>
        <v>Činnosti agentur zprostředkujících práci na přechodnou dobu</v>
      </c>
    </row>
    <row r="343" spans="13:26" ht="12.75">
      <c r="M343" s="294">
        <f>IF(ISNUMBER(SEARCH(ZAKL_DATA!$B$29,N343)),MAX($M$2:M342)+1,0)</f>
        <v>341</v>
      </c>
      <c r="N343" s="295" t="s">
        <v>2145</v>
      </c>
      <c r="O343" s="310" t="s">
        <v>2146</v>
      </c>
      <c r="Q343" s="297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295" t="s">
        <v>2145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295" t="s">
        <v>2145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295" t="s">
        <v>2145</v>
      </c>
      <c r="Z343" t="str">
        <f>IFERROR(VLOOKUP(ROWS($Z$3:Z343),$X$3:$Y$992,2,0),"")</f>
        <v>Ostatní poskytování lidských zdrojů</v>
      </c>
    </row>
    <row r="344" spans="13:26" ht="12.75">
      <c r="M344" s="294">
        <f>IF(ISNUMBER(SEARCH(ZAKL_DATA!$B$29,N344)),MAX($M$2:M343)+1,0)</f>
        <v>342</v>
      </c>
      <c r="N344" s="295" t="s">
        <v>2147</v>
      </c>
      <c r="O344" s="310" t="s">
        <v>2148</v>
      </c>
      <c r="Q344" s="297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295" t="s">
        <v>2147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295" t="s">
        <v>2147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295" t="s">
        <v>2147</v>
      </c>
      <c r="Z344" t="str">
        <f>IFERROR(VLOOKUP(ROWS($Z$3:Z344),$X$3:$Y$992,2,0),"")</f>
        <v>Činnosti cestovních agentur a cestovních kanceláří</v>
      </c>
    </row>
    <row r="345" spans="13:26" ht="12.75">
      <c r="M345" s="294">
        <f>IF(ISNUMBER(SEARCH(ZAKL_DATA!$B$29,N345)),MAX($M$2:M344)+1,0)</f>
        <v>343</v>
      </c>
      <c r="N345" s="295" t="s">
        <v>2149</v>
      </c>
      <c r="O345" s="310" t="s">
        <v>2150</v>
      </c>
      <c r="Q345" s="297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295" t="s">
        <v>2149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295" t="s">
        <v>2149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295" t="s">
        <v>2149</v>
      </c>
      <c r="Z345" t="str">
        <f>IFERROR(VLOOKUP(ROWS($Z$3:Z345),$X$3:$Y$992,2,0),"")</f>
        <v>Ostatní rezervační a související činnosti</v>
      </c>
    </row>
    <row r="346" spans="13:26" ht="12.75">
      <c r="M346" s="294">
        <f>IF(ISNUMBER(SEARCH(ZAKL_DATA!$B$29,N346)),MAX($M$2:M345)+1,0)</f>
        <v>344</v>
      </c>
      <c r="N346" s="295" t="s">
        <v>2151</v>
      </c>
      <c r="O346" s="310" t="s">
        <v>2152</v>
      </c>
      <c r="Q346" s="297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295" t="s">
        <v>2151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295" t="s">
        <v>2151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295" t="s">
        <v>2151</v>
      </c>
      <c r="Z346" t="str">
        <f>IFERROR(VLOOKUP(ROWS($Z$3:Z346),$X$3:$Y$992,2,0),"")</f>
        <v>Činnosti soukromých bezpečnostních agentur</v>
      </c>
    </row>
    <row r="347" spans="13:26" ht="12.75">
      <c r="M347" s="294">
        <f>IF(ISNUMBER(SEARCH(ZAKL_DATA!$B$29,N347)),MAX($M$2:M346)+1,0)</f>
        <v>345</v>
      </c>
      <c r="N347" s="295" t="s">
        <v>2153</v>
      </c>
      <c r="O347" s="310" t="s">
        <v>2154</v>
      </c>
      <c r="Q347" s="297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295" t="s">
        <v>2153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295" t="s">
        <v>2153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295" t="s">
        <v>2153</v>
      </c>
      <c r="Z347" t="str">
        <f>IFERROR(VLOOKUP(ROWS($Z$3:Z347),$X$3:$Y$992,2,0),"")</f>
        <v>Činnosti související s provozem bezpečnostních systémů</v>
      </c>
    </row>
    <row r="348" spans="13:26" ht="12.75">
      <c r="M348" s="294">
        <f>IF(ISNUMBER(SEARCH(ZAKL_DATA!$B$29,N348)),MAX($M$2:M347)+1,0)</f>
        <v>346</v>
      </c>
      <c r="N348" s="295" t="s">
        <v>2155</v>
      </c>
      <c r="O348" s="310" t="s">
        <v>2156</v>
      </c>
      <c r="Q348" s="297" t="str">
        <f>IFERROR(VLOOKUP(ROWS($Q$3:Q348),$M$3:$N$992,2,0),"")</f>
        <v>Pátrací činnosti</v>
      </c>
      <c r="R348">
        <f>IF(ISNUMBER(SEARCH('1Př1'!$A$32,N348)),MAX($M$2:M347)+1,0)</f>
        <v>346</v>
      </c>
      <c r="S348" s="295" t="s">
        <v>2155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295" t="s">
        <v>2155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295" t="s">
        <v>2155</v>
      </c>
      <c r="Z348" t="str">
        <f>IFERROR(VLOOKUP(ROWS($Z$3:Z348),$X$3:$Y$992,2,0),"")</f>
        <v>Pátrací činnosti</v>
      </c>
    </row>
    <row r="349" spans="13:26" ht="12.75">
      <c r="M349" s="294">
        <f>IF(ISNUMBER(SEARCH(ZAKL_DATA!$B$29,N349)),MAX($M$2:M348)+1,0)</f>
        <v>347</v>
      </c>
      <c r="N349" s="295" t="s">
        <v>2157</v>
      </c>
      <c r="O349" s="310" t="s">
        <v>2158</v>
      </c>
      <c r="Q349" s="297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295" t="s">
        <v>2157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295" t="s">
        <v>2157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295" t="s">
        <v>2157</v>
      </c>
      <c r="Z349" t="str">
        <f>IFERROR(VLOOKUP(ROWS($Z$3:Z349),$X$3:$Y$992,2,0),"")</f>
        <v>Kombinované pomocné činnosti</v>
      </c>
    </row>
    <row r="350" spans="13:26" ht="12.75">
      <c r="M350" s="294">
        <f>IF(ISNUMBER(SEARCH(ZAKL_DATA!$B$29,N350)),MAX($M$2:M349)+1,0)</f>
        <v>348</v>
      </c>
      <c r="N350" s="295" t="s">
        <v>2159</v>
      </c>
      <c r="O350" s="310" t="s">
        <v>2160</v>
      </c>
      <c r="Q350" s="297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295" t="s">
        <v>2159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295" t="s">
        <v>2159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295" t="s">
        <v>2159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294">
        <f>IF(ISNUMBER(SEARCH(ZAKL_DATA!$B$29,N351)),MAX($M$2:M350)+1,0)</f>
        <v>349</v>
      </c>
      <c r="N351" s="295" t="s">
        <v>2161</v>
      </c>
      <c r="O351" s="310" t="s">
        <v>2162</v>
      </c>
      <c r="Q351" s="297" t="str">
        <f>IFERROR(VLOOKUP(ROWS($Q$3:Q351),$M$3:$N$992,2,0),"")</f>
        <v>Úklidové činnosti</v>
      </c>
      <c r="R351">
        <f>IF(ISNUMBER(SEARCH('1Př1'!$A$32,N351)),MAX($M$2:M350)+1,0)</f>
        <v>349</v>
      </c>
      <c r="S351" s="295" t="s">
        <v>2161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295" t="s">
        <v>2161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295" t="s">
        <v>2161</v>
      </c>
      <c r="Z351" t="str">
        <f>IFERROR(VLOOKUP(ROWS($Z$3:Z351),$X$3:$Y$992,2,0),"")</f>
        <v>Úklidové činnosti</v>
      </c>
    </row>
    <row r="352" spans="13:26" ht="12.75">
      <c r="M352" s="294">
        <f>IF(ISNUMBER(SEARCH(ZAKL_DATA!$B$29,N352)),MAX($M$2:M351)+1,0)</f>
        <v>350</v>
      </c>
      <c r="N352" s="295" t="s">
        <v>2163</v>
      </c>
      <c r="O352" s="310" t="s">
        <v>2164</v>
      </c>
      <c r="Q352" s="297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295" t="s">
        <v>2163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295" t="s">
        <v>2163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295" t="s">
        <v>2163</v>
      </c>
      <c r="Z352" t="str">
        <f>IFERROR(VLOOKUP(ROWS($Z$3:Z352),$X$3:$Y$992,2,0),"")</f>
        <v>Provoz pískoven a štěrkopískoven; těžba jílů a kaolinu</v>
      </c>
    </row>
    <row r="353" spans="13:26" ht="12.75">
      <c r="M353" s="294">
        <f>IF(ISNUMBER(SEARCH(ZAKL_DATA!$B$29,N353)),MAX($M$2:M352)+1,0)</f>
        <v>351</v>
      </c>
      <c r="N353" s="295" t="s">
        <v>2165</v>
      </c>
      <c r="O353" s="310" t="s">
        <v>2166</v>
      </c>
      <c r="Q353" s="297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295" t="s">
        <v>2165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295" t="s">
        <v>2165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295" t="s">
        <v>2165</v>
      </c>
      <c r="Z353" t="str">
        <f>IFERROR(VLOOKUP(ROWS($Z$3:Z353),$X$3:$Y$992,2,0),"")</f>
        <v>Činnosti související s úpravou krajiny</v>
      </c>
    </row>
    <row r="354" spans="13:26" ht="12.75">
      <c r="M354" s="294">
        <f>IF(ISNUMBER(SEARCH(ZAKL_DATA!$B$29,N354)),MAX($M$2:M353)+1,0)</f>
        <v>352</v>
      </c>
      <c r="N354" s="295" t="s">
        <v>2167</v>
      </c>
      <c r="O354" s="310" t="s">
        <v>2168</v>
      </c>
      <c r="Q354" s="297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295" t="s">
        <v>2167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295" t="s">
        <v>2167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295" t="s">
        <v>2167</v>
      </c>
      <c r="Z354" t="str">
        <f>IFERROR(VLOOKUP(ROWS($Z$3:Z354),$X$3:$Y$992,2,0),"")</f>
        <v>Administrativní a kancelářské činnosti</v>
      </c>
    </row>
    <row r="355" spans="13:26" ht="12.75">
      <c r="M355" s="294">
        <f>IF(ISNUMBER(SEARCH(ZAKL_DATA!$B$29,N355)),MAX($M$2:M354)+1,0)</f>
        <v>353</v>
      </c>
      <c r="N355" s="295" t="s">
        <v>2169</v>
      </c>
      <c r="O355" s="310" t="s">
        <v>2170</v>
      </c>
      <c r="Q355" s="297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295" t="s">
        <v>2169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295" t="s">
        <v>2169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295" t="s">
        <v>2169</v>
      </c>
      <c r="Z355" t="str">
        <f>IFERROR(VLOOKUP(ROWS($Z$3:Z355),$X$3:$Y$992,2,0),"")</f>
        <v>Činnosti zprostředkovatelských středisek po telefonu</v>
      </c>
    </row>
    <row r="356" spans="13:26" ht="12.75">
      <c r="M356" s="294">
        <f>IF(ISNUMBER(SEARCH(ZAKL_DATA!$B$29,N356)),MAX($M$2:M355)+1,0)</f>
        <v>354</v>
      </c>
      <c r="N356" s="295" t="s">
        <v>2171</v>
      </c>
      <c r="O356" s="310" t="s">
        <v>2172</v>
      </c>
      <c r="Q356" s="297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295" t="s">
        <v>2171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295" t="s">
        <v>2171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295" t="s">
        <v>2171</v>
      </c>
      <c r="Z356" t="str">
        <f>IFERROR(VLOOKUP(ROWS($Z$3:Z356),$X$3:$Y$992,2,0),"")</f>
        <v>Pořádání konferencí a hospodářských výstav</v>
      </c>
    </row>
    <row r="357" spans="13:26" ht="12.75">
      <c r="M357" s="294">
        <f>IF(ISNUMBER(SEARCH(ZAKL_DATA!$B$29,N357)),MAX($M$2:M356)+1,0)</f>
        <v>355</v>
      </c>
      <c r="N357" s="295" t="s">
        <v>2173</v>
      </c>
      <c r="O357" s="310" t="s">
        <v>2174</v>
      </c>
      <c r="Q357" s="297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295" t="s">
        <v>2173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295" t="s">
        <v>2173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295" t="s">
        <v>2173</v>
      </c>
      <c r="Z357" t="str">
        <f>IFERROR(VLOOKUP(ROWS($Z$3:Z357),$X$3:$Y$992,2,0),"")</f>
        <v>Podpůrné činnosti pro podnikání j. n.</v>
      </c>
    </row>
    <row r="358" spans="13:26" ht="12.75">
      <c r="M358" s="294">
        <f>IF(ISNUMBER(SEARCH(ZAKL_DATA!$B$29,N358)),MAX($M$2:M357)+1,0)</f>
        <v>356</v>
      </c>
      <c r="N358" s="295" t="s">
        <v>2175</v>
      </c>
      <c r="O358" s="310" t="s">
        <v>2176</v>
      </c>
      <c r="Q358" s="297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295" t="s">
        <v>2175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295" t="s">
        <v>2175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295" t="s">
        <v>2175</v>
      </c>
      <c r="Z358" t="str">
        <f>IFERROR(VLOOKUP(ROWS($Z$3:Z358),$X$3:$Y$992,2,0),"")</f>
        <v>Veřejná správa a hospodářská a sociální politika</v>
      </c>
    </row>
    <row r="359" spans="13:26" ht="12.75">
      <c r="M359" s="294">
        <f>IF(ISNUMBER(SEARCH(ZAKL_DATA!$B$29,N359)),MAX($M$2:M358)+1,0)</f>
        <v>357</v>
      </c>
      <c r="N359" s="295" t="s">
        <v>2177</v>
      </c>
      <c r="O359" s="310" t="s">
        <v>2178</v>
      </c>
      <c r="Q359" s="297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295" t="s">
        <v>2177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295" t="s">
        <v>2177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295" t="s">
        <v>2177</v>
      </c>
      <c r="Z359" t="str">
        <f>IFERROR(VLOOKUP(ROWS($Z$3:Z359),$X$3:$Y$992,2,0),"")</f>
        <v>Činnosti pro společnost jako celek</v>
      </c>
    </row>
    <row r="360" spans="13:26" ht="12.75">
      <c r="M360" s="294">
        <f>IF(ISNUMBER(SEARCH(ZAKL_DATA!$B$29,N360)),MAX($M$2:M359)+1,0)</f>
        <v>358</v>
      </c>
      <c r="N360" s="295" t="s">
        <v>2179</v>
      </c>
      <c r="O360" s="310" t="s">
        <v>2180</v>
      </c>
      <c r="Q360" s="297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295" t="s">
        <v>2179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295" t="s">
        <v>2179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295" t="s">
        <v>2179</v>
      </c>
      <c r="Z360" t="str">
        <f>IFERROR(VLOOKUP(ROWS($Z$3:Z360),$X$3:$Y$992,2,0),"")</f>
        <v>Činnosti v oblasti povinného sociálního zabezpečení</v>
      </c>
    </row>
    <row r="361" spans="13:26" ht="12.75">
      <c r="M361" s="294">
        <f>IF(ISNUMBER(SEARCH(ZAKL_DATA!$B$29,N361)),MAX($M$2:M360)+1,0)</f>
        <v>359</v>
      </c>
      <c r="N361" s="295" t="s">
        <v>2181</v>
      </c>
      <c r="O361" s="310" t="s">
        <v>2182</v>
      </c>
      <c r="Q361" s="297" t="str">
        <f>IFERROR(VLOOKUP(ROWS($Q$3:Q361),$M$3:$N$992,2,0),"")</f>
        <v>Předškolní vzdělávání</v>
      </c>
      <c r="R361">
        <f>IF(ISNUMBER(SEARCH('1Př1'!$A$32,N361)),MAX($M$2:M360)+1,0)</f>
        <v>359</v>
      </c>
      <c r="S361" s="295" t="s">
        <v>2181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295" t="s">
        <v>2181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295" t="s">
        <v>2181</v>
      </c>
      <c r="Z361" t="str">
        <f>IFERROR(VLOOKUP(ROWS($Z$3:Z361),$X$3:$Y$992,2,0),"")</f>
        <v>Předškolní vzdělávání</v>
      </c>
    </row>
    <row r="362" spans="13:26" ht="12.75">
      <c r="M362" s="294">
        <f>IF(ISNUMBER(SEARCH(ZAKL_DATA!$B$29,N362)),MAX($M$2:M361)+1,0)</f>
        <v>360</v>
      </c>
      <c r="N362" s="295" t="s">
        <v>2183</v>
      </c>
      <c r="O362" s="310" t="s">
        <v>2184</v>
      </c>
      <c r="Q362" s="297" t="str">
        <f>IFERROR(VLOOKUP(ROWS($Q$3:Q362),$M$3:$N$992,2,0),"")</f>
        <v>Primární vzdělávání</v>
      </c>
      <c r="R362">
        <f>IF(ISNUMBER(SEARCH('1Př1'!$A$32,N362)),MAX($M$2:M361)+1,0)</f>
        <v>360</v>
      </c>
      <c r="S362" s="295" t="s">
        <v>2183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295" t="s">
        <v>2183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295" t="s">
        <v>2183</v>
      </c>
      <c r="Z362" t="str">
        <f>IFERROR(VLOOKUP(ROWS($Z$3:Z362),$X$3:$Y$992,2,0),"")</f>
        <v>Primární vzdělávání</v>
      </c>
    </row>
    <row r="363" spans="13:26" ht="12.75">
      <c r="M363" s="294">
        <f>IF(ISNUMBER(SEARCH(ZAKL_DATA!$B$29,N363)),MAX($M$2:M362)+1,0)</f>
        <v>361</v>
      </c>
      <c r="N363" s="295" t="s">
        <v>2185</v>
      </c>
      <c r="O363" s="310" t="s">
        <v>2186</v>
      </c>
      <c r="Q363" s="297" t="str">
        <f>IFERROR(VLOOKUP(ROWS($Q$3:Q363),$M$3:$N$992,2,0),"")</f>
        <v>Sekundární vzdělávání</v>
      </c>
      <c r="R363">
        <f>IF(ISNUMBER(SEARCH('1Př1'!$A$32,N363)),MAX($M$2:M362)+1,0)</f>
        <v>361</v>
      </c>
      <c r="S363" s="295" t="s">
        <v>2185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295" t="s">
        <v>2185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295" t="s">
        <v>2185</v>
      </c>
      <c r="Z363" t="str">
        <f>IFERROR(VLOOKUP(ROWS($Z$3:Z363),$X$3:$Y$992,2,0),"")</f>
        <v>Sekundární vzdělávání</v>
      </c>
    </row>
    <row r="364" spans="13:26" ht="12.75">
      <c r="M364" s="294">
        <f>IF(ISNUMBER(SEARCH(ZAKL_DATA!$B$29,N364)),MAX($M$2:M363)+1,0)</f>
        <v>362</v>
      </c>
      <c r="N364" s="295" t="s">
        <v>2187</v>
      </c>
      <c r="O364" s="310" t="s">
        <v>2188</v>
      </c>
      <c r="Q364" s="297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295" t="s">
        <v>2187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295" t="s">
        <v>2187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295" t="s">
        <v>2187</v>
      </c>
      <c r="Z364" t="str">
        <f>IFERROR(VLOOKUP(ROWS($Z$3:Z364),$X$3:$Y$992,2,0),"")</f>
        <v>Postsekundární vzdělávání</v>
      </c>
    </row>
    <row r="365" spans="13:26" ht="12.75">
      <c r="M365" s="294">
        <f>IF(ISNUMBER(SEARCH(ZAKL_DATA!$B$29,N365)),MAX($M$2:M364)+1,0)</f>
        <v>363</v>
      </c>
      <c r="N365" s="295" t="s">
        <v>2189</v>
      </c>
      <c r="O365" s="310" t="s">
        <v>2190</v>
      </c>
      <c r="Q365" s="297" t="str">
        <f>IFERROR(VLOOKUP(ROWS($Q$3:Q365),$M$3:$N$992,2,0),"")</f>
        <v>Ostatní vzdělávání</v>
      </c>
      <c r="R365">
        <f>IF(ISNUMBER(SEARCH('1Př1'!$A$32,N365)),MAX($M$2:M364)+1,0)</f>
        <v>363</v>
      </c>
      <c r="S365" s="295" t="s">
        <v>2189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295" t="s">
        <v>2189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295" t="s">
        <v>2189</v>
      </c>
      <c r="Z365" t="str">
        <f>IFERROR(VLOOKUP(ROWS($Z$3:Z365),$X$3:$Y$992,2,0),"")</f>
        <v>Ostatní vzdělávání</v>
      </c>
    </row>
    <row r="366" spans="13:26" ht="12.75">
      <c r="M366" s="294">
        <f>IF(ISNUMBER(SEARCH(ZAKL_DATA!$B$29,N366)),MAX($M$2:M365)+1,0)</f>
        <v>364</v>
      </c>
      <c r="N366" s="295" t="s">
        <v>2191</v>
      </c>
      <c r="O366" s="310" t="s">
        <v>2192</v>
      </c>
      <c r="Q366" s="297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295" t="s">
        <v>2191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295" t="s">
        <v>2191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295" t="s">
        <v>2191</v>
      </c>
      <c r="Z366" t="str">
        <f>IFERROR(VLOOKUP(ROWS($Z$3:Z366),$X$3:$Y$992,2,0),"")</f>
        <v>Podpůrné činnosti ve vzdělávání</v>
      </c>
    </row>
    <row r="367" spans="13:26" ht="12.75">
      <c r="M367" s="294">
        <f>IF(ISNUMBER(SEARCH(ZAKL_DATA!$B$29,N367)),MAX($M$2:M366)+1,0)</f>
        <v>365</v>
      </c>
      <c r="N367" s="295" t="s">
        <v>2193</v>
      </c>
      <c r="O367" s="310" t="s">
        <v>2194</v>
      </c>
      <c r="Q367" s="297" t="str">
        <f>IFERROR(VLOOKUP(ROWS($Q$3:Q367),$M$3:$N$992,2,0),"")</f>
        <v>Ústavní zdravotní péče</v>
      </c>
      <c r="R367">
        <f>IF(ISNUMBER(SEARCH('1Př1'!$A$32,N367)),MAX($M$2:M366)+1,0)</f>
        <v>365</v>
      </c>
      <c r="S367" s="295" t="s">
        <v>2193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295" t="s">
        <v>2193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295" t="s">
        <v>2193</v>
      </c>
      <c r="Z367" t="str">
        <f>IFERROR(VLOOKUP(ROWS($Z$3:Z367),$X$3:$Y$992,2,0),"")</f>
        <v>Ústavní zdravotní péče</v>
      </c>
    </row>
    <row r="368" spans="13:26" ht="12.75">
      <c r="M368" s="294">
        <f>IF(ISNUMBER(SEARCH(ZAKL_DATA!$B$29,N368)),MAX($M$2:M367)+1,0)</f>
        <v>366</v>
      </c>
      <c r="N368" s="295" t="s">
        <v>2195</v>
      </c>
      <c r="O368" s="310" t="s">
        <v>2196</v>
      </c>
      <c r="Q368" s="297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295" t="s">
        <v>2195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295" t="s">
        <v>2195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295" t="s">
        <v>2195</v>
      </c>
      <c r="Z368" t="str">
        <f>IFERROR(VLOOKUP(ROWS($Z$3:Z368),$X$3:$Y$992,2,0),"")</f>
        <v>Ambulantní a zubní zdravotní péče</v>
      </c>
    </row>
    <row r="369" spans="13:26" ht="12.75">
      <c r="M369" s="294">
        <f>IF(ISNUMBER(SEARCH(ZAKL_DATA!$B$29,N369)),MAX($M$2:M368)+1,0)</f>
        <v>367</v>
      </c>
      <c r="N369" s="295" t="s">
        <v>2197</v>
      </c>
      <c r="O369" s="310" t="s">
        <v>2198</v>
      </c>
      <c r="Q369" s="297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295" t="s">
        <v>2197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295" t="s">
        <v>2197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295" t="s">
        <v>2197</v>
      </c>
      <c r="Z369" t="str">
        <f>IFERROR(VLOOKUP(ROWS($Z$3:Z369),$X$3:$Y$992,2,0),"")</f>
        <v>Ostatní činnosti související se zdravotní péčí</v>
      </c>
    </row>
    <row r="370" spans="13:26" ht="12.75">
      <c r="M370" s="294">
        <f>IF(ISNUMBER(SEARCH(ZAKL_DATA!$B$29,N370)),MAX($M$2:M369)+1,0)</f>
        <v>368</v>
      </c>
      <c r="N370" s="295" t="s">
        <v>2199</v>
      </c>
      <c r="O370" s="310" t="s">
        <v>1248</v>
      </c>
      <c r="Q370" s="297" t="str">
        <f>IFERROR(VLOOKUP(ROWS($Q$3:Q370),$M$3:$N$992,2,0),"")</f>
        <v>Ústavní sociální péče</v>
      </c>
      <c r="R370">
        <f>IF(ISNUMBER(SEARCH('1Př1'!$A$32,N370)),MAX($M$2:M369)+1,0)</f>
        <v>368</v>
      </c>
      <c r="S370" s="295" t="s">
        <v>2199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295" t="s">
        <v>2199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295" t="s">
        <v>2199</v>
      </c>
      <c r="Z370" t="str">
        <f>IFERROR(VLOOKUP(ROWS($Z$3:Z370),$X$3:$Y$992,2,0),"")</f>
        <v>Ústavní sociální péče</v>
      </c>
    </row>
    <row r="371" spans="13:26" ht="12.75">
      <c r="M371" s="294">
        <f>IF(ISNUMBER(SEARCH(ZAKL_DATA!$B$29,N371)),MAX($M$2:M370)+1,0)</f>
        <v>369</v>
      </c>
      <c r="N371" s="295" t="s">
        <v>2200</v>
      </c>
      <c r="O371" s="310" t="s">
        <v>2201</v>
      </c>
      <c r="Q371" s="297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295" t="s">
        <v>2200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295" t="s">
        <v>2200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295" t="s">
        <v>2200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294">
        <f>IF(ISNUMBER(SEARCH(ZAKL_DATA!$B$29,N372)),MAX($M$2:M371)+1,0)</f>
        <v>370</v>
      </c>
      <c r="N372" s="295" t="s">
        <v>2202</v>
      </c>
      <c r="O372" s="310" t="s">
        <v>2203</v>
      </c>
      <c r="Q372" s="297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295" t="s">
        <v>2202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295" t="s">
        <v>2202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295" t="s">
        <v>2202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294">
        <f>IF(ISNUMBER(SEARCH(ZAKL_DATA!$B$29,N373)),MAX($M$2:M372)+1,0)</f>
        <v>371</v>
      </c>
      <c r="N373" s="295" t="s">
        <v>2204</v>
      </c>
      <c r="O373" s="310" t="s">
        <v>2205</v>
      </c>
      <c r="Q373" s="297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295" t="s">
        <v>2204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295" t="s">
        <v>2204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295" t="s">
        <v>2204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294">
        <f>IF(ISNUMBER(SEARCH(ZAKL_DATA!$B$29,N374)),MAX($M$2:M373)+1,0)</f>
        <v>372</v>
      </c>
      <c r="N374" s="295" t="s">
        <v>2206</v>
      </c>
      <c r="O374" s="310" t="s">
        <v>2207</v>
      </c>
      <c r="Q374" s="297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295" t="s">
        <v>2206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295" t="s">
        <v>2206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295" t="s">
        <v>2206</v>
      </c>
      <c r="Z374" t="str">
        <f>IFERROR(VLOOKUP(ROWS($Z$3:Z374),$X$3:$Y$992,2,0),"")</f>
        <v>Ostatní pobytové služby sociální péče</v>
      </c>
    </row>
    <row r="375" spans="13:26" ht="12.75">
      <c r="M375" s="294">
        <f>IF(ISNUMBER(SEARCH(ZAKL_DATA!$B$29,N375)),MAX($M$2:M374)+1,0)</f>
        <v>373</v>
      </c>
      <c r="N375" s="295" t="s">
        <v>2208</v>
      </c>
      <c r="O375" s="310" t="s">
        <v>2209</v>
      </c>
      <c r="Q375" s="297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295" t="s">
        <v>2208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295" t="s">
        <v>2208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295" t="s">
        <v>2208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294">
        <f>IF(ISNUMBER(SEARCH(ZAKL_DATA!$B$29,N376)),MAX($M$2:M375)+1,0)</f>
        <v>374</v>
      </c>
      <c r="N376" s="295" t="s">
        <v>2210</v>
      </c>
      <c r="O376" s="310" t="s">
        <v>2211</v>
      </c>
      <c r="Q376" s="297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295" t="s">
        <v>2210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295" t="s">
        <v>2210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295" t="s">
        <v>2210</v>
      </c>
      <c r="Z376" t="str">
        <f>IFERROR(VLOOKUP(ROWS($Z$3:Z376),$X$3:$Y$992,2,0),"")</f>
        <v>Ostatní ambulantní nebo terénní sociální služby</v>
      </c>
    </row>
    <row r="377" spans="13:26" ht="12.75">
      <c r="M377" s="294">
        <f>IF(ISNUMBER(SEARCH(ZAKL_DATA!$B$29,N377)),MAX($M$2:M376)+1,0)</f>
        <v>375</v>
      </c>
      <c r="N377" s="295" t="s">
        <v>2212</v>
      </c>
      <c r="O377" s="310" t="s">
        <v>2213</v>
      </c>
      <c r="Q377" s="297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295" t="s">
        <v>2212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295" t="s">
        <v>2212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295" t="s">
        <v>2212</v>
      </c>
      <c r="Z377" t="str">
        <f>IFERROR(VLOOKUP(ROWS($Z$3:Z377),$X$3:$Y$992,2,0),"")</f>
        <v>Těžba chemických minerálů a minerálů pro výrobu hnojiv</v>
      </c>
    </row>
    <row r="378" spans="13:26" ht="12.75">
      <c r="M378" s="294">
        <f>IF(ISNUMBER(SEARCH(ZAKL_DATA!$B$29,N378)),MAX($M$2:M377)+1,0)</f>
        <v>376</v>
      </c>
      <c r="N378" s="295" t="s">
        <v>2214</v>
      </c>
      <c r="O378" s="310" t="s">
        <v>2215</v>
      </c>
      <c r="Q378" s="297" t="str">
        <f>IFERROR(VLOOKUP(ROWS($Q$3:Q378),$M$3:$N$992,2,0),"")</f>
        <v>Těžba rašeliny</v>
      </c>
      <c r="R378">
        <f>IF(ISNUMBER(SEARCH('1Př1'!$A$32,N378)),MAX($M$2:M377)+1,0)</f>
        <v>376</v>
      </c>
      <c r="S378" s="295" t="s">
        <v>2214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295" t="s">
        <v>2214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295" t="s">
        <v>2214</v>
      </c>
      <c r="Z378" t="str">
        <f>IFERROR(VLOOKUP(ROWS($Z$3:Z378),$X$3:$Y$992,2,0),"")</f>
        <v>Těžba rašeliny</v>
      </c>
    </row>
    <row r="379" spans="13:26" ht="12.75">
      <c r="M379" s="294">
        <f>IF(ISNUMBER(SEARCH(ZAKL_DATA!$B$29,N379)),MAX($M$2:M378)+1,0)</f>
        <v>377</v>
      </c>
      <c r="N379" s="295" t="s">
        <v>2216</v>
      </c>
      <c r="O379" s="310" t="s">
        <v>2217</v>
      </c>
      <c r="Q379" s="297" t="str">
        <f>IFERROR(VLOOKUP(ROWS($Q$3:Q379),$M$3:$N$992,2,0),"")</f>
        <v>Těžba soli</v>
      </c>
      <c r="R379">
        <f>IF(ISNUMBER(SEARCH('1Př1'!$A$32,N379)),MAX($M$2:M378)+1,0)</f>
        <v>377</v>
      </c>
      <c r="S379" s="295" t="s">
        <v>2216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295" t="s">
        <v>2216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295" t="s">
        <v>2216</v>
      </c>
      <c r="Z379" t="str">
        <f>IFERROR(VLOOKUP(ROWS($Z$3:Z379),$X$3:$Y$992,2,0),"")</f>
        <v>Těžba soli</v>
      </c>
    </row>
    <row r="380" spans="13:26" ht="12.75">
      <c r="M380" s="294">
        <f>IF(ISNUMBER(SEARCH(ZAKL_DATA!$B$29,N380)),MAX($M$2:M379)+1,0)</f>
        <v>378</v>
      </c>
      <c r="N380" s="295" t="s">
        <v>2218</v>
      </c>
      <c r="O380" s="310" t="s">
        <v>2219</v>
      </c>
      <c r="Q380" s="297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295" t="s">
        <v>2218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295" t="s">
        <v>2218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295" t="s">
        <v>2218</v>
      </c>
      <c r="Z380" t="str">
        <f>IFERROR(VLOOKUP(ROWS($Z$3:Z380),$X$3:$Y$992,2,0),"")</f>
        <v>Ostatní těžba a dobývání j. n.</v>
      </c>
    </row>
    <row r="381" spans="13:26" ht="12.75">
      <c r="M381" s="294">
        <f>IF(ISNUMBER(SEARCH(ZAKL_DATA!$B$29,N381)),MAX($M$2:M380)+1,0)</f>
        <v>379</v>
      </c>
      <c r="N381" s="295" t="s">
        <v>2220</v>
      </c>
      <c r="O381" s="310" t="s">
        <v>2221</v>
      </c>
      <c r="Q381" s="297" t="str">
        <f>IFERROR(VLOOKUP(ROWS($Q$3:Q381),$M$3:$N$992,2,0),"")</f>
        <v>Sportovní činnosti</v>
      </c>
      <c r="R381">
        <f>IF(ISNUMBER(SEARCH('1Př1'!$A$32,N381)),MAX($M$2:M380)+1,0)</f>
        <v>379</v>
      </c>
      <c r="S381" s="295" t="s">
        <v>2220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295" t="s">
        <v>2220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295" t="s">
        <v>2220</v>
      </c>
      <c r="Z381" t="str">
        <f>IFERROR(VLOOKUP(ROWS($Z$3:Z381),$X$3:$Y$992,2,0),"")</f>
        <v>Sportovní činnosti</v>
      </c>
    </row>
    <row r="382" spans="13:26" ht="12.75">
      <c r="M382" s="294">
        <f>IF(ISNUMBER(SEARCH(ZAKL_DATA!$B$29,N382)),MAX($M$2:M381)+1,0)</f>
        <v>380</v>
      </c>
      <c r="N382" s="295" t="s">
        <v>2222</v>
      </c>
      <c r="O382" s="310" t="s">
        <v>2223</v>
      </c>
      <c r="Q382" s="297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295" t="s">
        <v>2222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295" t="s">
        <v>2222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295" t="s">
        <v>2222</v>
      </c>
      <c r="Z382" t="str">
        <f>IFERROR(VLOOKUP(ROWS($Z$3:Z382),$X$3:$Y$992,2,0),"")</f>
        <v>Ostatní zábavní a rekreační činnosti</v>
      </c>
    </row>
    <row r="383" spans="13:26" ht="12.75">
      <c r="M383" s="294">
        <f>IF(ISNUMBER(SEARCH(ZAKL_DATA!$B$29,N383)),MAX($M$2:M382)+1,0)</f>
        <v>381</v>
      </c>
      <c r="N383" s="295" t="s">
        <v>2224</v>
      </c>
      <c r="O383" s="310" t="s">
        <v>2225</v>
      </c>
      <c r="Q383" s="297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295" t="s">
        <v>2224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295" t="s">
        <v>2224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295" t="s">
        <v>2224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294">
        <f>IF(ISNUMBER(SEARCH(ZAKL_DATA!$B$29,N384)),MAX($M$2:M383)+1,0)</f>
        <v>382</v>
      </c>
      <c r="N384" s="295" t="s">
        <v>2226</v>
      </c>
      <c r="O384" s="310" t="s">
        <v>2227</v>
      </c>
      <c r="Q384" s="297" t="str">
        <f>IFERROR(VLOOKUP(ROWS($Q$3:Q384),$M$3:$N$992,2,0),"")</f>
        <v>Činnosti odborových svazů</v>
      </c>
      <c r="R384">
        <f>IF(ISNUMBER(SEARCH('1Př1'!$A$32,N384)),MAX($M$2:M383)+1,0)</f>
        <v>382</v>
      </c>
      <c r="S384" s="295" t="s">
        <v>2226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295" t="s">
        <v>2226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295" t="s">
        <v>2226</v>
      </c>
      <c r="Z384" t="str">
        <f>IFERROR(VLOOKUP(ROWS($Z$3:Z384),$X$3:$Y$992,2,0),"")</f>
        <v>Činnosti odborových svazů</v>
      </c>
    </row>
    <row r="385" spans="13:26" ht="12.75">
      <c r="M385" s="294">
        <f>IF(ISNUMBER(SEARCH(ZAKL_DATA!$B$29,N385)),MAX($M$2:M384)+1,0)</f>
        <v>383</v>
      </c>
      <c r="N385" s="295" t="s">
        <v>2228</v>
      </c>
      <c r="O385" s="310" t="s">
        <v>2229</v>
      </c>
      <c r="Q385" s="297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295" t="s">
        <v>2228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295" t="s">
        <v>2228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295" t="s">
        <v>2228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294">
        <f>IF(ISNUMBER(SEARCH(ZAKL_DATA!$B$29,N386)),MAX($M$2:M385)+1,0)</f>
        <v>384</v>
      </c>
      <c r="N386" s="295" t="s">
        <v>2230</v>
      </c>
      <c r="O386" s="310" t="s">
        <v>2231</v>
      </c>
      <c r="Q386" s="297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295" t="s">
        <v>2230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295" t="s">
        <v>2230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295" t="s">
        <v>2230</v>
      </c>
      <c r="Z386" t="str">
        <f>IFERROR(VLOOKUP(ROWS($Z$3:Z386),$X$3:$Y$992,2,0),"")</f>
        <v>Opravy počítačů a komunikačních zařízení</v>
      </c>
    </row>
    <row r="387" spans="13:26" ht="12.75">
      <c r="M387" s="294">
        <f>IF(ISNUMBER(SEARCH(ZAKL_DATA!$B$29,N387)),MAX($M$2:M386)+1,0)</f>
        <v>385</v>
      </c>
      <c r="N387" s="295" t="s">
        <v>2232</v>
      </c>
      <c r="O387" s="310" t="s">
        <v>2233</v>
      </c>
      <c r="Q387" s="297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295" t="s">
        <v>2232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295" t="s">
        <v>2232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295" t="s">
        <v>2232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294">
        <f>IF(ISNUMBER(SEARCH(ZAKL_DATA!$B$29,N388)),MAX($M$2:M387)+1,0)</f>
        <v>386</v>
      </c>
      <c r="N388" s="295" t="s">
        <v>2234</v>
      </c>
      <c r="O388" s="310" t="s">
        <v>2235</v>
      </c>
      <c r="Q388" s="297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295" t="s">
        <v>2234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295" t="s">
        <v>2234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295" t="s">
        <v>2234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294">
        <f>IF(ISNUMBER(SEARCH(ZAKL_DATA!$B$29,N389)),MAX($M$2:M388)+1,0)</f>
        <v>387</v>
      </c>
      <c r="N389" s="295" t="s">
        <v>2236</v>
      </c>
      <c r="O389" s="310" t="s">
        <v>2237</v>
      </c>
      <c r="Q389" s="297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295" t="s">
        <v>2236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295" t="s">
        <v>2236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295" t="s">
        <v>2236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294">
        <f>IF(ISNUMBER(SEARCH(ZAKL_DATA!$B$29,N390)),MAX($M$2:M389)+1,0)</f>
        <v>388</v>
      </c>
      <c r="N390" s="295" t="s">
        <v>2238</v>
      </c>
      <c r="O390" s="310" t="s">
        <v>2239</v>
      </c>
      <c r="Q390" s="297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295" t="s">
        <v>2238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295" t="s">
        <v>2238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295" t="s">
        <v>2238</v>
      </c>
      <c r="Z390" t="str">
        <f>IFERROR(VLOOKUP(ROWS($Z$3:Z390),$X$3:$Y$992,2,0),"")</f>
        <v>Zpracování a konzervování masa, kromě drůbežího</v>
      </c>
    </row>
    <row r="391" spans="13:26" ht="12.75">
      <c r="M391" s="294">
        <f>IF(ISNUMBER(SEARCH(ZAKL_DATA!$B$29,N391)),MAX($M$2:M390)+1,0)</f>
        <v>389</v>
      </c>
      <c r="N391" s="295" t="s">
        <v>2240</v>
      </c>
      <c r="O391" s="310" t="s">
        <v>2241</v>
      </c>
      <c r="Q391" s="297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295" t="s">
        <v>2240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295" t="s">
        <v>2240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295" t="s">
        <v>2240</v>
      </c>
      <c r="Z391" t="str">
        <f>IFERROR(VLOOKUP(ROWS($Z$3:Z391),$X$3:$Y$992,2,0),"")</f>
        <v>Zpracování a konzervování drůbežího masa</v>
      </c>
    </row>
    <row r="392" spans="13:26" ht="12.75">
      <c r="M392" s="294">
        <f>IF(ISNUMBER(SEARCH(ZAKL_DATA!$B$29,N392)),MAX($M$2:M391)+1,0)</f>
        <v>390</v>
      </c>
      <c r="N392" s="295" t="s">
        <v>2242</v>
      </c>
      <c r="O392" s="310" t="s">
        <v>2243</v>
      </c>
      <c r="Q392" s="297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295" t="s">
        <v>2242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295" t="s">
        <v>2242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295" t="s">
        <v>2242</v>
      </c>
      <c r="Z392" t="str">
        <f>IFERROR(VLOOKUP(ROWS($Z$3:Z392),$X$3:$Y$992,2,0),"")</f>
        <v>Výroba masných výrobků a výrobků z drůbežího masa</v>
      </c>
    </row>
    <row r="393" spans="13:26" ht="12.75">
      <c r="M393" s="294">
        <f>IF(ISNUMBER(SEARCH(ZAKL_DATA!$B$29,N393)),MAX($M$2:M392)+1,0)</f>
        <v>391</v>
      </c>
      <c r="N393" s="295" t="s">
        <v>2244</v>
      </c>
      <c r="O393" s="310" t="s">
        <v>2245</v>
      </c>
      <c r="Q393" s="297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295" t="s">
        <v>2244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295" t="s">
        <v>2244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295" t="s">
        <v>2244</v>
      </c>
      <c r="Z393" t="str">
        <f>IFERROR(VLOOKUP(ROWS($Z$3:Z393),$X$3:$Y$992,2,0),"")</f>
        <v>Zpracování a konzervování brambor</v>
      </c>
    </row>
    <row r="394" spans="13:26" ht="12.75">
      <c r="M394" s="294">
        <f>IF(ISNUMBER(SEARCH(ZAKL_DATA!$B$29,N394)),MAX($M$2:M393)+1,0)</f>
        <v>392</v>
      </c>
      <c r="N394" s="295" t="s">
        <v>2246</v>
      </c>
      <c r="O394" s="310" t="s">
        <v>2247</v>
      </c>
      <c r="Q394" s="297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295" t="s">
        <v>2246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295" t="s">
        <v>2246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295" t="s">
        <v>2246</v>
      </c>
      <c r="Z394" t="str">
        <f>IFERROR(VLOOKUP(ROWS($Z$3:Z394),$X$3:$Y$992,2,0),"")</f>
        <v>Výroba ovocných a zeleninových šťáv</v>
      </c>
    </row>
    <row r="395" spans="13:26" ht="12.75">
      <c r="M395" s="294">
        <f>IF(ISNUMBER(SEARCH(ZAKL_DATA!$B$29,N395)),MAX($M$2:M394)+1,0)</f>
        <v>393</v>
      </c>
      <c r="N395" s="295" t="s">
        <v>2248</v>
      </c>
      <c r="O395" s="310" t="s">
        <v>2249</v>
      </c>
      <c r="Q395" s="297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295" t="s">
        <v>2248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295" t="s">
        <v>2248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295" t="s">
        <v>2248</v>
      </c>
      <c r="Z395" t="str">
        <f>IFERROR(VLOOKUP(ROWS($Z$3:Z395),$X$3:$Y$992,2,0),"")</f>
        <v>Ostatní zpracování a konzervování ovoce a zeleniny</v>
      </c>
    </row>
    <row r="396" spans="13:26" ht="12.75">
      <c r="M396" s="294">
        <f>IF(ISNUMBER(SEARCH(ZAKL_DATA!$B$29,N396)),MAX($M$2:M395)+1,0)</f>
        <v>394</v>
      </c>
      <c r="N396" s="295" t="s">
        <v>2250</v>
      </c>
      <c r="O396" s="310" t="s">
        <v>2251</v>
      </c>
      <c r="Q396" s="297" t="str">
        <f>IFERROR(VLOOKUP(ROWS($Q$3:Q396),$M$3:$N$992,2,0),"")</f>
        <v>Výroba olejů a tuků</v>
      </c>
      <c r="R396">
        <f>IF(ISNUMBER(SEARCH('1Př1'!$A$32,N396)),MAX($M$2:M395)+1,0)</f>
        <v>394</v>
      </c>
      <c r="S396" s="295" t="s">
        <v>2250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295" t="s">
        <v>2250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295" t="s">
        <v>2250</v>
      </c>
      <c r="Z396" t="str">
        <f>IFERROR(VLOOKUP(ROWS($Z$3:Z396),$X$3:$Y$992,2,0),"")</f>
        <v>Výroba olejů a tuků</v>
      </c>
    </row>
    <row r="397" spans="13:26" ht="12.75">
      <c r="M397" s="294">
        <f>IF(ISNUMBER(SEARCH(ZAKL_DATA!$B$29,N397)),MAX($M$2:M396)+1,0)</f>
        <v>395</v>
      </c>
      <c r="N397" s="295" t="s">
        <v>2252</v>
      </c>
      <c r="O397" s="310" t="s">
        <v>2253</v>
      </c>
      <c r="Q397" s="297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295" t="s">
        <v>2252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295" t="s">
        <v>2252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295" t="s">
        <v>2252</v>
      </c>
      <c r="Z397" t="str">
        <f>IFERROR(VLOOKUP(ROWS($Z$3:Z397),$X$3:$Y$992,2,0),"")</f>
        <v>Výroba margarínu a podobných jedlých tuků</v>
      </c>
    </row>
    <row r="398" spans="13:26" ht="12.75">
      <c r="M398" s="294">
        <f>IF(ISNUMBER(SEARCH(ZAKL_DATA!$B$29,N398)),MAX($M$2:M397)+1,0)</f>
        <v>396</v>
      </c>
      <c r="N398" s="295" t="s">
        <v>2254</v>
      </c>
      <c r="O398" s="310" t="s">
        <v>2255</v>
      </c>
      <c r="Q398" s="297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295" t="s">
        <v>2254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295" t="s">
        <v>2254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295" t="s">
        <v>2254</v>
      </c>
      <c r="Z398" t="str">
        <f>IFERROR(VLOOKUP(ROWS($Z$3:Z398),$X$3:$Y$992,2,0),"")</f>
        <v>Zpracování mléka, výroba mléčných výrobků a sýrů</v>
      </c>
    </row>
    <row r="399" spans="13:26" ht="12.75">
      <c r="M399" s="294">
        <f>IF(ISNUMBER(SEARCH(ZAKL_DATA!$B$29,N399)),MAX($M$2:M398)+1,0)</f>
        <v>397</v>
      </c>
      <c r="N399" s="295" t="s">
        <v>2256</v>
      </c>
      <c r="O399" s="310" t="s">
        <v>2257</v>
      </c>
      <c r="Q399" s="297" t="str">
        <f>IFERROR(VLOOKUP(ROWS($Q$3:Q399),$M$3:$N$992,2,0),"")</f>
        <v>Výroba zmrzliny</v>
      </c>
      <c r="R399">
        <f>IF(ISNUMBER(SEARCH('1Př1'!$A$32,N399)),MAX($M$2:M398)+1,0)</f>
        <v>397</v>
      </c>
      <c r="S399" s="295" t="s">
        <v>2256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295" t="s">
        <v>2256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295" t="s">
        <v>2256</v>
      </c>
      <c r="Z399" t="str">
        <f>IFERROR(VLOOKUP(ROWS($Z$3:Z399),$X$3:$Y$992,2,0),"")</f>
        <v>Výroba zmrzliny</v>
      </c>
    </row>
    <row r="400" spans="13:26" ht="12.75">
      <c r="M400" s="294">
        <f>IF(ISNUMBER(SEARCH(ZAKL_DATA!$B$29,N400)),MAX($M$2:M399)+1,0)</f>
        <v>398</v>
      </c>
      <c r="N400" s="295" t="s">
        <v>2258</v>
      </c>
      <c r="O400" s="310" t="s">
        <v>2259</v>
      </c>
      <c r="Q400" s="297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295" t="s">
        <v>2258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295" t="s">
        <v>2258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295" t="s">
        <v>2258</v>
      </c>
      <c r="Z400" t="str">
        <f>IFERROR(VLOOKUP(ROWS($Z$3:Z400),$X$3:$Y$992,2,0),"")</f>
        <v>Výroba mlýnských výrobků</v>
      </c>
    </row>
    <row r="401" spans="13:26" ht="12.75">
      <c r="M401" s="294">
        <f>IF(ISNUMBER(SEARCH(ZAKL_DATA!$B$29,N401)),MAX($M$2:M400)+1,0)</f>
        <v>399</v>
      </c>
      <c r="N401" s="295" t="s">
        <v>2260</v>
      </c>
      <c r="O401" s="310" t="s">
        <v>2261</v>
      </c>
      <c r="Q401" s="297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295" t="s">
        <v>2260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295" t="s">
        <v>2260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295" t="s">
        <v>2260</v>
      </c>
      <c r="Z401" t="str">
        <f>IFERROR(VLOOKUP(ROWS($Z$3:Z401),$X$3:$Y$992,2,0),"")</f>
        <v>Výroba škrobárenských výrobků</v>
      </c>
    </row>
    <row r="402" spans="13:26" ht="12.75">
      <c r="M402" s="294">
        <f>IF(ISNUMBER(SEARCH(ZAKL_DATA!$B$29,N402)),MAX($M$2:M401)+1,0)</f>
        <v>400</v>
      </c>
      <c r="N402" s="295" t="s">
        <v>2262</v>
      </c>
      <c r="O402" s="310" t="s">
        <v>2263</v>
      </c>
      <c r="Q402" s="297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295" t="s">
        <v>2262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295" t="s">
        <v>2262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295" t="s">
        <v>2262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294">
        <f>IF(ISNUMBER(SEARCH(ZAKL_DATA!$B$29,N403)),MAX($M$2:M402)+1,0)</f>
        <v>401</v>
      </c>
      <c r="N403" s="295" t="s">
        <v>2264</v>
      </c>
      <c r="O403" s="310" t="s">
        <v>2265</v>
      </c>
      <c r="Q403" s="297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295" t="s">
        <v>2264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295" t="s">
        <v>2264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295" t="s">
        <v>2264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294">
        <f>IF(ISNUMBER(SEARCH(ZAKL_DATA!$B$29,N404)),MAX($M$2:M403)+1,0)</f>
        <v>402</v>
      </c>
      <c r="N404" s="295" t="s">
        <v>2266</v>
      </c>
      <c r="O404" s="310" t="s">
        <v>2267</v>
      </c>
      <c r="Q404" s="297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295" t="s">
        <v>2266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295" t="s">
        <v>2266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295" t="s">
        <v>2266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294">
        <f>IF(ISNUMBER(SEARCH(ZAKL_DATA!$B$29,N405)),MAX($M$2:M404)+1,0)</f>
        <v>403</v>
      </c>
      <c r="N405" s="295" t="s">
        <v>2268</v>
      </c>
      <c r="O405" s="310" t="s">
        <v>2269</v>
      </c>
      <c r="Q405" s="297" t="str">
        <f>IFERROR(VLOOKUP(ROWS($Q$3:Q405),$M$3:$N$992,2,0),"")</f>
        <v>Výroba cukru</v>
      </c>
      <c r="R405">
        <f>IF(ISNUMBER(SEARCH('1Př1'!$A$32,N405)),MAX($M$2:M404)+1,0)</f>
        <v>403</v>
      </c>
      <c r="S405" s="295" t="s">
        <v>2268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295" t="s">
        <v>2268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295" t="s">
        <v>2268</v>
      </c>
      <c r="Z405" t="str">
        <f>IFERROR(VLOOKUP(ROWS($Z$3:Z405),$X$3:$Y$992,2,0),"")</f>
        <v>Výroba cukru</v>
      </c>
    </row>
    <row r="406" spans="13:26" ht="12.75">
      <c r="M406" s="294">
        <f>IF(ISNUMBER(SEARCH(ZAKL_DATA!$B$29,N406)),MAX($M$2:M405)+1,0)</f>
        <v>404</v>
      </c>
      <c r="N406" s="295" t="s">
        <v>2270</v>
      </c>
      <c r="O406" s="310" t="s">
        <v>2271</v>
      </c>
      <c r="Q406" s="297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295" t="s">
        <v>2270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295" t="s">
        <v>2270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295" t="s">
        <v>2270</v>
      </c>
      <c r="Z406" t="str">
        <f>IFERROR(VLOOKUP(ROWS($Z$3:Z406),$X$3:$Y$992,2,0),"")</f>
        <v>Výroba kakaa, čokolády a cukrovinek</v>
      </c>
    </row>
    <row r="407" spans="13:26" ht="12.75">
      <c r="M407" s="294">
        <f>IF(ISNUMBER(SEARCH(ZAKL_DATA!$B$29,N407)),MAX($M$2:M406)+1,0)</f>
        <v>405</v>
      </c>
      <c r="N407" s="295" t="s">
        <v>2272</v>
      </c>
      <c r="O407" s="310" t="s">
        <v>2273</v>
      </c>
      <c r="Q407" s="297" t="str">
        <f>IFERROR(VLOOKUP(ROWS($Q$3:Q407),$M$3:$N$992,2,0),"")</f>
        <v>Zpracování čaje a kávy</v>
      </c>
      <c r="R407">
        <f>IF(ISNUMBER(SEARCH('1Př1'!$A$32,N407)),MAX($M$2:M406)+1,0)</f>
        <v>405</v>
      </c>
      <c r="S407" s="295" t="s">
        <v>2272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295" t="s">
        <v>2272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295" t="s">
        <v>2272</v>
      </c>
      <c r="Z407" t="str">
        <f>IFERROR(VLOOKUP(ROWS($Z$3:Z407),$X$3:$Y$992,2,0),"")</f>
        <v>Zpracování čaje a kávy</v>
      </c>
    </row>
    <row r="408" spans="13:26" ht="12.75">
      <c r="M408" s="294">
        <f>IF(ISNUMBER(SEARCH(ZAKL_DATA!$B$29,N408)),MAX($M$2:M407)+1,0)</f>
        <v>406</v>
      </c>
      <c r="N408" s="295" t="s">
        <v>2274</v>
      </c>
      <c r="O408" s="310" t="s">
        <v>2275</v>
      </c>
      <c r="Q408" s="297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295" t="s">
        <v>2274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295" t="s">
        <v>2274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295" t="s">
        <v>2274</v>
      </c>
      <c r="Z408" t="str">
        <f>IFERROR(VLOOKUP(ROWS($Z$3:Z408),$X$3:$Y$992,2,0),"")</f>
        <v>Výroba koření a aromatických výtažků</v>
      </c>
    </row>
    <row r="409" spans="13:26" ht="12.75">
      <c r="M409" s="294">
        <f>IF(ISNUMBER(SEARCH(ZAKL_DATA!$B$29,N409)),MAX($M$2:M408)+1,0)</f>
        <v>407</v>
      </c>
      <c r="N409" s="295" t="s">
        <v>2276</v>
      </c>
      <c r="O409" s="310" t="s">
        <v>2277</v>
      </c>
      <c r="Q409" s="297" t="str">
        <f>IFERROR(VLOOKUP(ROWS($Q$3:Q409),$M$3:$N$992,2,0),"")</f>
        <v>Výroba hotových pokrmů</v>
      </c>
      <c r="R409">
        <f>IF(ISNUMBER(SEARCH('1Př1'!$A$32,N409)),MAX($M$2:M408)+1,0)</f>
        <v>407</v>
      </c>
      <c r="S409" s="295" t="s">
        <v>2276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295" t="s">
        <v>2276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295" t="s">
        <v>2276</v>
      </c>
      <c r="Z409" t="str">
        <f>IFERROR(VLOOKUP(ROWS($Z$3:Z409),$X$3:$Y$992,2,0),"")</f>
        <v>Výroba hotových pokrmů</v>
      </c>
    </row>
    <row r="410" spans="13:26" ht="12.75">
      <c r="M410" s="294">
        <f>IF(ISNUMBER(SEARCH(ZAKL_DATA!$B$29,N410)),MAX($M$2:M409)+1,0)</f>
        <v>408</v>
      </c>
      <c r="N410" s="295" t="s">
        <v>2278</v>
      </c>
      <c r="O410" s="310" t="s">
        <v>2279</v>
      </c>
      <c r="Q410" s="297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295" t="s">
        <v>2278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295" t="s">
        <v>2278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295" t="s">
        <v>2278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294">
        <f>IF(ISNUMBER(SEARCH(ZAKL_DATA!$B$29,N411)),MAX($M$2:M410)+1,0)</f>
        <v>409</v>
      </c>
      <c r="N411" s="295" t="s">
        <v>2280</v>
      </c>
      <c r="O411" s="310" t="s">
        <v>2281</v>
      </c>
      <c r="Q411" s="297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295" t="s">
        <v>2280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295" t="s">
        <v>2280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295" t="s">
        <v>2280</v>
      </c>
      <c r="Z411" t="str">
        <f>IFERROR(VLOOKUP(ROWS($Z$3:Z411),$X$3:$Y$992,2,0),"")</f>
        <v>Výroba ostatních potravinářských výrobků j. n.</v>
      </c>
    </row>
    <row r="412" spans="13:26" ht="12.75">
      <c r="M412" s="294">
        <f>IF(ISNUMBER(SEARCH(ZAKL_DATA!$B$29,N412)),MAX($M$2:M411)+1,0)</f>
        <v>410</v>
      </c>
      <c r="N412" s="295" t="s">
        <v>2282</v>
      </c>
      <c r="O412" s="310" t="s">
        <v>2283</v>
      </c>
      <c r="Q412" s="297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295" t="s">
        <v>2282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295" t="s">
        <v>2282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295" t="s">
        <v>2282</v>
      </c>
      <c r="Z412" t="str">
        <f>IFERROR(VLOOKUP(ROWS($Z$3:Z412),$X$3:$Y$992,2,0),"")</f>
        <v>Výroba průmyslových krmiv pro hospodářská zvířata</v>
      </c>
    </row>
    <row r="413" spans="13:26" ht="12.75">
      <c r="M413" s="294">
        <f>IF(ISNUMBER(SEARCH(ZAKL_DATA!$B$29,N413)),MAX($M$2:M412)+1,0)</f>
        <v>411</v>
      </c>
      <c r="N413" s="295" t="s">
        <v>2284</v>
      </c>
      <c r="O413" s="310" t="s">
        <v>2285</v>
      </c>
      <c r="Q413" s="297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295" t="s">
        <v>2284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295" t="s">
        <v>2284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295" t="s">
        <v>2284</v>
      </c>
      <c r="Z413" t="str">
        <f>IFERROR(VLOOKUP(ROWS($Z$3:Z413),$X$3:$Y$992,2,0),"")</f>
        <v>Výroba průmyslových krmiv pro zvířata v zájmovém chovu</v>
      </c>
    </row>
    <row r="414" spans="13:26" ht="12.75">
      <c r="M414" s="294">
        <f>IF(ISNUMBER(SEARCH(ZAKL_DATA!$B$29,N414)),MAX($M$2:M413)+1,0)</f>
        <v>412</v>
      </c>
      <c r="N414" s="295" t="s">
        <v>2286</v>
      </c>
      <c r="O414" s="310" t="s">
        <v>2287</v>
      </c>
      <c r="Q414" s="297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295" t="s">
        <v>2286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295" t="s">
        <v>2286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295" t="s">
        <v>2286</v>
      </c>
      <c r="Z414" t="str">
        <f>IFERROR(VLOOKUP(ROWS($Z$3:Z414),$X$3:$Y$992,2,0),"")</f>
        <v>Destilace, rektifikace a míchání lihovin</v>
      </c>
    </row>
    <row r="415" spans="13:26" ht="12.75">
      <c r="M415" s="294">
        <f>IF(ISNUMBER(SEARCH(ZAKL_DATA!$B$29,N415)),MAX($M$2:M414)+1,0)</f>
        <v>413</v>
      </c>
      <c r="N415" s="295" t="s">
        <v>2288</v>
      </c>
      <c r="O415" s="310" t="s">
        <v>2289</v>
      </c>
      <c r="Q415" s="297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295" t="s">
        <v>2288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295" t="s">
        <v>2288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295" t="s">
        <v>2288</v>
      </c>
      <c r="Z415" t="str">
        <f>IFERROR(VLOOKUP(ROWS($Z$3:Z415),$X$3:$Y$992,2,0),"")</f>
        <v>Výroba vína z vinných hroznů</v>
      </c>
    </row>
    <row r="416" spans="13:26" ht="12.75">
      <c r="M416" s="294">
        <f>IF(ISNUMBER(SEARCH(ZAKL_DATA!$B$29,N416)),MAX($M$2:M415)+1,0)</f>
        <v>414</v>
      </c>
      <c r="N416" s="295" t="s">
        <v>2290</v>
      </c>
      <c r="O416" s="310" t="s">
        <v>2291</v>
      </c>
      <c r="Q416" s="297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295" t="s">
        <v>2290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295" t="s">
        <v>2290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295" t="s">
        <v>2290</v>
      </c>
      <c r="Z416" t="str">
        <f>IFERROR(VLOOKUP(ROWS($Z$3:Z416),$X$3:$Y$992,2,0),"")</f>
        <v>Výroba jablečného vína a jiných ovocných vín</v>
      </c>
    </row>
    <row r="417" spans="13:26" ht="12.75">
      <c r="M417" s="294">
        <f>IF(ISNUMBER(SEARCH(ZAKL_DATA!$B$29,N417)),MAX($M$2:M416)+1,0)</f>
        <v>415</v>
      </c>
      <c r="N417" s="295" t="s">
        <v>2292</v>
      </c>
      <c r="O417" s="310" t="s">
        <v>2293</v>
      </c>
      <c r="Q417" s="297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295" t="s">
        <v>2292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295" t="s">
        <v>2292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295" t="s">
        <v>2292</v>
      </c>
      <c r="Z417" t="str">
        <f>IFERROR(VLOOKUP(ROWS($Z$3:Z417),$X$3:$Y$992,2,0),"")</f>
        <v>Výroba ostatních nedestilovaných kvašených nápojů</v>
      </c>
    </row>
    <row r="418" spans="13:26" ht="12.75">
      <c r="M418" s="294">
        <f>IF(ISNUMBER(SEARCH(ZAKL_DATA!$B$29,N418)),MAX($M$2:M417)+1,0)</f>
        <v>416</v>
      </c>
      <c r="N418" s="295" t="s">
        <v>2294</v>
      </c>
      <c r="O418" s="310" t="s">
        <v>2295</v>
      </c>
      <c r="Q418" s="297" t="str">
        <f>IFERROR(VLOOKUP(ROWS($Q$3:Q418),$M$3:$N$992,2,0),"")</f>
        <v>Výroba piva</v>
      </c>
      <c r="R418">
        <f>IF(ISNUMBER(SEARCH('1Př1'!$A$32,N418)),MAX($M$2:M417)+1,0)</f>
        <v>416</v>
      </c>
      <c r="S418" s="295" t="s">
        <v>2294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295" t="s">
        <v>2294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295" t="s">
        <v>2294</v>
      </c>
      <c r="Z418" t="str">
        <f>IFERROR(VLOOKUP(ROWS($Z$3:Z418),$X$3:$Y$992,2,0),"")</f>
        <v>Výroba piva</v>
      </c>
    </row>
    <row r="419" spans="13:26" ht="12.75">
      <c r="M419" s="294">
        <f>IF(ISNUMBER(SEARCH(ZAKL_DATA!$B$29,N419)),MAX($M$2:M418)+1,0)</f>
        <v>417</v>
      </c>
      <c r="N419" s="295" t="s">
        <v>2296</v>
      </c>
      <c r="O419" s="310" t="s">
        <v>2297</v>
      </c>
      <c r="Q419" s="297" t="str">
        <f>IFERROR(VLOOKUP(ROWS($Q$3:Q419),$M$3:$N$992,2,0),"")</f>
        <v>Výroba sladu</v>
      </c>
      <c r="R419">
        <f>IF(ISNUMBER(SEARCH('1Př1'!$A$32,N419)),MAX($M$2:M418)+1,0)</f>
        <v>417</v>
      </c>
      <c r="S419" s="295" t="s">
        <v>2296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295" t="s">
        <v>2296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295" t="s">
        <v>2296</v>
      </c>
      <c r="Z419" t="str">
        <f>IFERROR(VLOOKUP(ROWS($Z$3:Z419),$X$3:$Y$992,2,0),"")</f>
        <v>Výroba sladu</v>
      </c>
    </row>
    <row r="420" spans="13:26" ht="12.75">
      <c r="M420" s="294">
        <f>IF(ISNUMBER(SEARCH(ZAKL_DATA!$B$29,N420)),MAX($M$2:M419)+1,0)</f>
        <v>418</v>
      </c>
      <c r="N420" s="295" t="s">
        <v>2298</v>
      </c>
      <c r="O420" s="310" t="s">
        <v>2299</v>
      </c>
      <c r="Q420" s="297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295" t="s">
        <v>2298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295" t="s">
        <v>2298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295" t="s">
        <v>2298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294">
        <f>IF(ISNUMBER(SEARCH(ZAKL_DATA!$B$29,N421)),MAX($M$2:M420)+1,0)</f>
        <v>419</v>
      </c>
      <c r="N421" s="295" t="s">
        <v>2300</v>
      </c>
      <c r="O421" s="310" t="s">
        <v>2301</v>
      </c>
      <c r="Q421" s="297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295" t="s">
        <v>2300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295" t="s">
        <v>2300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295" t="s">
        <v>2300</v>
      </c>
      <c r="Z421" t="str">
        <f>IFERROR(VLOOKUP(ROWS($Z$3:Z421),$X$3:$Y$992,2,0),"")</f>
        <v>Výroba pletených a háčkovaných materiálů</v>
      </c>
    </row>
    <row r="422" spans="13:26" ht="12.75">
      <c r="M422" s="294">
        <f>IF(ISNUMBER(SEARCH(ZAKL_DATA!$B$29,N422)),MAX($M$2:M421)+1,0)</f>
        <v>420</v>
      </c>
      <c r="N422" s="295" t="s">
        <v>2302</v>
      </c>
      <c r="O422" s="310" t="s">
        <v>2303</v>
      </c>
      <c r="Q422" s="297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295" t="s">
        <v>2302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295" t="s">
        <v>2302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295" t="s">
        <v>2302</v>
      </c>
      <c r="Z422" t="str">
        <f>IFERROR(VLOOKUP(ROWS($Z$3:Z422),$X$3:$Y$992,2,0),"")</f>
        <v>Výroba konfekčních textilních výrobků, kromě oděvů</v>
      </c>
    </row>
    <row r="423" spans="13:26" ht="12.75">
      <c r="M423" s="294">
        <f>IF(ISNUMBER(SEARCH(ZAKL_DATA!$B$29,N423)),MAX($M$2:M422)+1,0)</f>
        <v>421</v>
      </c>
      <c r="N423" s="295" t="s">
        <v>2304</v>
      </c>
      <c r="O423" s="310" t="s">
        <v>2305</v>
      </c>
      <c r="Q423" s="297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295" t="s">
        <v>2304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295" t="s">
        <v>2304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295" t="s">
        <v>2304</v>
      </c>
      <c r="Z423" t="str">
        <f>IFERROR(VLOOKUP(ROWS($Z$3:Z423),$X$3:$Y$992,2,0),"")</f>
        <v>Výroba koberců a kobercových předložek</v>
      </c>
    </row>
    <row r="424" spans="13:26" ht="12.75">
      <c r="M424" s="294">
        <f>IF(ISNUMBER(SEARCH(ZAKL_DATA!$B$29,N424)),MAX($M$2:M423)+1,0)</f>
        <v>422</v>
      </c>
      <c r="N424" s="295" t="s">
        <v>2306</v>
      </c>
      <c r="O424" s="310" t="s">
        <v>2307</v>
      </c>
      <c r="Q424" s="297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295" t="s">
        <v>2306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295" t="s">
        <v>2306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295" t="s">
        <v>2306</v>
      </c>
      <c r="Z424" t="str">
        <f>IFERROR(VLOOKUP(ROWS($Z$3:Z424),$X$3:$Y$992,2,0),"")</f>
        <v>Výroba lan, provazů a síťovaných výrobků</v>
      </c>
    </row>
    <row r="425" spans="13:26" ht="12.75">
      <c r="M425" s="294">
        <f>IF(ISNUMBER(SEARCH(ZAKL_DATA!$B$29,N425)),MAX($M$2:M424)+1,0)</f>
        <v>423</v>
      </c>
      <c r="N425" s="295" t="s">
        <v>2308</v>
      </c>
      <c r="O425" s="310" t="s">
        <v>2309</v>
      </c>
      <c r="Q425" s="297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295" t="s">
        <v>2308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295" t="s">
        <v>2308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295" t="s">
        <v>2308</v>
      </c>
      <c r="Z425" t="str">
        <f>IFERROR(VLOOKUP(ROWS($Z$3:Z425),$X$3:$Y$992,2,0),"")</f>
        <v>Výroba netkaných textilií a výrobků z nich, kromě oděvů</v>
      </c>
    </row>
    <row r="426" spans="13:26" ht="12.75">
      <c r="M426" s="294">
        <f>IF(ISNUMBER(SEARCH(ZAKL_DATA!$B$29,N426)),MAX($M$2:M425)+1,0)</f>
        <v>424</v>
      </c>
      <c r="N426" s="295" t="s">
        <v>2310</v>
      </c>
      <c r="O426" s="310" t="s">
        <v>2311</v>
      </c>
      <c r="Q426" s="297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295" t="s">
        <v>2310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295" t="s">
        <v>2310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295" t="s">
        <v>2310</v>
      </c>
      <c r="Z426" t="str">
        <f>IFERROR(VLOOKUP(ROWS($Z$3:Z426),$X$3:$Y$992,2,0),"")</f>
        <v>Výroba ostatních technických a průmyslových textilií</v>
      </c>
    </row>
    <row r="427" spans="13:26" ht="12.75">
      <c r="M427" s="294">
        <f>IF(ISNUMBER(SEARCH(ZAKL_DATA!$B$29,N427)),MAX($M$2:M426)+1,0)</f>
        <v>425</v>
      </c>
      <c r="N427" s="295" t="s">
        <v>2312</v>
      </c>
      <c r="O427" s="310" t="s">
        <v>2313</v>
      </c>
      <c r="Q427" s="297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295" t="s">
        <v>2312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295" t="s">
        <v>2312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295" t="s">
        <v>2312</v>
      </c>
      <c r="Z427" t="str">
        <f>IFERROR(VLOOKUP(ROWS($Z$3:Z427),$X$3:$Y$992,2,0),"")</f>
        <v>Výroba ostatních textilií j. n.</v>
      </c>
    </row>
    <row r="428" spans="13:26" ht="12.75">
      <c r="M428" s="294">
        <f>IF(ISNUMBER(SEARCH(ZAKL_DATA!$B$29,N428)),MAX($M$2:M427)+1,0)</f>
        <v>426</v>
      </c>
      <c r="N428" s="295" t="s">
        <v>2314</v>
      </c>
      <c r="O428" s="310" t="s">
        <v>2315</v>
      </c>
      <c r="Q428" s="297" t="str">
        <f>IFERROR(VLOOKUP(ROWS($Q$3:Q428),$M$3:$N$992,2,0),"")</f>
        <v>Výroba kožených oděvů</v>
      </c>
      <c r="R428">
        <f>IF(ISNUMBER(SEARCH('1Př1'!$A$32,N428)),MAX($M$2:M427)+1,0)</f>
        <v>426</v>
      </c>
      <c r="S428" s="295" t="s">
        <v>2314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295" t="s">
        <v>2314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295" t="s">
        <v>2314</v>
      </c>
      <c r="Z428" t="str">
        <f>IFERROR(VLOOKUP(ROWS($Z$3:Z428),$X$3:$Y$992,2,0),"")</f>
        <v>Výroba kožených oděvů</v>
      </c>
    </row>
    <row r="429" spans="13:26" ht="12.75">
      <c r="M429" s="294">
        <f>IF(ISNUMBER(SEARCH(ZAKL_DATA!$B$29,N429)),MAX($M$2:M428)+1,0)</f>
        <v>427</v>
      </c>
      <c r="N429" s="295" t="s">
        <v>2316</v>
      </c>
      <c r="O429" s="310" t="s">
        <v>2317</v>
      </c>
      <c r="Q429" s="297" t="str">
        <f>IFERROR(VLOOKUP(ROWS($Q$3:Q429),$M$3:$N$992,2,0),"")</f>
        <v>Výroba pracovních oděvů</v>
      </c>
      <c r="R429">
        <f>IF(ISNUMBER(SEARCH('1Př1'!$A$32,N429)),MAX($M$2:M428)+1,0)</f>
        <v>427</v>
      </c>
      <c r="S429" s="295" t="s">
        <v>2316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295" t="s">
        <v>2316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295" t="s">
        <v>2316</v>
      </c>
      <c r="Z429" t="str">
        <f>IFERROR(VLOOKUP(ROWS($Z$3:Z429),$X$3:$Y$992,2,0),"")</f>
        <v>Výroba pracovních oděvů</v>
      </c>
    </row>
    <row r="430" spans="13:26" ht="12.75">
      <c r="M430" s="294">
        <f>IF(ISNUMBER(SEARCH(ZAKL_DATA!$B$29,N430)),MAX($M$2:M429)+1,0)</f>
        <v>428</v>
      </c>
      <c r="N430" s="295" t="s">
        <v>2318</v>
      </c>
      <c r="O430" s="310" t="s">
        <v>2319</v>
      </c>
      <c r="Q430" s="297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295" t="s">
        <v>2318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295" t="s">
        <v>2318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295" t="s">
        <v>2318</v>
      </c>
      <c r="Z430" t="str">
        <f>IFERROR(VLOOKUP(ROWS($Z$3:Z430),$X$3:$Y$992,2,0),"")</f>
        <v>Výroba ostatních svrchních oděvů</v>
      </c>
    </row>
    <row r="431" spans="13:26" ht="12.75">
      <c r="M431" s="294">
        <f>IF(ISNUMBER(SEARCH(ZAKL_DATA!$B$29,N431)),MAX($M$2:M430)+1,0)</f>
        <v>429</v>
      </c>
      <c r="N431" s="295" t="s">
        <v>2320</v>
      </c>
      <c r="O431" s="310" t="s">
        <v>2321</v>
      </c>
      <c r="Q431" s="297" t="str">
        <f>IFERROR(VLOOKUP(ROWS($Q$3:Q431),$M$3:$N$992,2,0),"")</f>
        <v>Výroba osobního prádla</v>
      </c>
      <c r="R431">
        <f>IF(ISNUMBER(SEARCH('1Př1'!$A$32,N431)),MAX($M$2:M430)+1,0)</f>
        <v>429</v>
      </c>
      <c r="S431" s="295" t="s">
        <v>2320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295" t="s">
        <v>2320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295" t="s">
        <v>2320</v>
      </c>
      <c r="Z431" t="str">
        <f>IFERROR(VLOOKUP(ROWS($Z$3:Z431),$X$3:$Y$992,2,0),"")</f>
        <v>Výroba osobního prádla</v>
      </c>
    </row>
    <row r="432" spans="13:26" ht="12.75">
      <c r="M432" s="294">
        <f>IF(ISNUMBER(SEARCH(ZAKL_DATA!$B$29,N432)),MAX($M$2:M431)+1,0)</f>
        <v>430</v>
      </c>
      <c r="N432" s="295" t="s">
        <v>2322</v>
      </c>
      <c r="O432" s="310" t="s">
        <v>2323</v>
      </c>
      <c r="Q432" s="297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295" t="s">
        <v>2322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295" t="s">
        <v>2322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295" t="s">
        <v>2322</v>
      </c>
      <c r="Z432" t="str">
        <f>IFERROR(VLOOKUP(ROWS($Z$3:Z432),$X$3:$Y$992,2,0),"")</f>
        <v>Výroba ostatních oděvů a oděvních doplňků</v>
      </c>
    </row>
    <row r="433" spans="13:26" ht="12.75">
      <c r="M433" s="294">
        <f>IF(ISNUMBER(SEARCH(ZAKL_DATA!$B$29,N433)),MAX($M$2:M432)+1,0)</f>
        <v>431</v>
      </c>
      <c r="N433" s="295" t="s">
        <v>2324</v>
      </c>
      <c r="O433" s="310" t="s">
        <v>2325</v>
      </c>
      <c r="Q433" s="297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295" t="s">
        <v>2324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295" t="s">
        <v>2324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295" t="s">
        <v>2324</v>
      </c>
      <c r="Z433" t="str">
        <f>IFERROR(VLOOKUP(ROWS($Z$3:Z433),$X$3:$Y$992,2,0),"")</f>
        <v>Výroba pletených a háčkovaných punčochových výrobků</v>
      </c>
    </row>
    <row r="434" spans="13:26" ht="12.75">
      <c r="M434" s="294">
        <f>IF(ISNUMBER(SEARCH(ZAKL_DATA!$B$29,N434)),MAX($M$2:M433)+1,0)</f>
        <v>432</v>
      </c>
      <c r="N434" s="295" t="s">
        <v>2326</v>
      </c>
      <c r="O434" s="310" t="s">
        <v>2327</v>
      </c>
      <c r="Q434" s="297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295" t="s">
        <v>2326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295" t="s">
        <v>2326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295" t="s">
        <v>2326</v>
      </c>
      <c r="Z434" t="str">
        <f>IFERROR(VLOOKUP(ROWS($Z$3:Z434),$X$3:$Y$992,2,0),"")</f>
        <v>Výroba ostatních pletených a háčkovaných oděvů</v>
      </c>
    </row>
    <row r="435" spans="13:26" ht="12.75">
      <c r="M435" s="294">
        <f>IF(ISNUMBER(SEARCH(ZAKL_DATA!$B$29,N435)),MAX($M$2:M434)+1,0)</f>
        <v>433</v>
      </c>
      <c r="N435" s="295" t="s">
        <v>2328</v>
      </c>
      <c r="O435" s="310" t="s">
        <v>2329</v>
      </c>
      <c r="Q435" s="297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295" t="s">
        <v>2328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295" t="s">
        <v>2328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295" t="s">
        <v>2328</v>
      </c>
      <c r="Z435" t="str">
        <f>IFERROR(VLOOKUP(ROWS($Z$3:Z435),$X$3:$Y$992,2,0),"")</f>
        <v>Chov drobných hospodářských zvířat</v>
      </c>
    </row>
    <row r="436" spans="13:26" ht="12.75">
      <c r="M436" s="294">
        <f>IF(ISNUMBER(SEARCH(ZAKL_DATA!$B$29,N436)),MAX($M$2:M435)+1,0)</f>
        <v>434</v>
      </c>
      <c r="N436" s="295" t="s">
        <v>2330</v>
      </c>
      <c r="O436" s="310" t="s">
        <v>2331</v>
      </c>
      <c r="Q436" s="297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295" t="s">
        <v>2330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295" t="s">
        <v>2330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295" t="s">
        <v>2330</v>
      </c>
      <c r="Z436" t="str">
        <f>IFERROR(VLOOKUP(ROWS($Z$3:Z436),$X$3:$Y$992,2,0),"")</f>
        <v>Chov kožešinových zvířat</v>
      </c>
    </row>
    <row r="437" spans="13:26" ht="12.75">
      <c r="M437" s="294">
        <f>IF(ISNUMBER(SEARCH(ZAKL_DATA!$B$29,N437)),MAX($M$2:M436)+1,0)</f>
        <v>435</v>
      </c>
      <c r="N437" s="295" t="s">
        <v>2332</v>
      </c>
      <c r="O437" s="310" t="s">
        <v>2333</v>
      </c>
      <c r="Q437" s="297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295" t="s">
        <v>2332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295" t="s">
        <v>2332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295" t="s">
        <v>2332</v>
      </c>
      <c r="Z437" t="str">
        <f>IFERROR(VLOOKUP(ROWS($Z$3:Z437),$X$3:$Y$992,2,0),"")</f>
        <v>Chov zvířat pro zájmový chov</v>
      </c>
    </row>
    <row r="438" spans="13:26" ht="12.75">
      <c r="M438" s="294">
        <f>IF(ISNUMBER(SEARCH(ZAKL_DATA!$B$29,N438)),MAX($M$2:M437)+1,0)</f>
        <v>436</v>
      </c>
      <c r="N438" s="295" t="s">
        <v>2334</v>
      </c>
      <c r="O438" s="310" t="s">
        <v>2335</v>
      </c>
      <c r="Q438" s="297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295" t="s">
        <v>2334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295" t="s">
        <v>2334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295" t="s">
        <v>2334</v>
      </c>
      <c r="Z438" t="str">
        <f>IFERROR(VLOOKUP(ROWS($Z$3:Z438),$X$3:$Y$992,2,0),"")</f>
        <v>Chov ostatních zvířat j. n.</v>
      </c>
    </row>
    <row r="439" spans="13:26" ht="12.75">
      <c r="M439" s="294">
        <f>IF(ISNUMBER(SEARCH(ZAKL_DATA!$B$29,N439)),MAX($M$2:M438)+1,0)</f>
        <v>437</v>
      </c>
      <c r="N439" s="295" t="s">
        <v>2336</v>
      </c>
      <c r="O439" s="310" t="s">
        <v>2337</v>
      </c>
      <c r="Q439" s="297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295" t="s">
        <v>2336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295" t="s">
        <v>2336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295" t="s">
        <v>2336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294">
        <f>IF(ISNUMBER(SEARCH(ZAKL_DATA!$B$29,N440)),MAX($M$2:M439)+1,0)</f>
        <v>438</v>
      </c>
      <c r="N440" s="295" t="s">
        <v>2338</v>
      </c>
      <c r="O440" s="310" t="s">
        <v>2339</v>
      </c>
      <c r="Q440" s="297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295" t="s">
        <v>2338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295" t="s">
        <v>2338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295" t="s">
        <v>2338</v>
      </c>
      <c r="Z440" t="str">
        <f>IFERROR(VLOOKUP(ROWS($Z$3:Z440),$X$3:$Y$992,2,0),"")</f>
        <v>Výroba brašnářských, sedlářských a podobných výrobků</v>
      </c>
    </row>
    <row r="441" spans="13:26" ht="12.75">
      <c r="M441" s="294">
        <f>IF(ISNUMBER(SEARCH(ZAKL_DATA!$B$29,N441)),MAX($M$2:M440)+1,0)</f>
        <v>439</v>
      </c>
      <c r="N441" s="295" t="s">
        <v>2340</v>
      </c>
      <c r="O441" s="310" t="s">
        <v>2341</v>
      </c>
      <c r="Q441" s="297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295" t="s">
        <v>2340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295" t="s">
        <v>2340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295" t="s">
        <v>2340</v>
      </c>
      <c r="Z441" t="str">
        <f>IFERROR(VLOOKUP(ROWS($Z$3:Z441),$X$3:$Y$992,2,0),"")</f>
        <v>Výroba dýh a desek na bázi dřeva</v>
      </c>
    </row>
    <row r="442" spans="13:26" ht="12.75">
      <c r="M442" s="294">
        <f>IF(ISNUMBER(SEARCH(ZAKL_DATA!$B$29,N442)),MAX($M$2:M441)+1,0)</f>
        <v>440</v>
      </c>
      <c r="N442" s="295" t="s">
        <v>2342</v>
      </c>
      <c r="O442" s="310" t="s">
        <v>2343</v>
      </c>
      <c r="Q442" s="297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295" t="s">
        <v>2342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295" t="s">
        <v>2342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295" t="s">
        <v>2342</v>
      </c>
      <c r="Z442" t="str">
        <f>IFERROR(VLOOKUP(ROWS($Z$3:Z442),$X$3:$Y$992,2,0),"")</f>
        <v>Výroba sestavených parketových podlah</v>
      </c>
    </row>
    <row r="443" spans="13:26" ht="12.75">
      <c r="M443" s="294">
        <f>IF(ISNUMBER(SEARCH(ZAKL_DATA!$B$29,N443)),MAX($M$2:M442)+1,0)</f>
        <v>441</v>
      </c>
      <c r="N443" s="295" t="s">
        <v>2344</v>
      </c>
      <c r="O443" s="310" t="s">
        <v>2345</v>
      </c>
      <c r="Q443" s="297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295" t="s">
        <v>2344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295" t="s">
        <v>2344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295" t="s">
        <v>2344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294">
        <f>IF(ISNUMBER(SEARCH(ZAKL_DATA!$B$29,N444)),MAX($M$2:M443)+1,0)</f>
        <v>442</v>
      </c>
      <c r="N444" s="295" t="s">
        <v>2346</v>
      </c>
      <c r="O444" s="310" t="s">
        <v>2347</v>
      </c>
      <c r="Q444" s="297" t="str">
        <f>IFERROR(VLOOKUP(ROWS($Q$3:Q444),$M$3:$N$992,2,0),"")</f>
        <v>Výroba dřevěných obalů</v>
      </c>
      <c r="R444">
        <f>IF(ISNUMBER(SEARCH('1Př1'!$A$32,N444)),MAX($M$2:M443)+1,0)</f>
        <v>442</v>
      </c>
      <c r="S444" s="295" t="s">
        <v>2346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295" t="s">
        <v>2346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295" t="s">
        <v>2346</v>
      </c>
      <c r="Z444" t="str">
        <f>IFERROR(VLOOKUP(ROWS($Z$3:Z444),$X$3:$Y$992,2,0),"")</f>
        <v>Výroba dřevěných obalů</v>
      </c>
    </row>
    <row r="445" spans="13:26" ht="12.75">
      <c r="M445" s="294">
        <f>IF(ISNUMBER(SEARCH(ZAKL_DATA!$B$29,N445)),MAX($M$2:M444)+1,0)</f>
        <v>443</v>
      </c>
      <c r="N445" s="295" t="s">
        <v>2348</v>
      </c>
      <c r="O445" s="310" t="s">
        <v>2349</v>
      </c>
      <c r="Q445" s="297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295" t="s">
        <v>2348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295" t="s">
        <v>2348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295" t="s">
        <v>2348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294">
        <f>IF(ISNUMBER(SEARCH(ZAKL_DATA!$B$29,N446)),MAX($M$2:M445)+1,0)</f>
        <v>444</v>
      </c>
      <c r="N446" s="295" t="s">
        <v>2350</v>
      </c>
      <c r="O446" s="310" t="s">
        <v>2351</v>
      </c>
      <c r="Q446" s="297" t="str">
        <f>IFERROR(VLOOKUP(ROWS($Q$3:Q446),$M$3:$N$992,2,0),"")</f>
        <v>Výroba buničiny</v>
      </c>
      <c r="R446">
        <f>IF(ISNUMBER(SEARCH('1Př1'!$A$32,N446)),MAX($M$2:M445)+1,0)</f>
        <v>444</v>
      </c>
      <c r="S446" s="295" t="s">
        <v>2350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295" t="s">
        <v>2350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295" t="s">
        <v>2350</v>
      </c>
      <c r="Z446" t="str">
        <f>IFERROR(VLOOKUP(ROWS($Z$3:Z446),$X$3:$Y$992,2,0),"")</f>
        <v>Výroba buničiny</v>
      </c>
    </row>
    <row r="447" spans="13:26" ht="12.75">
      <c r="M447" s="294">
        <f>IF(ISNUMBER(SEARCH(ZAKL_DATA!$B$29,N447)),MAX($M$2:M446)+1,0)</f>
        <v>445</v>
      </c>
      <c r="N447" s="295" t="s">
        <v>2352</v>
      </c>
      <c r="O447" s="310" t="s">
        <v>2353</v>
      </c>
      <c r="Q447" s="297" t="str">
        <f>IFERROR(VLOOKUP(ROWS($Q$3:Q447),$M$3:$N$992,2,0),"")</f>
        <v>Výroba papíru a lepenky</v>
      </c>
      <c r="R447">
        <f>IF(ISNUMBER(SEARCH('1Př1'!$A$32,N447)),MAX($M$2:M446)+1,0)</f>
        <v>445</v>
      </c>
      <c r="S447" s="295" t="s">
        <v>2352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295" t="s">
        <v>2352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295" t="s">
        <v>2352</v>
      </c>
      <c r="Z447" t="str">
        <f>IFERROR(VLOOKUP(ROWS($Z$3:Z447),$X$3:$Y$992,2,0),"")</f>
        <v>Výroba papíru a lepenky</v>
      </c>
    </row>
    <row r="448" spans="13:26" ht="12.75">
      <c r="M448" s="294">
        <f>IF(ISNUMBER(SEARCH(ZAKL_DATA!$B$29,N448)),MAX($M$2:M447)+1,0)</f>
        <v>446</v>
      </c>
      <c r="N448" s="295" t="s">
        <v>2354</v>
      </c>
      <c r="O448" s="310" t="s">
        <v>2355</v>
      </c>
      <c r="Q448" s="297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295" t="s">
        <v>2354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295" t="s">
        <v>2354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295" t="s">
        <v>2354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294">
        <f>IF(ISNUMBER(SEARCH(ZAKL_DATA!$B$29,N449)),MAX($M$2:M448)+1,0)</f>
        <v>447</v>
      </c>
      <c r="N449" s="295" t="s">
        <v>2356</v>
      </c>
      <c r="O449" s="310" t="s">
        <v>2357</v>
      </c>
      <c r="Q449" s="297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295" t="s">
        <v>2356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295" t="s">
        <v>2356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295" t="s">
        <v>2356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294">
        <f>IF(ISNUMBER(SEARCH(ZAKL_DATA!$B$29,N450)),MAX($M$2:M449)+1,0)</f>
        <v>448</v>
      </c>
      <c r="N450" s="295" t="s">
        <v>2358</v>
      </c>
      <c r="O450" s="310" t="s">
        <v>2359</v>
      </c>
      <c r="Q450" s="297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295" t="s">
        <v>2358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295" t="s">
        <v>2358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295" t="s">
        <v>2358</v>
      </c>
      <c r="Z450" t="str">
        <f>IFERROR(VLOOKUP(ROWS($Z$3:Z450),$X$3:$Y$992,2,0),"")</f>
        <v>Výroba kancelářských potřeb z papíru</v>
      </c>
    </row>
    <row r="451" spans="13:26" ht="12.75">
      <c r="M451" s="294">
        <f>IF(ISNUMBER(SEARCH(ZAKL_DATA!$B$29,N451)),MAX($M$2:M450)+1,0)</f>
        <v>449</v>
      </c>
      <c r="N451" s="295" t="s">
        <v>2360</v>
      </c>
      <c r="O451" s="310" t="s">
        <v>2361</v>
      </c>
      <c r="Q451" s="297" t="str">
        <f>IFERROR(VLOOKUP(ROWS($Q$3:Q451),$M$3:$N$992,2,0),"")</f>
        <v>Výroba tapet</v>
      </c>
      <c r="R451">
        <f>IF(ISNUMBER(SEARCH('1Př1'!$A$32,N451)),MAX($M$2:M450)+1,0)</f>
        <v>449</v>
      </c>
      <c r="S451" s="295" t="s">
        <v>2360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295" t="s">
        <v>2360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295" t="s">
        <v>2360</v>
      </c>
      <c r="Z451" t="str">
        <f>IFERROR(VLOOKUP(ROWS($Z$3:Z451),$X$3:$Y$992,2,0),"")</f>
        <v>Výroba tapet</v>
      </c>
    </row>
    <row r="452" spans="13:26" ht="12.75">
      <c r="M452" s="294">
        <f>IF(ISNUMBER(SEARCH(ZAKL_DATA!$B$29,N452)),MAX($M$2:M451)+1,0)</f>
        <v>450</v>
      </c>
      <c r="N452" s="295" t="s">
        <v>2362</v>
      </c>
      <c r="O452" s="310" t="s">
        <v>2363</v>
      </c>
      <c r="Q452" s="297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295" t="s">
        <v>2362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295" t="s">
        <v>2362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295" t="s">
        <v>2362</v>
      </c>
      <c r="Z452" t="str">
        <f>IFERROR(VLOOKUP(ROWS($Z$3:Z452),$X$3:$Y$992,2,0),"")</f>
        <v>Výroba ostatních výrobků z papíru a lepenky</v>
      </c>
    </row>
    <row r="453" spans="13:26" ht="12.75">
      <c r="M453" s="294">
        <f>IF(ISNUMBER(SEARCH(ZAKL_DATA!$B$29,N453)),MAX($M$2:M452)+1,0)</f>
        <v>451</v>
      </c>
      <c r="N453" s="295" t="s">
        <v>2364</v>
      </c>
      <c r="O453" s="310" t="s">
        <v>2365</v>
      </c>
      <c r="Q453" s="297" t="str">
        <f>IFERROR(VLOOKUP(ROWS($Q$3:Q453),$M$3:$N$992,2,0),"")</f>
        <v>Tisk novin</v>
      </c>
      <c r="R453">
        <f>IF(ISNUMBER(SEARCH('1Př1'!$A$32,N453)),MAX($M$2:M452)+1,0)</f>
        <v>451</v>
      </c>
      <c r="S453" s="295" t="s">
        <v>2364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295" t="s">
        <v>2364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295" t="s">
        <v>2364</v>
      </c>
      <c r="Z453" t="str">
        <f>IFERROR(VLOOKUP(ROWS($Z$3:Z453),$X$3:$Y$992,2,0),"")</f>
        <v>Tisk novin</v>
      </c>
    </row>
    <row r="454" spans="13:26" ht="12.75">
      <c r="M454" s="294">
        <f>IF(ISNUMBER(SEARCH(ZAKL_DATA!$B$29,N454)),MAX($M$2:M453)+1,0)</f>
        <v>452</v>
      </c>
      <c r="N454" s="295" t="s">
        <v>2366</v>
      </c>
      <c r="O454" s="310" t="s">
        <v>2367</v>
      </c>
      <c r="Q454" s="297" t="str">
        <f>IFERROR(VLOOKUP(ROWS($Q$3:Q454),$M$3:$N$992,2,0),"")</f>
        <v>Tisk ostatní, kromě novin</v>
      </c>
      <c r="R454">
        <f>IF(ISNUMBER(SEARCH('1Př1'!$A$32,N454)),MAX($M$2:M453)+1,0)</f>
        <v>452</v>
      </c>
      <c r="S454" s="295" t="s">
        <v>2366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295" t="s">
        <v>2366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295" t="s">
        <v>2366</v>
      </c>
      <c r="Z454" t="str">
        <f>IFERROR(VLOOKUP(ROWS($Z$3:Z454),$X$3:$Y$992,2,0),"")</f>
        <v>Tisk ostatní, kromě novin</v>
      </c>
    </row>
    <row r="455" spans="13:26" ht="12.75">
      <c r="M455" s="294">
        <f>IF(ISNUMBER(SEARCH(ZAKL_DATA!$B$29,N455)),MAX($M$2:M454)+1,0)</f>
        <v>453</v>
      </c>
      <c r="N455" s="295" t="s">
        <v>2368</v>
      </c>
      <c r="O455" s="310" t="s">
        <v>2369</v>
      </c>
      <c r="Q455" s="297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295" t="s">
        <v>2368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295" t="s">
        <v>2368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295" t="s">
        <v>2368</v>
      </c>
      <c r="Z455" t="str">
        <f>IFERROR(VLOOKUP(ROWS($Z$3:Z455),$X$3:$Y$992,2,0),"")</f>
        <v>Příprava tisku a digitálních dat</v>
      </c>
    </row>
    <row r="456" spans="13:26" ht="12.75">
      <c r="M456" s="294">
        <f>IF(ISNUMBER(SEARCH(ZAKL_DATA!$B$29,N456)),MAX($M$2:M455)+1,0)</f>
        <v>454</v>
      </c>
      <c r="N456" s="295" t="s">
        <v>2370</v>
      </c>
      <c r="O456" s="310" t="s">
        <v>2371</v>
      </c>
      <c r="Q456" s="297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295" t="s">
        <v>2370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295" t="s">
        <v>2370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295" t="s">
        <v>2370</v>
      </c>
      <c r="Z456" t="str">
        <f>IFERROR(VLOOKUP(ROWS($Z$3:Z456),$X$3:$Y$992,2,0),"")</f>
        <v>Vázání a související činnosti</v>
      </c>
    </row>
    <row r="457" spans="13:26" ht="12.75">
      <c r="M457" s="294">
        <f>IF(ISNUMBER(SEARCH(ZAKL_DATA!$B$29,N457)),MAX($M$2:M456)+1,0)</f>
        <v>455</v>
      </c>
      <c r="N457" s="295" t="s">
        <v>2372</v>
      </c>
      <c r="O457" s="310" t="s">
        <v>2373</v>
      </c>
      <c r="Q457" s="297" t="str">
        <f>IFERROR(VLOOKUP(ROWS($Q$3:Q457),$M$3:$N$992,2,0),"")</f>
        <v>Výroba technických plynů</v>
      </c>
      <c r="R457">
        <f>IF(ISNUMBER(SEARCH('1Př1'!$A$32,N457)),MAX($M$2:M456)+1,0)</f>
        <v>455</v>
      </c>
      <c r="S457" s="295" t="s">
        <v>2372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295" t="s">
        <v>2372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295" t="s">
        <v>2372</v>
      </c>
      <c r="Z457" t="str">
        <f>IFERROR(VLOOKUP(ROWS($Z$3:Z457),$X$3:$Y$992,2,0),"")</f>
        <v>Výroba technických plynů</v>
      </c>
    </row>
    <row r="458" spans="13:26" ht="12.75">
      <c r="M458" s="294">
        <f>IF(ISNUMBER(SEARCH(ZAKL_DATA!$B$29,N458)),MAX($M$2:M457)+1,0)</f>
        <v>456</v>
      </c>
      <c r="N458" s="295" t="s">
        <v>2374</v>
      </c>
      <c r="O458" s="310" t="s">
        <v>2375</v>
      </c>
      <c r="Q458" s="297" t="str">
        <f>IFERROR(VLOOKUP(ROWS($Q$3:Q458),$M$3:$N$992,2,0),"")</f>
        <v>Výroba barviv a pigmentů</v>
      </c>
      <c r="R458">
        <f>IF(ISNUMBER(SEARCH('1Př1'!$A$32,N458)),MAX($M$2:M457)+1,0)</f>
        <v>456</v>
      </c>
      <c r="S458" s="295" t="s">
        <v>2374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295" t="s">
        <v>2374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295" t="s">
        <v>2374</v>
      </c>
      <c r="Z458" t="str">
        <f>IFERROR(VLOOKUP(ROWS($Z$3:Z458),$X$3:$Y$992,2,0),"")</f>
        <v>Výroba barviv a pigmentů</v>
      </c>
    </row>
    <row r="459" spans="13:26" ht="12.75">
      <c r="M459" s="294">
        <f>IF(ISNUMBER(SEARCH(ZAKL_DATA!$B$29,N459)),MAX($M$2:M458)+1,0)</f>
        <v>457</v>
      </c>
      <c r="N459" s="295" t="s">
        <v>2376</v>
      </c>
      <c r="O459" s="310" t="s">
        <v>2377</v>
      </c>
      <c r="Q459" s="297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295" t="s">
        <v>2376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295" t="s">
        <v>2376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295" t="s">
        <v>2376</v>
      </c>
      <c r="Z459" t="str">
        <f>IFERROR(VLOOKUP(ROWS($Z$3:Z459),$X$3:$Y$992,2,0),"")</f>
        <v>Výroba jiných základních anorganických chemických látek</v>
      </c>
    </row>
    <row r="460" spans="13:26" ht="12.75">
      <c r="M460" s="294">
        <f>IF(ISNUMBER(SEARCH(ZAKL_DATA!$B$29,N460)),MAX($M$2:M459)+1,0)</f>
        <v>458</v>
      </c>
      <c r="N460" s="295" t="s">
        <v>2378</v>
      </c>
      <c r="O460" s="310" t="s">
        <v>2379</v>
      </c>
      <c r="Q460" s="297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295" t="s">
        <v>2378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295" t="s">
        <v>2378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295" t="s">
        <v>2378</v>
      </c>
      <c r="Z460" t="str">
        <f>IFERROR(VLOOKUP(ROWS($Z$3:Z460),$X$3:$Y$992,2,0),"")</f>
        <v>Výroba jiných základních organických chemických látek</v>
      </c>
    </row>
    <row r="461" spans="13:26" ht="12.75">
      <c r="M461" s="294">
        <f>IF(ISNUMBER(SEARCH(ZAKL_DATA!$B$29,N461)),MAX($M$2:M460)+1,0)</f>
        <v>459</v>
      </c>
      <c r="N461" s="295" t="s">
        <v>2380</v>
      </c>
      <c r="O461" s="310" t="s">
        <v>2381</v>
      </c>
      <c r="Q461" s="297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295" t="s">
        <v>2380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295" t="s">
        <v>2380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295" t="s">
        <v>2380</v>
      </c>
      <c r="Z461" t="str">
        <f>IFERROR(VLOOKUP(ROWS($Z$3:Z461),$X$3:$Y$992,2,0),"")</f>
        <v>Výroba hnojiv a dusíkatých sloučenin</v>
      </c>
    </row>
    <row r="462" spans="13:26" ht="12.75">
      <c r="M462" s="294">
        <f>IF(ISNUMBER(SEARCH(ZAKL_DATA!$B$29,N462)),MAX($M$2:M461)+1,0)</f>
        <v>460</v>
      </c>
      <c r="N462" s="295" t="s">
        <v>2382</v>
      </c>
      <c r="O462" s="310" t="s">
        <v>2383</v>
      </c>
      <c r="Q462" s="297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295" t="s">
        <v>2382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295" t="s">
        <v>2382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295" t="s">
        <v>2382</v>
      </c>
      <c r="Z462" t="str">
        <f>IFERROR(VLOOKUP(ROWS($Z$3:Z462),$X$3:$Y$992,2,0),"")</f>
        <v>Výroba plastů v primárních formách</v>
      </c>
    </row>
    <row r="463" spans="13:26" ht="12.75">
      <c r="M463" s="294">
        <f>IF(ISNUMBER(SEARCH(ZAKL_DATA!$B$29,N463)),MAX($M$2:M462)+1,0)</f>
        <v>461</v>
      </c>
      <c r="N463" s="295" t="s">
        <v>2384</v>
      </c>
      <c r="O463" s="310" t="s">
        <v>2385</v>
      </c>
      <c r="Q463" s="297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295" t="s">
        <v>2384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295" t="s">
        <v>2384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295" t="s">
        <v>2384</v>
      </c>
      <c r="Z463" t="str">
        <f>IFERROR(VLOOKUP(ROWS($Z$3:Z463),$X$3:$Y$992,2,0),"")</f>
        <v>Výroba syntetického kaučuku v primárních formách</v>
      </c>
    </row>
    <row r="464" spans="13:26" ht="12.75">
      <c r="M464" s="294">
        <f>IF(ISNUMBER(SEARCH(ZAKL_DATA!$B$29,N464)),MAX($M$2:M463)+1,0)</f>
        <v>462</v>
      </c>
      <c r="N464" s="295" t="s">
        <v>2386</v>
      </c>
      <c r="O464" s="310" t="s">
        <v>2387</v>
      </c>
      <c r="Q464" s="297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295" t="s">
        <v>2386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295" t="s">
        <v>2386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295" t="s">
        <v>2386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294">
        <f>IF(ISNUMBER(SEARCH(ZAKL_DATA!$B$29,N465)),MAX($M$2:M464)+1,0)</f>
        <v>463</v>
      </c>
      <c r="N465" s="295" t="s">
        <v>2388</v>
      </c>
      <c r="O465" s="310" t="s">
        <v>2389</v>
      </c>
      <c r="Q465" s="297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295" t="s">
        <v>2388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295" t="s">
        <v>2388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295" t="s">
        <v>2388</v>
      </c>
      <c r="Z465" t="str">
        <f>IFERROR(VLOOKUP(ROWS($Z$3:Z465),$X$3:$Y$992,2,0),"")</f>
        <v>Výroba parfémů a toaletních přípravků</v>
      </c>
    </row>
    <row r="466" spans="13:26" ht="12.75">
      <c r="M466" s="294">
        <f>IF(ISNUMBER(SEARCH(ZAKL_DATA!$B$29,N466)),MAX($M$2:M465)+1,0)</f>
        <v>464</v>
      </c>
      <c r="N466" s="295" t="s">
        <v>2390</v>
      </c>
      <c r="O466" s="310" t="s">
        <v>2391</v>
      </c>
      <c r="Q466" s="297" t="str">
        <f>IFERROR(VLOOKUP(ROWS($Q$3:Q466),$M$3:$N$992,2,0),"")</f>
        <v>Výroba výbušnin</v>
      </c>
      <c r="R466">
        <f>IF(ISNUMBER(SEARCH('1Př1'!$A$32,N466)),MAX($M$2:M465)+1,0)</f>
        <v>464</v>
      </c>
      <c r="S466" s="295" t="s">
        <v>2390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295" t="s">
        <v>2390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295" t="s">
        <v>2390</v>
      </c>
      <c r="Z466" t="str">
        <f>IFERROR(VLOOKUP(ROWS($Z$3:Z466),$X$3:$Y$992,2,0),"")</f>
        <v>Výroba výbušnin</v>
      </c>
    </row>
    <row r="467" spans="13:26" ht="12.75">
      <c r="M467" s="294">
        <f>IF(ISNUMBER(SEARCH(ZAKL_DATA!$B$29,N467)),MAX($M$2:M466)+1,0)</f>
        <v>465</v>
      </c>
      <c r="N467" s="295" t="s">
        <v>2392</v>
      </c>
      <c r="O467" s="310" t="s">
        <v>2393</v>
      </c>
      <c r="Q467" s="297" t="str">
        <f>IFERROR(VLOOKUP(ROWS($Q$3:Q467),$M$3:$N$992,2,0),"")</f>
        <v>Výroba klihů</v>
      </c>
      <c r="R467">
        <f>IF(ISNUMBER(SEARCH('1Př1'!$A$32,N467)),MAX($M$2:M466)+1,0)</f>
        <v>465</v>
      </c>
      <c r="S467" s="295" t="s">
        <v>2392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295" t="s">
        <v>2392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295" t="s">
        <v>2392</v>
      </c>
      <c r="Z467" t="str">
        <f>IFERROR(VLOOKUP(ROWS($Z$3:Z467),$X$3:$Y$992,2,0),"")</f>
        <v>Výroba klihů</v>
      </c>
    </row>
    <row r="468" spans="13:26" ht="12.75">
      <c r="M468" s="294">
        <f>IF(ISNUMBER(SEARCH(ZAKL_DATA!$B$29,N468)),MAX($M$2:M467)+1,0)</f>
        <v>466</v>
      </c>
      <c r="N468" s="295" t="s">
        <v>2394</v>
      </c>
      <c r="O468" s="310" t="s">
        <v>2395</v>
      </c>
      <c r="Q468" s="297" t="str">
        <f>IFERROR(VLOOKUP(ROWS($Q$3:Q468),$M$3:$N$992,2,0),"")</f>
        <v>Výroba vonných silic</v>
      </c>
      <c r="R468">
        <f>IF(ISNUMBER(SEARCH('1Př1'!$A$32,N468)),MAX($M$2:M467)+1,0)</f>
        <v>466</v>
      </c>
      <c r="S468" s="295" t="s">
        <v>2394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295" t="s">
        <v>2394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295" t="s">
        <v>2394</v>
      </c>
      <c r="Z468" t="str">
        <f>IFERROR(VLOOKUP(ROWS($Z$3:Z468),$X$3:$Y$992,2,0),"")</f>
        <v>Výroba vonných silic</v>
      </c>
    </row>
    <row r="469" spans="13:26" ht="12.75">
      <c r="M469" s="294">
        <f>IF(ISNUMBER(SEARCH(ZAKL_DATA!$B$29,N469)),MAX($M$2:M468)+1,0)</f>
        <v>467</v>
      </c>
      <c r="N469" s="295" t="s">
        <v>2396</v>
      </c>
      <c r="O469" s="310" t="s">
        <v>2397</v>
      </c>
      <c r="Q469" s="297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295" t="s">
        <v>2396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295" t="s">
        <v>2396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295" t="s">
        <v>2396</v>
      </c>
      <c r="Z469" t="str">
        <f>IFERROR(VLOOKUP(ROWS($Z$3:Z469),$X$3:$Y$992,2,0),"")</f>
        <v>Výroba ostatních chemických výrobků j. n.</v>
      </c>
    </row>
    <row r="470" spans="13:26" ht="12.75">
      <c r="M470" s="294">
        <f>IF(ISNUMBER(SEARCH(ZAKL_DATA!$B$29,N470)),MAX($M$2:M469)+1,0)</f>
        <v>468</v>
      </c>
      <c r="N470" s="295" t="s">
        <v>2398</v>
      </c>
      <c r="O470" s="310" t="s">
        <v>2399</v>
      </c>
      <c r="Q470" s="297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295" t="s">
        <v>2398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295" t="s">
        <v>2398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295" t="s">
        <v>2398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294">
        <f>IF(ISNUMBER(SEARCH(ZAKL_DATA!$B$29,N471)),MAX($M$2:M470)+1,0)</f>
        <v>469</v>
      </c>
      <c r="N471" s="295" t="s">
        <v>2400</v>
      </c>
      <c r="O471" s="310" t="s">
        <v>2401</v>
      </c>
      <c r="Q471" s="297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295" t="s">
        <v>2400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295" t="s">
        <v>2400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295" t="s">
        <v>2400</v>
      </c>
      <c r="Z471" t="str">
        <f>IFERROR(VLOOKUP(ROWS($Z$3:Z471),$X$3:$Y$992,2,0),"")</f>
        <v>Výroba ostatních pryžových výrobků</v>
      </c>
    </row>
    <row r="472" spans="13:26" ht="12.75">
      <c r="M472" s="294">
        <f>IF(ISNUMBER(SEARCH(ZAKL_DATA!$B$29,N472)),MAX($M$2:M471)+1,0)</f>
        <v>470</v>
      </c>
      <c r="N472" s="295" t="s">
        <v>2402</v>
      </c>
      <c r="O472" s="310" t="s">
        <v>2403</v>
      </c>
      <c r="Q472" s="297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295" t="s">
        <v>2402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295" t="s">
        <v>2402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295" t="s">
        <v>2402</v>
      </c>
      <c r="Z472" t="str">
        <f>IFERROR(VLOOKUP(ROWS($Z$3:Z472),$X$3:$Y$992,2,0),"")</f>
        <v>Výroba plastových desek, fólií, hadic, trubek a profilů</v>
      </c>
    </row>
    <row r="473" spans="13:26" ht="12.75">
      <c r="M473" s="294">
        <f>IF(ISNUMBER(SEARCH(ZAKL_DATA!$B$29,N473)),MAX($M$2:M472)+1,0)</f>
        <v>471</v>
      </c>
      <c r="N473" s="295" t="s">
        <v>2404</v>
      </c>
      <c r="O473" s="310" t="s">
        <v>2405</v>
      </c>
      <c r="Q473" s="297" t="str">
        <f>IFERROR(VLOOKUP(ROWS($Q$3:Q473),$M$3:$N$992,2,0),"")</f>
        <v>Výroba plastových obalů</v>
      </c>
      <c r="R473">
        <f>IF(ISNUMBER(SEARCH('1Př1'!$A$32,N473)),MAX($M$2:M472)+1,0)</f>
        <v>471</v>
      </c>
      <c r="S473" s="295" t="s">
        <v>2404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295" t="s">
        <v>2404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295" t="s">
        <v>2404</v>
      </c>
      <c r="Z473" t="str">
        <f>IFERROR(VLOOKUP(ROWS($Z$3:Z473),$X$3:$Y$992,2,0),"")</f>
        <v>Výroba plastových obalů</v>
      </c>
    </row>
    <row r="474" spans="13:26" ht="12.75">
      <c r="M474" s="294">
        <f>IF(ISNUMBER(SEARCH(ZAKL_DATA!$B$29,N474)),MAX($M$2:M473)+1,0)</f>
        <v>472</v>
      </c>
      <c r="N474" s="295" t="s">
        <v>2406</v>
      </c>
      <c r="O474" s="310" t="s">
        <v>2407</v>
      </c>
      <c r="Q474" s="297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295" t="s">
        <v>2406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295" t="s">
        <v>2406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295" t="s">
        <v>2406</v>
      </c>
      <c r="Z474" t="str">
        <f>IFERROR(VLOOKUP(ROWS($Z$3:Z474),$X$3:$Y$992,2,0),"")</f>
        <v>Výroba plastových výrobků pro stavebnictví</v>
      </c>
    </row>
    <row r="475" spans="13:26" ht="12.75">
      <c r="M475" s="294">
        <f>IF(ISNUMBER(SEARCH(ZAKL_DATA!$B$29,N475)),MAX($M$2:M474)+1,0)</f>
        <v>473</v>
      </c>
      <c r="N475" s="295" t="s">
        <v>2408</v>
      </c>
      <c r="O475" s="310" t="s">
        <v>2409</v>
      </c>
      <c r="Q475" s="297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295" t="s">
        <v>2408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295" t="s">
        <v>2408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295" t="s">
        <v>2408</v>
      </c>
      <c r="Z475" t="str">
        <f>IFERROR(VLOOKUP(ROWS($Z$3:Z475),$X$3:$Y$992,2,0),"")</f>
        <v>Výroba ostatních plastových výrobků</v>
      </c>
    </row>
    <row r="476" spans="13:26" ht="12.75">
      <c r="M476" s="294">
        <f>IF(ISNUMBER(SEARCH(ZAKL_DATA!$B$29,N476)),MAX($M$2:M475)+1,0)</f>
        <v>474</v>
      </c>
      <c r="N476" s="295" t="s">
        <v>2410</v>
      </c>
      <c r="O476" s="310" t="s">
        <v>2411</v>
      </c>
      <c r="Q476" s="297" t="str">
        <f>IFERROR(VLOOKUP(ROWS($Q$3:Q476),$M$3:$N$992,2,0),"")</f>
        <v>Výroba plochého skla</v>
      </c>
      <c r="R476">
        <f>IF(ISNUMBER(SEARCH('1Př1'!$A$32,N476)),MAX($M$2:M475)+1,0)</f>
        <v>474</v>
      </c>
      <c r="S476" s="295" t="s">
        <v>2410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295" t="s">
        <v>2410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295" t="s">
        <v>2410</v>
      </c>
      <c r="Z476" t="str">
        <f>IFERROR(VLOOKUP(ROWS($Z$3:Z476),$X$3:$Y$992,2,0),"")</f>
        <v>Výroba plochého skla</v>
      </c>
    </row>
    <row r="477" spans="13:26" ht="12.75">
      <c r="M477" s="294">
        <f>IF(ISNUMBER(SEARCH(ZAKL_DATA!$B$29,N477)),MAX($M$2:M476)+1,0)</f>
        <v>475</v>
      </c>
      <c r="N477" s="295" t="s">
        <v>2412</v>
      </c>
      <c r="O477" s="310" t="s">
        <v>2413</v>
      </c>
      <c r="Q477" s="297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295" t="s">
        <v>2412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295" t="s">
        <v>2412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295" t="s">
        <v>2412</v>
      </c>
      <c r="Z477" t="str">
        <f>IFERROR(VLOOKUP(ROWS($Z$3:Z477),$X$3:$Y$992,2,0),"")</f>
        <v>Tvarování a zpracování plochého skla</v>
      </c>
    </row>
    <row r="478" spans="13:26" ht="12.75">
      <c r="M478" s="294">
        <f>IF(ISNUMBER(SEARCH(ZAKL_DATA!$B$29,N478)),MAX($M$2:M477)+1,0)</f>
        <v>476</v>
      </c>
      <c r="N478" s="295" t="s">
        <v>2414</v>
      </c>
      <c r="O478" s="310" t="s">
        <v>2415</v>
      </c>
      <c r="Q478" s="297" t="str">
        <f>IFERROR(VLOOKUP(ROWS($Q$3:Q478),$M$3:$N$992,2,0),"")</f>
        <v>Výroba dutého skla</v>
      </c>
      <c r="R478">
        <f>IF(ISNUMBER(SEARCH('1Př1'!$A$32,N478)),MAX($M$2:M477)+1,0)</f>
        <v>476</v>
      </c>
      <c r="S478" s="295" t="s">
        <v>2414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295" t="s">
        <v>2414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295" t="s">
        <v>2414</v>
      </c>
      <c r="Z478" t="str">
        <f>IFERROR(VLOOKUP(ROWS($Z$3:Z478),$X$3:$Y$992,2,0),"")</f>
        <v>Výroba dutého skla</v>
      </c>
    </row>
    <row r="479" spans="13:26" ht="12.75">
      <c r="M479" s="294">
        <f>IF(ISNUMBER(SEARCH(ZAKL_DATA!$B$29,N479)),MAX($M$2:M478)+1,0)</f>
        <v>477</v>
      </c>
      <c r="N479" s="295" t="s">
        <v>2416</v>
      </c>
      <c r="O479" s="310" t="s">
        <v>2417</v>
      </c>
      <c r="Q479" s="297" t="str">
        <f>IFERROR(VLOOKUP(ROWS($Q$3:Q479),$M$3:$N$992,2,0),"")</f>
        <v>Výroba skleněných vláken</v>
      </c>
      <c r="R479">
        <f>IF(ISNUMBER(SEARCH('1Př1'!$A$32,N479)),MAX($M$2:M478)+1,0)</f>
        <v>477</v>
      </c>
      <c r="S479" s="295" t="s">
        <v>2416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295" t="s">
        <v>2416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295" t="s">
        <v>2416</v>
      </c>
      <c r="Z479" t="str">
        <f>IFERROR(VLOOKUP(ROWS($Z$3:Z479),$X$3:$Y$992,2,0),"")</f>
        <v>Výroba skleněných vláken</v>
      </c>
    </row>
    <row r="480" spans="13:26" ht="12.75">
      <c r="M480" s="294">
        <f>IF(ISNUMBER(SEARCH(ZAKL_DATA!$B$29,N480)),MAX($M$2:M479)+1,0)</f>
        <v>478</v>
      </c>
      <c r="N480" s="295" t="s">
        <v>2418</v>
      </c>
      <c r="O480" s="310" t="s">
        <v>2419</v>
      </c>
      <c r="Q480" s="297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295" t="s">
        <v>2418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295" t="s">
        <v>2418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295" t="s">
        <v>2418</v>
      </c>
      <c r="Z480" t="str">
        <f>IFERROR(VLOOKUP(ROWS($Z$3:Z480),$X$3:$Y$992,2,0),"")</f>
        <v>Výroba a zpracování ostatního skla vč. technického</v>
      </c>
    </row>
    <row r="481" spans="13:26" ht="12.75">
      <c r="M481" s="294">
        <f>IF(ISNUMBER(SEARCH(ZAKL_DATA!$B$29,N481)),MAX($M$2:M480)+1,0)</f>
        <v>479</v>
      </c>
      <c r="N481" s="295" t="s">
        <v>2420</v>
      </c>
      <c r="O481" s="310" t="s">
        <v>2421</v>
      </c>
      <c r="Q481" s="297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295" t="s">
        <v>2420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295" t="s">
        <v>2420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295" t="s">
        <v>2420</v>
      </c>
      <c r="Z481" t="str">
        <f>IFERROR(VLOOKUP(ROWS($Z$3:Z481),$X$3:$Y$992,2,0),"")</f>
        <v>Výroba keramických obkládaček a dlaždic</v>
      </c>
    </row>
    <row r="482" spans="13:26" ht="12.75">
      <c r="M482" s="294">
        <f>IF(ISNUMBER(SEARCH(ZAKL_DATA!$B$29,N482)),MAX($M$2:M481)+1,0)</f>
        <v>480</v>
      </c>
      <c r="N482" s="295" t="s">
        <v>2422</v>
      </c>
      <c r="O482" s="310" t="s">
        <v>2423</v>
      </c>
      <c r="Q482" s="297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295" t="s">
        <v>2422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295" t="s">
        <v>2422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295" t="s">
        <v>2422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294">
        <f>IF(ISNUMBER(SEARCH(ZAKL_DATA!$B$29,N483)),MAX($M$2:M482)+1,0)</f>
        <v>481</v>
      </c>
      <c r="N483" s="295" t="s">
        <v>2424</v>
      </c>
      <c r="O483" s="310" t="s">
        <v>2425</v>
      </c>
      <c r="Q483" s="297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295" t="s">
        <v>2424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295" t="s">
        <v>2424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295" t="s">
        <v>2424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294">
        <f>IF(ISNUMBER(SEARCH(ZAKL_DATA!$B$29,N484)),MAX($M$2:M483)+1,0)</f>
        <v>482</v>
      </c>
      <c r="N484" s="295" t="s">
        <v>2426</v>
      </c>
      <c r="O484" s="310" t="s">
        <v>2427</v>
      </c>
      <c r="Q484" s="297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295" t="s">
        <v>2426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295" t="s">
        <v>2426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295" t="s">
        <v>2426</v>
      </c>
      <c r="Z484" t="str">
        <f>IFERROR(VLOOKUP(ROWS($Z$3:Z484),$X$3:$Y$992,2,0),"")</f>
        <v>Výroba keramických sanitárních výrobků</v>
      </c>
    </row>
    <row r="485" spans="13:26" ht="12.75">
      <c r="M485" s="294">
        <f>IF(ISNUMBER(SEARCH(ZAKL_DATA!$B$29,N485)),MAX($M$2:M484)+1,0)</f>
        <v>483</v>
      </c>
      <c r="N485" s="295" t="s">
        <v>2428</v>
      </c>
      <c r="O485" s="310" t="s">
        <v>2429</v>
      </c>
      <c r="Q485" s="297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295" t="s">
        <v>2428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295" t="s">
        <v>2428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295" t="s">
        <v>2428</v>
      </c>
      <c r="Z485" t="str">
        <f>IFERROR(VLOOKUP(ROWS($Z$3:Z485),$X$3:$Y$992,2,0),"")</f>
        <v>Výroba keramických izolátorů a izolačního příslušenství</v>
      </c>
    </row>
    <row r="486" spans="13:26" ht="12.75">
      <c r="M486" s="294">
        <f>IF(ISNUMBER(SEARCH(ZAKL_DATA!$B$29,N486)),MAX($M$2:M485)+1,0)</f>
        <v>484</v>
      </c>
      <c r="N486" s="295" t="s">
        <v>2430</v>
      </c>
      <c r="O486" s="310" t="s">
        <v>2431</v>
      </c>
      <c r="Q486" s="297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295" t="s">
        <v>2430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295" t="s">
        <v>2430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295" t="s">
        <v>2430</v>
      </c>
      <c r="Z486" t="str">
        <f>IFERROR(VLOOKUP(ROWS($Z$3:Z486),$X$3:$Y$992,2,0),"")</f>
        <v>Výroba ostatních technických keramických výrobků</v>
      </c>
    </row>
    <row r="487" spans="13:26" ht="12.75">
      <c r="M487" s="294">
        <f>IF(ISNUMBER(SEARCH(ZAKL_DATA!$B$29,N487)),MAX($M$2:M486)+1,0)</f>
        <v>485</v>
      </c>
      <c r="N487" s="295" t="s">
        <v>2432</v>
      </c>
      <c r="O487" s="310" t="s">
        <v>2433</v>
      </c>
      <c r="Q487" s="297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295" t="s">
        <v>2432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295" t="s">
        <v>2432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295" t="s">
        <v>2432</v>
      </c>
      <c r="Z487" t="str">
        <f>IFERROR(VLOOKUP(ROWS($Z$3:Z487),$X$3:$Y$992,2,0),"")</f>
        <v>Výroba ostatních keramických výrobků</v>
      </c>
    </row>
    <row r="488" spans="13:26" ht="12.75">
      <c r="M488" s="294">
        <f>IF(ISNUMBER(SEARCH(ZAKL_DATA!$B$29,N488)),MAX($M$2:M487)+1,0)</f>
        <v>486</v>
      </c>
      <c r="N488" s="295" t="s">
        <v>2434</v>
      </c>
      <c r="O488" s="310" t="s">
        <v>2435</v>
      </c>
      <c r="Q488" s="297" t="str">
        <f>IFERROR(VLOOKUP(ROWS($Q$3:Q488),$M$3:$N$992,2,0),"")</f>
        <v>Výroba cementu</v>
      </c>
      <c r="R488">
        <f>IF(ISNUMBER(SEARCH('1Př1'!$A$32,N488)),MAX($M$2:M487)+1,0)</f>
        <v>486</v>
      </c>
      <c r="S488" s="295" t="s">
        <v>2434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295" t="s">
        <v>2434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295" t="s">
        <v>2434</v>
      </c>
      <c r="Z488" t="str">
        <f>IFERROR(VLOOKUP(ROWS($Z$3:Z488),$X$3:$Y$992,2,0),"")</f>
        <v>Výroba cementu</v>
      </c>
    </row>
    <row r="489" spans="13:26" ht="12.75">
      <c r="M489" s="294">
        <f>IF(ISNUMBER(SEARCH(ZAKL_DATA!$B$29,N489)),MAX($M$2:M488)+1,0)</f>
        <v>487</v>
      </c>
      <c r="N489" s="295" t="s">
        <v>2436</v>
      </c>
      <c r="O489" s="310" t="s">
        <v>2437</v>
      </c>
      <c r="Q489" s="297" t="str">
        <f>IFERROR(VLOOKUP(ROWS($Q$3:Q489),$M$3:$N$992,2,0),"")</f>
        <v>Výroba vápna a sádry</v>
      </c>
      <c r="R489">
        <f>IF(ISNUMBER(SEARCH('1Př1'!$A$32,N489)),MAX($M$2:M488)+1,0)</f>
        <v>487</v>
      </c>
      <c r="S489" s="295" t="s">
        <v>2436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295" t="s">
        <v>2436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295" t="s">
        <v>2436</v>
      </c>
      <c r="Z489" t="str">
        <f>IFERROR(VLOOKUP(ROWS($Z$3:Z489),$X$3:$Y$992,2,0),"")</f>
        <v>Výroba vápna a sádry</v>
      </c>
    </row>
    <row r="490" spans="13:26" ht="12.75">
      <c r="M490" s="294">
        <f>IF(ISNUMBER(SEARCH(ZAKL_DATA!$B$29,N490)),MAX($M$2:M489)+1,0)</f>
        <v>488</v>
      </c>
      <c r="N490" s="295" t="s">
        <v>2438</v>
      </c>
      <c r="O490" s="310" t="s">
        <v>2439</v>
      </c>
      <c r="Q490" s="297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295" t="s">
        <v>2438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295" t="s">
        <v>2438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295" t="s">
        <v>2438</v>
      </c>
      <c r="Z490" t="str">
        <f>IFERROR(VLOOKUP(ROWS($Z$3:Z490),$X$3:$Y$992,2,0),"")</f>
        <v>Výroba betonových výrobků pro stavební účely</v>
      </c>
    </row>
    <row r="491" spans="13:26" ht="12.75">
      <c r="M491" s="294">
        <f>IF(ISNUMBER(SEARCH(ZAKL_DATA!$B$29,N491)),MAX($M$2:M490)+1,0)</f>
        <v>489</v>
      </c>
      <c r="N491" s="295" t="s">
        <v>2440</v>
      </c>
      <c r="O491" s="310" t="s">
        <v>2441</v>
      </c>
      <c r="Q491" s="297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295" t="s">
        <v>2440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295" t="s">
        <v>2440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295" t="s">
        <v>2440</v>
      </c>
      <c r="Z491" t="str">
        <f>IFERROR(VLOOKUP(ROWS($Z$3:Z491),$X$3:$Y$992,2,0),"")</f>
        <v>Výroba sádrových výrobků pro stavební účely</v>
      </c>
    </row>
    <row r="492" spans="13:26" ht="12.75">
      <c r="M492" s="294">
        <f>IF(ISNUMBER(SEARCH(ZAKL_DATA!$B$29,N492)),MAX($M$2:M491)+1,0)</f>
        <v>490</v>
      </c>
      <c r="N492" s="295" t="s">
        <v>2442</v>
      </c>
      <c r="O492" s="310" t="s">
        <v>2443</v>
      </c>
      <c r="Q492" s="297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295" t="s">
        <v>2442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295" t="s">
        <v>2442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295" t="s">
        <v>2442</v>
      </c>
      <c r="Z492" t="str">
        <f>IFERROR(VLOOKUP(ROWS($Z$3:Z492),$X$3:$Y$992,2,0),"")</f>
        <v>Výroba betonu připraveného k lití</v>
      </c>
    </row>
    <row r="493" spans="13:26" ht="12.75">
      <c r="M493" s="294">
        <f>IF(ISNUMBER(SEARCH(ZAKL_DATA!$B$29,N493)),MAX($M$2:M492)+1,0)</f>
        <v>491</v>
      </c>
      <c r="N493" s="295" t="s">
        <v>2444</v>
      </c>
      <c r="O493" s="310" t="s">
        <v>2445</v>
      </c>
      <c r="Q493" s="297" t="str">
        <f>IFERROR(VLOOKUP(ROWS($Q$3:Q493),$M$3:$N$992,2,0),"")</f>
        <v>Výroba malt</v>
      </c>
      <c r="R493">
        <f>IF(ISNUMBER(SEARCH('1Př1'!$A$32,N493)),MAX($M$2:M492)+1,0)</f>
        <v>491</v>
      </c>
      <c r="S493" s="295" t="s">
        <v>2444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295" t="s">
        <v>2444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295" t="s">
        <v>2444</v>
      </c>
      <c r="Z493" t="str">
        <f>IFERROR(VLOOKUP(ROWS($Z$3:Z493),$X$3:$Y$992,2,0),"")</f>
        <v>Výroba malt</v>
      </c>
    </row>
    <row r="494" spans="13:26" ht="12.75">
      <c r="M494" s="294">
        <f>IF(ISNUMBER(SEARCH(ZAKL_DATA!$B$29,N494)),MAX($M$2:M493)+1,0)</f>
        <v>492</v>
      </c>
      <c r="N494" s="295" t="s">
        <v>2446</v>
      </c>
      <c r="O494" s="310" t="s">
        <v>2447</v>
      </c>
      <c r="Q494" s="297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295" t="s">
        <v>2446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295" t="s">
        <v>2446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295" t="s">
        <v>2446</v>
      </c>
      <c r="Z494" t="str">
        <f>IFERROR(VLOOKUP(ROWS($Z$3:Z494),$X$3:$Y$992,2,0),"")</f>
        <v>Výroba vláknitých cementů</v>
      </c>
    </row>
    <row r="495" spans="13:26" ht="12.75">
      <c r="M495" s="294">
        <f>IF(ISNUMBER(SEARCH(ZAKL_DATA!$B$29,N495)),MAX($M$2:M494)+1,0)</f>
        <v>493</v>
      </c>
      <c r="N495" s="295" t="s">
        <v>2448</v>
      </c>
      <c r="O495" s="310" t="s">
        <v>2449</v>
      </c>
      <c r="Q495" s="297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295" t="s">
        <v>2448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295" t="s">
        <v>2448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295" t="s">
        <v>2448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294">
        <f>IF(ISNUMBER(SEARCH(ZAKL_DATA!$B$29,N496)),MAX($M$2:M495)+1,0)</f>
        <v>494</v>
      </c>
      <c r="N496" s="295" t="s">
        <v>2450</v>
      </c>
      <c r="O496" s="310" t="s">
        <v>2451</v>
      </c>
      <c r="Q496" s="297" t="str">
        <f>IFERROR(VLOOKUP(ROWS($Q$3:Q496),$M$3:$N$992,2,0),"")</f>
        <v>Výroba brusiv</v>
      </c>
      <c r="R496">
        <f>IF(ISNUMBER(SEARCH('1Př1'!$A$32,N496)),MAX($M$2:M495)+1,0)</f>
        <v>494</v>
      </c>
      <c r="S496" s="295" t="s">
        <v>2450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295" t="s">
        <v>2450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295" t="s">
        <v>2450</v>
      </c>
      <c r="Z496" t="str">
        <f>IFERROR(VLOOKUP(ROWS($Z$3:Z496),$X$3:$Y$992,2,0),"")</f>
        <v>Výroba brusiv</v>
      </c>
    </row>
    <row r="497" spans="13:26" ht="12.75">
      <c r="M497" s="294">
        <f>IF(ISNUMBER(SEARCH(ZAKL_DATA!$B$29,N497)),MAX($M$2:M496)+1,0)</f>
        <v>495</v>
      </c>
      <c r="N497" s="295" t="s">
        <v>2452</v>
      </c>
      <c r="O497" s="310" t="s">
        <v>2453</v>
      </c>
      <c r="Q497" s="297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295" t="s">
        <v>2452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295" t="s">
        <v>2452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295" t="s">
        <v>2452</v>
      </c>
      <c r="Z497" t="str">
        <f>IFERROR(VLOOKUP(ROWS($Z$3:Z497),$X$3:$Y$992,2,0),"")</f>
        <v>Výroba ostatních nekovových minerálních výrobků j.n.</v>
      </c>
    </row>
    <row r="498" spans="13:26" ht="12.75">
      <c r="M498" s="294">
        <f>IF(ISNUMBER(SEARCH(ZAKL_DATA!$B$29,N498)),MAX($M$2:M497)+1,0)</f>
        <v>496</v>
      </c>
      <c r="N498" s="295" t="s">
        <v>2454</v>
      </c>
      <c r="O498" s="310" t="s">
        <v>2455</v>
      </c>
      <c r="Q498" s="297" t="str">
        <f>IFERROR(VLOOKUP(ROWS($Q$3:Q498),$M$3:$N$992,2,0),"")</f>
        <v>Tažení tyčí za studena</v>
      </c>
      <c r="R498">
        <f>IF(ISNUMBER(SEARCH('1Př1'!$A$32,N498)),MAX($M$2:M497)+1,0)</f>
        <v>496</v>
      </c>
      <c r="S498" s="295" t="s">
        <v>2454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295" t="s">
        <v>2454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295" t="s">
        <v>2454</v>
      </c>
      <c r="Z498" t="str">
        <f>IFERROR(VLOOKUP(ROWS($Z$3:Z498),$X$3:$Y$992,2,0),"")</f>
        <v>Tažení tyčí za studena</v>
      </c>
    </row>
    <row r="499" spans="13:26" ht="12.75">
      <c r="M499" s="294">
        <f>IF(ISNUMBER(SEARCH(ZAKL_DATA!$B$29,N499)),MAX($M$2:M498)+1,0)</f>
        <v>497</v>
      </c>
      <c r="N499" s="295" t="s">
        <v>2456</v>
      </c>
      <c r="O499" s="310" t="s">
        <v>2457</v>
      </c>
      <c r="Q499" s="297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295" t="s">
        <v>2456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295" t="s">
        <v>2456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295" t="s">
        <v>2456</v>
      </c>
      <c r="Z499" t="str">
        <f>IFERROR(VLOOKUP(ROWS($Z$3:Z499),$X$3:$Y$992,2,0),"")</f>
        <v>Válcování ocelových úzkých pásů za studena</v>
      </c>
    </row>
    <row r="500" spans="13:26" ht="12.75">
      <c r="M500" s="294">
        <f>IF(ISNUMBER(SEARCH(ZAKL_DATA!$B$29,N500)),MAX($M$2:M499)+1,0)</f>
        <v>498</v>
      </c>
      <c r="N500" s="295" t="s">
        <v>2458</v>
      </c>
      <c r="O500" s="310" t="s">
        <v>2459</v>
      </c>
      <c r="Q500" s="297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295" t="s">
        <v>2458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295" t="s">
        <v>2458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295" t="s">
        <v>2458</v>
      </c>
      <c r="Z500" t="str">
        <f>IFERROR(VLOOKUP(ROWS($Z$3:Z500),$X$3:$Y$992,2,0),"")</f>
        <v>Tváření ocelových profilů za studena</v>
      </c>
    </row>
    <row r="501" spans="13:26" ht="12.75">
      <c r="M501" s="294">
        <f>IF(ISNUMBER(SEARCH(ZAKL_DATA!$B$29,N501)),MAX($M$2:M500)+1,0)</f>
        <v>499</v>
      </c>
      <c r="N501" s="295" t="s">
        <v>2460</v>
      </c>
      <c r="O501" s="310" t="s">
        <v>2461</v>
      </c>
      <c r="Q501" s="297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295" t="s">
        <v>2460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295" t="s">
        <v>2460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295" t="s">
        <v>2460</v>
      </c>
      <c r="Z501" t="str">
        <f>IFERROR(VLOOKUP(ROWS($Z$3:Z501),$X$3:$Y$992,2,0),"")</f>
        <v>Tažení ocelového drátu za studena</v>
      </c>
    </row>
    <row r="502" spans="13:26" ht="12.75">
      <c r="M502" s="294">
        <f>IF(ISNUMBER(SEARCH(ZAKL_DATA!$B$29,N502)),MAX($M$2:M501)+1,0)</f>
        <v>500</v>
      </c>
      <c r="N502" s="295" t="s">
        <v>2462</v>
      </c>
      <c r="O502" s="310" t="s">
        <v>2463</v>
      </c>
      <c r="Q502" s="297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295" t="s">
        <v>2462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295" t="s">
        <v>2462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295" t="s">
        <v>2462</v>
      </c>
      <c r="Z502" t="str">
        <f>IFERROR(VLOOKUP(ROWS($Z$3:Z502),$X$3:$Y$992,2,0),"")</f>
        <v>Výroba a hutní zpracování drahých kovů</v>
      </c>
    </row>
    <row r="503" spans="13:26" ht="12.75">
      <c r="M503" s="294">
        <f>IF(ISNUMBER(SEARCH(ZAKL_DATA!$B$29,N503)),MAX($M$2:M502)+1,0)</f>
        <v>501</v>
      </c>
      <c r="N503" s="295" t="s">
        <v>2464</v>
      </c>
      <c r="O503" s="310" t="s">
        <v>2465</v>
      </c>
      <c r="Q503" s="297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295" t="s">
        <v>2464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295" t="s">
        <v>2464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295" t="s">
        <v>2464</v>
      </c>
      <c r="Z503" t="str">
        <f>IFERROR(VLOOKUP(ROWS($Z$3:Z503),$X$3:$Y$992,2,0),"")</f>
        <v>Výroba a hutní zpracování hliníku</v>
      </c>
    </row>
    <row r="504" spans="13:26" ht="12.75">
      <c r="M504" s="294">
        <f>IF(ISNUMBER(SEARCH(ZAKL_DATA!$B$29,N504)),MAX($M$2:M503)+1,0)</f>
        <v>502</v>
      </c>
      <c r="N504" s="295" t="s">
        <v>2466</v>
      </c>
      <c r="O504" s="310" t="s">
        <v>2467</v>
      </c>
      <c r="Q504" s="297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295" t="s">
        <v>2466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295" t="s">
        <v>2466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295" t="s">
        <v>2466</v>
      </c>
      <c r="Z504" t="str">
        <f>IFERROR(VLOOKUP(ROWS($Z$3:Z504),$X$3:$Y$992,2,0),"")</f>
        <v>Výroba a hutní zpracování olova, zinku a cínu</v>
      </c>
    </row>
    <row r="505" spans="13:26" ht="12.75">
      <c r="M505" s="294">
        <f>IF(ISNUMBER(SEARCH(ZAKL_DATA!$B$29,N505)),MAX($M$2:M504)+1,0)</f>
        <v>503</v>
      </c>
      <c r="N505" s="295" t="s">
        <v>2468</v>
      </c>
      <c r="O505" s="310" t="s">
        <v>2469</v>
      </c>
      <c r="Q505" s="297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295" t="s">
        <v>2468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295" t="s">
        <v>2468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295" t="s">
        <v>2468</v>
      </c>
      <c r="Z505" t="str">
        <f>IFERROR(VLOOKUP(ROWS($Z$3:Z505),$X$3:$Y$992,2,0),"")</f>
        <v>Výroba a hutní zpracování mědi</v>
      </c>
    </row>
    <row r="506" spans="13:26" ht="12.75">
      <c r="M506" s="294">
        <f>IF(ISNUMBER(SEARCH(ZAKL_DATA!$B$29,N506)),MAX($M$2:M505)+1,0)</f>
        <v>504</v>
      </c>
      <c r="N506" s="295" t="s">
        <v>2470</v>
      </c>
      <c r="O506" s="310" t="s">
        <v>2471</v>
      </c>
      <c r="Q506" s="297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295" t="s">
        <v>2470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295" t="s">
        <v>2470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295" t="s">
        <v>2470</v>
      </c>
      <c r="Z506" t="str">
        <f>IFERROR(VLOOKUP(ROWS($Z$3:Z506),$X$3:$Y$992,2,0),"")</f>
        <v>Výroba a hutní zpracování ostatních neželezných kovů</v>
      </c>
    </row>
    <row r="507" spans="13:26" ht="12.75">
      <c r="M507" s="294">
        <f>IF(ISNUMBER(SEARCH(ZAKL_DATA!$B$29,N507)),MAX($M$2:M506)+1,0)</f>
        <v>505</v>
      </c>
      <c r="N507" s="295" t="s">
        <v>2472</v>
      </c>
      <c r="O507" s="310" t="s">
        <v>2473</v>
      </c>
      <c r="Q507" s="297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295" t="s">
        <v>2472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295" t="s">
        <v>2472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295" t="s">
        <v>2472</v>
      </c>
      <c r="Z507" t="str">
        <f>IFERROR(VLOOKUP(ROWS($Z$3:Z507),$X$3:$Y$992,2,0),"")</f>
        <v>Zpracování jaderného paliva</v>
      </c>
    </row>
    <row r="508" spans="13:26" ht="12.75">
      <c r="M508" s="294">
        <f>IF(ISNUMBER(SEARCH(ZAKL_DATA!$B$29,N508)),MAX($M$2:M507)+1,0)</f>
        <v>506</v>
      </c>
      <c r="N508" s="295" t="s">
        <v>2474</v>
      </c>
      <c r="O508" s="310" t="s">
        <v>2475</v>
      </c>
      <c r="Q508" s="297" t="str">
        <f>IFERROR(VLOOKUP(ROWS($Q$3:Q508),$M$3:$N$992,2,0),"")</f>
        <v>Výroba odlitků z litiny</v>
      </c>
      <c r="R508">
        <f>IF(ISNUMBER(SEARCH('1Př1'!$A$32,N508)),MAX($M$2:M507)+1,0)</f>
        <v>506</v>
      </c>
      <c r="S508" s="295" t="s">
        <v>2474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295" t="s">
        <v>2474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295" t="s">
        <v>2474</v>
      </c>
      <c r="Z508" t="str">
        <f>IFERROR(VLOOKUP(ROWS($Z$3:Z508),$X$3:$Y$992,2,0),"")</f>
        <v>Výroba odlitků z litiny</v>
      </c>
    </row>
    <row r="509" spans="13:26" ht="12.75">
      <c r="M509" s="294">
        <f>IF(ISNUMBER(SEARCH(ZAKL_DATA!$B$29,N509)),MAX($M$2:M508)+1,0)</f>
        <v>507</v>
      </c>
      <c r="N509" s="295" t="s">
        <v>2476</v>
      </c>
      <c r="O509" s="310" t="s">
        <v>2477</v>
      </c>
      <c r="Q509" s="297" t="str">
        <f>IFERROR(VLOOKUP(ROWS($Q$3:Q509),$M$3:$N$992,2,0),"")</f>
        <v>Výroba odlitků z oceli</v>
      </c>
      <c r="R509">
        <f>IF(ISNUMBER(SEARCH('1Př1'!$A$32,N509)),MAX($M$2:M508)+1,0)</f>
        <v>507</v>
      </c>
      <c r="S509" s="295" t="s">
        <v>2476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295" t="s">
        <v>2476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295" t="s">
        <v>2476</v>
      </c>
      <c r="Z509" t="str">
        <f>IFERROR(VLOOKUP(ROWS($Z$3:Z509),$X$3:$Y$992,2,0),"")</f>
        <v>Výroba odlitků z oceli</v>
      </c>
    </row>
    <row r="510" spans="13:26" ht="12.75">
      <c r="M510" s="294">
        <f>IF(ISNUMBER(SEARCH(ZAKL_DATA!$B$29,N510)),MAX($M$2:M509)+1,0)</f>
        <v>508</v>
      </c>
      <c r="N510" s="295" t="s">
        <v>2478</v>
      </c>
      <c r="O510" s="310" t="s">
        <v>2479</v>
      </c>
      <c r="Q510" s="297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295" t="s">
        <v>2478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295" t="s">
        <v>2478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295" t="s">
        <v>2478</v>
      </c>
      <c r="Z510" t="str">
        <f>IFERROR(VLOOKUP(ROWS($Z$3:Z510),$X$3:$Y$992,2,0),"")</f>
        <v>Výroba odlitků z lehkých neželezných kovů</v>
      </c>
    </row>
    <row r="511" spans="13:26" ht="12.75">
      <c r="M511" s="294">
        <f>IF(ISNUMBER(SEARCH(ZAKL_DATA!$B$29,N511)),MAX($M$2:M510)+1,0)</f>
        <v>509</v>
      </c>
      <c r="N511" s="295" t="s">
        <v>2480</v>
      </c>
      <c r="O511" s="310" t="s">
        <v>2481</v>
      </c>
      <c r="Q511" s="297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295" t="s">
        <v>2480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295" t="s">
        <v>2480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295" t="s">
        <v>2480</v>
      </c>
      <c r="Z511" t="str">
        <f>IFERROR(VLOOKUP(ROWS($Z$3:Z511),$X$3:$Y$992,2,0),"")</f>
        <v>Výroba odlitků z ostatních neželezných kovů</v>
      </c>
    </row>
    <row r="512" spans="13:26" ht="12.75">
      <c r="M512" s="294">
        <f>IF(ISNUMBER(SEARCH(ZAKL_DATA!$B$29,N512)),MAX($M$2:M511)+1,0)</f>
        <v>510</v>
      </c>
      <c r="N512" s="295" t="s">
        <v>2482</v>
      </c>
      <c r="O512" s="310" t="s">
        <v>2483</v>
      </c>
      <c r="Q512" s="297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295" t="s">
        <v>2482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295" t="s">
        <v>2482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295" t="s">
        <v>2482</v>
      </c>
      <c r="Z512" t="str">
        <f>IFERROR(VLOOKUP(ROWS($Z$3:Z512),$X$3:$Y$992,2,0),"")</f>
        <v>Výroba kovových konstrukcí a jejich dílů</v>
      </c>
    </row>
    <row r="513" spans="13:26" ht="12.75">
      <c r="M513" s="294">
        <f>IF(ISNUMBER(SEARCH(ZAKL_DATA!$B$29,N513)),MAX($M$2:M512)+1,0)</f>
        <v>511</v>
      </c>
      <c r="N513" s="295" t="s">
        <v>2484</v>
      </c>
      <c r="O513" s="310" t="s">
        <v>2485</v>
      </c>
      <c r="Q513" s="297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295" t="s">
        <v>2484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295" t="s">
        <v>2484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295" t="s">
        <v>2484</v>
      </c>
      <c r="Z513" t="str">
        <f>IFERROR(VLOOKUP(ROWS($Z$3:Z513),$X$3:$Y$992,2,0),"")</f>
        <v>Výroba kovových dveří a oken</v>
      </c>
    </row>
    <row r="514" spans="13:26" ht="12.75">
      <c r="M514" s="294">
        <f>IF(ISNUMBER(SEARCH(ZAKL_DATA!$B$29,N514)),MAX($M$2:M513)+1,0)</f>
        <v>512</v>
      </c>
      <c r="N514" s="295" t="s">
        <v>2486</v>
      </c>
      <c r="O514" s="310" t="s">
        <v>2487</v>
      </c>
      <c r="Q514" s="297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295" t="s">
        <v>2486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295" t="s">
        <v>2486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295" t="s">
        <v>2486</v>
      </c>
      <c r="Z514" t="str">
        <f>IFERROR(VLOOKUP(ROWS($Z$3:Z514),$X$3:$Y$992,2,0),"")</f>
        <v>Výroba radiátorů a kotlů k ústřednímu topení</v>
      </c>
    </row>
    <row r="515" spans="13:26" ht="12.75">
      <c r="M515" s="294">
        <f>IF(ISNUMBER(SEARCH(ZAKL_DATA!$B$29,N515)),MAX($M$2:M514)+1,0)</f>
        <v>513</v>
      </c>
      <c r="N515" s="295" t="s">
        <v>2488</v>
      </c>
      <c r="O515" s="310" t="s">
        <v>2489</v>
      </c>
      <c r="Q515" s="297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295" t="s">
        <v>2488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295" t="s">
        <v>2488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295" t="s">
        <v>2488</v>
      </c>
      <c r="Z515" t="str">
        <f>IFERROR(VLOOKUP(ROWS($Z$3:Z515),$X$3:$Y$992,2,0),"")</f>
        <v>Výroba kovových nádrží a zásobníků</v>
      </c>
    </row>
    <row r="516" spans="13:26" ht="12.75">
      <c r="M516" s="294">
        <f>IF(ISNUMBER(SEARCH(ZAKL_DATA!$B$29,N516)),MAX($M$2:M515)+1,0)</f>
        <v>514</v>
      </c>
      <c r="N516" s="295" t="s">
        <v>2490</v>
      </c>
      <c r="O516" s="310" t="s">
        <v>2491</v>
      </c>
      <c r="Q516" s="297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295" t="s">
        <v>2490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295" t="s">
        <v>2490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295" t="s">
        <v>2490</v>
      </c>
      <c r="Z516" t="str">
        <f>IFERROR(VLOOKUP(ROWS($Z$3:Z516),$X$3:$Y$992,2,0),"")</f>
        <v>Povrchová úprava a zušlechťování kovů</v>
      </c>
    </row>
    <row r="517" spans="13:26" ht="12.75">
      <c r="M517" s="294">
        <f>IF(ISNUMBER(SEARCH(ZAKL_DATA!$B$29,N517)),MAX($M$2:M516)+1,0)</f>
        <v>515</v>
      </c>
      <c r="N517" s="295" t="s">
        <v>2492</v>
      </c>
      <c r="O517" s="310" t="s">
        <v>2493</v>
      </c>
      <c r="Q517" s="297" t="str">
        <f>IFERROR(VLOOKUP(ROWS($Q$3:Q517),$M$3:$N$992,2,0),"")</f>
        <v>Obrábění</v>
      </c>
      <c r="R517">
        <f>IF(ISNUMBER(SEARCH('1Př1'!$A$32,N517)),MAX($M$2:M516)+1,0)</f>
        <v>515</v>
      </c>
      <c r="S517" s="295" t="s">
        <v>2492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295" t="s">
        <v>2492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295" t="s">
        <v>2492</v>
      </c>
      <c r="Z517" t="str">
        <f>IFERROR(VLOOKUP(ROWS($Z$3:Z517),$X$3:$Y$992,2,0),"")</f>
        <v>Obrábění</v>
      </c>
    </row>
    <row r="518" spans="13:26" ht="12.75">
      <c r="M518" s="294">
        <f>IF(ISNUMBER(SEARCH(ZAKL_DATA!$B$29,N518)),MAX($M$2:M517)+1,0)</f>
        <v>516</v>
      </c>
      <c r="N518" s="295" t="s">
        <v>2494</v>
      </c>
      <c r="O518" s="310" t="s">
        <v>2495</v>
      </c>
      <c r="Q518" s="297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295" t="s">
        <v>2494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295" t="s">
        <v>2494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295" t="s">
        <v>2494</v>
      </c>
      <c r="Z518" t="str">
        <f>IFERROR(VLOOKUP(ROWS($Z$3:Z518),$X$3:$Y$992,2,0),"")</f>
        <v>Výroba nožířských výrobků</v>
      </c>
    </row>
    <row r="519" spans="13:26" ht="12.75">
      <c r="M519" s="294">
        <f>IF(ISNUMBER(SEARCH(ZAKL_DATA!$B$29,N519)),MAX($M$2:M518)+1,0)</f>
        <v>517</v>
      </c>
      <c r="N519" s="295" t="s">
        <v>2496</v>
      </c>
      <c r="O519" s="310" t="s">
        <v>2497</v>
      </c>
      <c r="Q519" s="297" t="str">
        <f>IFERROR(VLOOKUP(ROWS($Q$3:Q519),$M$3:$N$992,2,0),"")</f>
        <v>Výroba zámků a kování</v>
      </c>
      <c r="R519">
        <f>IF(ISNUMBER(SEARCH('1Př1'!$A$32,N519)),MAX($M$2:M518)+1,0)</f>
        <v>517</v>
      </c>
      <c r="S519" s="295" t="s">
        <v>2496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295" t="s">
        <v>2496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295" t="s">
        <v>2496</v>
      </c>
      <c r="Z519" t="str">
        <f>IFERROR(VLOOKUP(ROWS($Z$3:Z519),$X$3:$Y$992,2,0),"")</f>
        <v>Výroba zámků a kování</v>
      </c>
    </row>
    <row r="520" spans="13:26" ht="12.75">
      <c r="M520" s="294">
        <f>IF(ISNUMBER(SEARCH(ZAKL_DATA!$B$29,N520)),MAX($M$2:M519)+1,0)</f>
        <v>518</v>
      </c>
      <c r="N520" s="295" t="s">
        <v>2498</v>
      </c>
      <c r="O520" s="310" t="s">
        <v>2499</v>
      </c>
      <c r="Q520" s="297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295" t="s">
        <v>2498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295" t="s">
        <v>2498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295" t="s">
        <v>2498</v>
      </c>
      <c r="Z520" t="str">
        <f>IFERROR(VLOOKUP(ROWS($Z$3:Z520),$X$3:$Y$992,2,0),"")</f>
        <v>Výroba nástrojů a nářadí</v>
      </c>
    </row>
    <row r="521" spans="13:26" ht="12.75">
      <c r="M521" s="294">
        <f>IF(ISNUMBER(SEARCH(ZAKL_DATA!$B$29,N521)),MAX($M$2:M520)+1,0)</f>
        <v>519</v>
      </c>
      <c r="N521" s="295" t="s">
        <v>2500</v>
      </c>
      <c r="O521" s="310" t="s">
        <v>2501</v>
      </c>
      <c r="Q521" s="297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295" t="s">
        <v>2500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295" t="s">
        <v>2500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295" t="s">
        <v>2500</v>
      </c>
      <c r="Z521" t="str">
        <f>IFERROR(VLOOKUP(ROWS($Z$3:Z521),$X$3:$Y$992,2,0),"")</f>
        <v>Výroba ocelových sudů a podobných nádob</v>
      </c>
    </row>
    <row r="522" spans="13:26" ht="12.75">
      <c r="M522" s="294">
        <f>IF(ISNUMBER(SEARCH(ZAKL_DATA!$B$29,N522)),MAX($M$2:M521)+1,0)</f>
        <v>520</v>
      </c>
      <c r="N522" s="295" t="s">
        <v>2502</v>
      </c>
      <c r="O522" s="310" t="s">
        <v>2503</v>
      </c>
      <c r="Q522" s="297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295" t="s">
        <v>2502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295" t="s">
        <v>2502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295" t="s">
        <v>2502</v>
      </c>
      <c r="Z522" t="str">
        <f>IFERROR(VLOOKUP(ROWS($Z$3:Z522),$X$3:$Y$992,2,0),"")</f>
        <v>Výroba drobných kovových obalů</v>
      </c>
    </row>
    <row r="523" spans="13:26" ht="12.75">
      <c r="M523" s="294">
        <f>IF(ISNUMBER(SEARCH(ZAKL_DATA!$B$29,N523)),MAX($M$2:M522)+1,0)</f>
        <v>521</v>
      </c>
      <c r="N523" s="295" t="s">
        <v>2504</v>
      </c>
      <c r="O523" s="310" t="s">
        <v>2505</v>
      </c>
      <c r="Q523" s="297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295" t="s">
        <v>2504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295" t="s">
        <v>2504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295" t="s">
        <v>2504</v>
      </c>
      <c r="Z523" t="str">
        <f>IFERROR(VLOOKUP(ROWS($Z$3:Z523),$X$3:$Y$992,2,0),"")</f>
        <v>Výroba drátěných výrobků, řetězů a pružin</v>
      </c>
    </row>
    <row r="524" spans="13:26" ht="12.75">
      <c r="M524" s="294">
        <f>IF(ISNUMBER(SEARCH(ZAKL_DATA!$B$29,N524)),MAX($M$2:M523)+1,0)</f>
        <v>522</v>
      </c>
      <c r="N524" s="295" t="s">
        <v>2506</v>
      </c>
      <c r="O524" s="310" t="s">
        <v>2507</v>
      </c>
      <c r="Q524" s="297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295" t="s">
        <v>2506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295" t="s">
        <v>2506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295" t="s">
        <v>2506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294">
        <f>IF(ISNUMBER(SEARCH(ZAKL_DATA!$B$29,N525)),MAX($M$2:M524)+1,0)</f>
        <v>523</v>
      </c>
      <c r="N525" s="295" t="s">
        <v>2508</v>
      </c>
      <c r="O525" s="310" t="s">
        <v>2509</v>
      </c>
      <c r="Q525" s="297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295" t="s">
        <v>2508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295" t="s">
        <v>2508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295" t="s">
        <v>2508</v>
      </c>
      <c r="Z525" t="str">
        <f>IFERROR(VLOOKUP(ROWS($Z$3:Z525),$X$3:$Y$992,2,0),"")</f>
        <v>Výroba ostatních kovodělných výrobků j. n.</v>
      </c>
    </row>
    <row r="526" spans="13:26" ht="12.75">
      <c r="M526" s="294">
        <f>IF(ISNUMBER(SEARCH(ZAKL_DATA!$B$29,N526)),MAX($M$2:M525)+1,0)</f>
        <v>524</v>
      </c>
      <c r="N526" s="295" t="s">
        <v>2510</v>
      </c>
      <c r="O526" s="310" t="s">
        <v>2511</v>
      </c>
      <c r="Q526" s="297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295" t="s">
        <v>2510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295" t="s">
        <v>2510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295" t="s">
        <v>2510</v>
      </c>
      <c r="Z526" t="str">
        <f>IFERROR(VLOOKUP(ROWS($Z$3:Z526),$X$3:$Y$992,2,0),"")</f>
        <v>Výroba elektronických součástek</v>
      </c>
    </row>
    <row r="527" spans="13:26" ht="12.75">
      <c r="M527" s="294">
        <f>IF(ISNUMBER(SEARCH(ZAKL_DATA!$B$29,N527)),MAX($M$2:M526)+1,0)</f>
        <v>525</v>
      </c>
      <c r="N527" s="295" t="s">
        <v>2512</v>
      </c>
      <c r="O527" s="310" t="s">
        <v>2513</v>
      </c>
      <c r="Q527" s="297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295" t="s">
        <v>2512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295" t="s">
        <v>2512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295" t="s">
        <v>2512</v>
      </c>
      <c r="Z527" t="str">
        <f>IFERROR(VLOOKUP(ROWS($Z$3:Z527),$X$3:$Y$992,2,0),"")</f>
        <v>Výroba osazených elektronických desek</v>
      </c>
    </row>
    <row r="528" spans="13:26" ht="12.75">
      <c r="M528" s="294">
        <f>IF(ISNUMBER(SEARCH(ZAKL_DATA!$B$29,N528)),MAX($M$2:M527)+1,0)</f>
        <v>526</v>
      </c>
      <c r="N528" s="295" t="s">
        <v>2514</v>
      </c>
      <c r="O528" s="310" t="s">
        <v>2515</v>
      </c>
      <c r="Q528" s="297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295" t="s">
        <v>2514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295" t="s">
        <v>2514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295" t="s">
        <v>2514</v>
      </c>
      <c r="Z528" t="str">
        <f>IFERROR(VLOOKUP(ROWS($Z$3:Z528),$X$3:$Y$992,2,0),"")</f>
        <v>Výroba měřicích, zkušebních a navigačních přístrojů</v>
      </c>
    </row>
    <row r="529" spans="13:26" ht="12.75">
      <c r="M529" s="294">
        <f>IF(ISNUMBER(SEARCH(ZAKL_DATA!$B$29,N529)),MAX($M$2:M528)+1,0)</f>
        <v>527</v>
      </c>
      <c r="N529" s="295" t="s">
        <v>2516</v>
      </c>
      <c r="O529" s="310" t="s">
        <v>2517</v>
      </c>
      <c r="Q529" s="297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295" t="s">
        <v>2516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295" t="s">
        <v>2516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295" t="s">
        <v>2516</v>
      </c>
      <c r="Z529" t="str">
        <f>IFERROR(VLOOKUP(ROWS($Z$3:Z529),$X$3:$Y$992,2,0),"")</f>
        <v>Výroba časoměrných přístrojů</v>
      </c>
    </row>
    <row r="530" spans="13:26" ht="12.75">
      <c r="M530" s="294">
        <f>IF(ISNUMBER(SEARCH(ZAKL_DATA!$B$29,N530)),MAX($M$2:M529)+1,0)</f>
        <v>528</v>
      </c>
      <c r="N530" s="295" t="s">
        <v>2518</v>
      </c>
      <c r="O530" s="310" t="s">
        <v>2519</v>
      </c>
      <c r="Q530" s="297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295" t="s">
        <v>2518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295" t="s">
        <v>2518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295" t="s">
        <v>2518</v>
      </c>
      <c r="Z530" t="str">
        <f>IFERROR(VLOOKUP(ROWS($Z$3:Z530),$X$3:$Y$992,2,0),"")</f>
        <v>Výroba elektrických motorů, generátorů a transformátorů</v>
      </c>
    </row>
    <row r="531" spans="13:26" ht="12.75">
      <c r="M531" s="294">
        <f>IF(ISNUMBER(SEARCH(ZAKL_DATA!$B$29,N531)),MAX($M$2:M530)+1,0)</f>
        <v>529</v>
      </c>
      <c r="N531" s="295" t="s">
        <v>2520</v>
      </c>
      <c r="O531" s="310" t="s">
        <v>2521</v>
      </c>
      <c r="Q531" s="297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295" t="s">
        <v>2520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295" t="s">
        <v>2520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295" t="s">
        <v>2520</v>
      </c>
      <c r="Z531" t="str">
        <f>IFERROR(VLOOKUP(ROWS($Z$3:Z531),$X$3:$Y$992,2,0),"")</f>
        <v>Výroba elektrických rozvodných a kontrolních zařízení</v>
      </c>
    </row>
    <row r="532" spans="13:26" ht="12.75">
      <c r="M532" s="294">
        <f>IF(ISNUMBER(SEARCH(ZAKL_DATA!$B$29,N532)),MAX($M$2:M531)+1,0)</f>
        <v>530</v>
      </c>
      <c r="N532" s="295" t="s">
        <v>2522</v>
      </c>
      <c r="O532" s="310" t="s">
        <v>2523</v>
      </c>
      <c r="Q532" s="297" t="str">
        <f>IFERROR(VLOOKUP(ROWS($Q$3:Q532),$M$3:$N$992,2,0),"")</f>
        <v>Výroba optických kabelů</v>
      </c>
      <c r="R532">
        <f>IF(ISNUMBER(SEARCH('1Př1'!$A$32,N532)),MAX($M$2:M531)+1,0)</f>
        <v>530</v>
      </c>
      <c r="S532" s="295" t="s">
        <v>2522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295" t="s">
        <v>2522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295" t="s">
        <v>2522</v>
      </c>
      <c r="Z532" t="str">
        <f>IFERROR(VLOOKUP(ROWS($Z$3:Z532),$X$3:$Y$992,2,0),"")</f>
        <v>Výroba optických kabelů</v>
      </c>
    </row>
    <row r="533" spans="13:26" ht="12.75">
      <c r="M533" s="294">
        <f>IF(ISNUMBER(SEARCH(ZAKL_DATA!$B$29,N533)),MAX($M$2:M532)+1,0)</f>
        <v>531</v>
      </c>
      <c r="N533" s="295" t="s">
        <v>2524</v>
      </c>
      <c r="O533" s="310" t="s">
        <v>2525</v>
      </c>
      <c r="Q533" s="297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295" t="s">
        <v>2524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295" t="s">
        <v>2524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295" t="s">
        <v>2524</v>
      </c>
      <c r="Z533" t="str">
        <f>IFERROR(VLOOKUP(ROWS($Z$3:Z533),$X$3:$Y$992,2,0),"")</f>
        <v>Výroba elektrických vodičů a kabelů j. n.</v>
      </c>
    </row>
    <row r="534" spans="13:26" ht="12.75">
      <c r="M534" s="294">
        <f>IF(ISNUMBER(SEARCH(ZAKL_DATA!$B$29,N534)),MAX($M$2:M533)+1,0)</f>
        <v>532</v>
      </c>
      <c r="N534" s="295" t="s">
        <v>2526</v>
      </c>
      <c r="O534" s="310" t="s">
        <v>2527</v>
      </c>
      <c r="Q534" s="297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295" t="s">
        <v>2526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295" t="s">
        <v>2526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295" t="s">
        <v>2526</v>
      </c>
      <c r="Z534" t="str">
        <f>IFERROR(VLOOKUP(ROWS($Z$3:Z534),$X$3:$Y$992,2,0),"")</f>
        <v>Výroba elektroinstalačních zařízení</v>
      </c>
    </row>
    <row r="535" spans="13:26" ht="12.75">
      <c r="M535" s="294">
        <f>IF(ISNUMBER(SEARCH(ZAKL_DATA!$B$29,N535)),MAX($M$2:M534)+1,0)</f>
        <v>533</v>
      </c>
      <c r="N535" s="295" t="s">
        <v>2528</v>
      </c>
      <c r="O535" s="310" t="s">
        <v>2529</v>
      </c>
      <c r="Q535" s="297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295" t="s">
        <v>2528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295" t="s">
        <v>2528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295" t="s">
        <v>2528</v>
      </c>
      <c r="Z535" t="str">
        <f>IFERROR(VLOOKUP(ROWS($Z$3:Z535),$X$3:$Y$992,2,0),"")</f>
        <v>Výroba elektrických spotřebičů převážně pro domácnost</v>
      </c>
    </row>
    <row r="536" spans="13:26" ht="12.75">
      <c r="M536" s="294">
        <f>IF(ISNUMBER(SEARCH(ZAKL_DATA!$B$29,N536)),MAX($M$2:M535)+1,0)</f>
        <v>534</v>
      </c>
      <c r="N536" s="295" t="s">
        <v>2530</v>
      </c>
      <c r="O536" s="310" t="s">
        <v>2531</v>
      </c>
      <c r="Q536" s="297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295" t="s">
        <v>2530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295" t="s">
        <v>2530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295" t="s">
        <v>2530</v>
      </c>
      <c r="Z536" t="str">
        <f>IFERROR(VLOOKUP(ROWS($Z$3:Z536),$X$3:$Y$992,2,0),"")</f>
        <v>Výroba neelektrických spotřebičů převážně pro domácnost</v>
      </c>
    </row>
    <row r="537" spans="13:26" ht="12.75">
      <c r="M537" s="294">
        <f>IF(ISNUMBER(SEARCH(ZAKL_DATA!$B$29,N537)),MAX($M$2:M536)+1,0)</f>
        <v>535</v>
      </c>
      <c r="N537" s="295" t="s">
        <v>2532</v>
      </c>
      <c r="O537" s="310" t="s">
        <v>2533</v>
      </c>
      <c r="Q537" s="297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295" t="s">
        <v>2532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295" t="s">
        <v>2532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295" t="s">
        <v>2532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294">
        <f>IF(ISNUMBER(SEARCH(ZAKL_DATA!$B$29,N538)),MAX($M$2:M537)+1,0)</f>
        <v>536</v>
      </c>
      <c r="N538" s="295" t="s">
        <v>2534</v>
      </c>
      <c r="O538" s="310" t="s">
        <v>2535</v>
      </c>
      <c r="Q538" s="297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295" t="s">
        <v>2534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295" t="s">
        <v>2534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295" t="s">
        <v>2534</v>
      </c>
      <c r="Z538" t="str">
        <f>IFERROR(VLOOKUP(ROWS($Z$3:Z538),$X$3:$Y$992,2,0),"")</f>
        <v>Výroba hydraulických a pneumatických zařízení</v>
      </c>
    </row>
    <row r="539" spans="13:26" ht="12.75">
      <c r="M539" s="294">
        <f>IF(ISNUMBER(SEARCH(ZAKL_DATA!$B$29,N539)),MAX($M$2:M538)+1,0)</f>
        <v>537</v>
      </c>
      <c r="N539" s="295" t="s">
        <v>2536</v>
      </c>
      <c r="O539" s="310" t="s">
        <v>2537</v>
      </c>
      <c r="Q539" s="297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295" t="s">
        <v>2536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295" t="s">
        <v>2536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295" t="s">
        <v>2536</v>
      </c>
      <c r="Z539" t="str">
        <f>IFERROR(VLOOKUP(ROWS($Z$3:Z539),$X$3:$Y$992,2,0),"")</f>
        <v>Výroba ostatních čerpadel a kompresorů</v>
      </c>
    </row>
    <row r="540" spans="13:26" ht="12.75">
      <c r="M540" s="294">
        <f>IF(ISNUMBER(SEARCH(ZAKL_DATA!$B$29,N540)),MAX($M$2:M539)+1,0)</f>
        <v>538</v>
      </c>
      <c r="N540" s="295" t="s">
        <v>2538</v>
      </c>
      <c r="O540" s="310" t="s">
        <v>2539</v>
      </c>
      <c r="Q540" s="297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295" t="s">
        <v>2538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295" t="s">
        <v>2538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295" t="s">
        <v>2538</v>
      </c>
      <c r="Z540" t="str">
        <f>IFERROR(VLOOKUP(ROWS($Z$3:Z540),$X$3:$Y$992,2,0),"")</f>
        <v>Výroba ostatních potrubních armatur</v>
      </c>
    </row>
    <row r="541" spans="13:26" ht="12.75">
      <c r="M541" s="294">
        <f>IF(ISNUMBER(SEARCH(ZAKL_DATA!$B$29,N541)),MAX($M$2:M540)+1,0)</f>
        <v>539</v>
      </c>
      <c r="N541" s="295" t="s">
        <v>2540</v>
      </c>
      <c r="O541" s="310" t="s">
        <v>2541</v>
      </c>
      <c r="Q541" s="297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295" t="s">
        <v>2540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295" t="s">
        <v>2540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295" t="s">
        <v>2540</v>
      </c>
      <c r="Z541" t="str">
        <f>IFERROR(VLOOKUP(ROWS($Z$3:Z541),$X$3:$Y$992,2,0),"")</f>
        <v>Výroba ložisek, ozubených kol, převodů a hnacích prvků</v>
      </c>
    </row>
    <row r="542" spans="13:26" ht="12.75">
      <c r="M542" s="294">
        <f>IF(ISNUMBER(SEARCH(ZAKL_DATA!$B$29,N542)),MAX($M$2:M541)+1,0)</f>
        <v>540</v>
      </c>
      <c r="N542" s="295" t="s">
        <v>2542</v>
      </c>
      <c r="O542" s="310" t="s">
        <v>2543</v>
      </c>
      <c r="Q542" s="297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295" t="s">
        <v>2542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295" t="s">
        <v>2542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295" t="s">
        <v>2542</v>
      </c>
      <c r="Z542" t="str">
        <f>IFERROR(VLOOKUP(ROWS($Z$3:Z542),$X$3:$Y$992,2,0),"")</f>
        <v>Výroba pecí a hořáků pro topeniště</v>
      </c>
    </row>
    <row r="543" spans="13:26" ht="12.75">
      <c r="M543" s="294">
        <f>IF(ISNUMBER(SEARCH(ZAKL_DATA!$B$29,N543)),MAX($M$2:M542)+1,0)</f>
        <v>541</v>
      </c>
      <c r="N543" s="295" t="s">
        <v>2544</v>
      </c>
      <c r="O543" s="310" t="s">
        <v>2545</v>
      </c>
      <c r="Q543" s="297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295" t="s">
        <v>2544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295" t="s">
        <v>2544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295" t="s">
        <v>2544</v>
      </c>
      <c r="Z543" t="str">
        <f>IFERROR(VLOOKUP(ROWS($Z$3:Z543),$X$3:$Y$992,2,0),"")</f>
        <v>Výroba zdvihacích a manipulačních zařízení</v>
      </c>
    </row>
    <row r="544" spans="13:26" ht="12.75">
      <c r="M544" s="294">
        <f>IF(ISNUMBER(SEARCH(ZAKL_DATA!$B$29,N544)),MAX($M$2:M543)+1,0)</f>
        <v>542</v>
      </c>
      <c r="N544" s="295" t="s">
        <v>2546</v>
      </c>
      <c r="O544" s="310" t="s">
        <v>2547</v>
      </c>
      <c r="Q544" s="297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295" t="s">
        <v>2546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295" t="s">
        <v>2546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295" t="s">
        <v>2546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294">
        <f>IF(ISNUMBER(SEARCH(ZAKL_DATA!$B$29,N545)),MAX($M$2:M544)+1,0)</f>
        <v>543</v>
      </c>
      <c r="N545" s="295" t="s">
        <v>2548</v>
      </c>
      <c r="O545" s="310" t="s">
        <v>2549</v>
      </c>
      <c r="Q545" s="297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295" t="s">
        <v>2548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295" t="s">
        <v>2548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295" t="s">
        <v>2548</v>
      </c>
      <c r="Z545" t="str">
        <f>IFERROR(VLOOKUP(ROWS($Z$3:Z545),$X$3:$Y$992,2,0),"")</f>
        <v>Výroba ručních mechanizovaných nástrojů</v>
      </c>
    </row>
    <row r="546" spans="13:26" ht="12.75">
      <c r="M546" s="294">
        <f>IF(ISNUMBER(SEARCH(ZAKL_DATA!$B$29,N546)),MAX($M$2:M545)+1,0)</f>
        <v>544</v>
      </c>
      <c r="N546" s="295" t="s">
        <v>2550</v>
      </c>
      <c r="O546" s="310" t="s">
        <v>2551</v>
      </c>
      <c r="Q546" s="297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295" t="s">
        <v>2550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295" t="s">
        <v>2550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295" t="s">
        <v>2550</v>
      </c>
      <c r="Z546" t="str">
        <f>IFERROR(VLOOKUP(ROWS($Z$3:Z546),$X$3:$Y$992,2,0),"")</f>
        <v>Výroba průmyslových chladicích a klimatizačních zařízení</v>
      </c>
    </row>
    <row r="547" spans="13:26" ht="12.75">
      <c r="M547" s="294">
        <f>IF(ISNUMBER(SEARCH(ZAKL_DATA!$B$29,N547)),MAX($M$2:M546)+1,0)</f>
        <v>545</v>
      </c>
      <c r="N547" s="295" t="s">
        <v>2552</v>
      </c>
      <c r="O547" s="310" t="s">
        <v>2553</v>
      </c>
      <c r="Q547" s="297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295" t="s">
        <v>2552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295" t="s">
        <v>2552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295" t="s">
        <v>2552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294">
        <f>IF(ISNUMBER(SEARCH(ZAKL_DATA!$B$29,N548)),MAX($M$2:M547)+1,0)</f>
        <v>546</v>
      </c>
      <c r="N548" s="295" t="s">
        <v>2554</v>
      </c>
      <c r="O548" s="310" t="s">
        <v>2555</v>
      </c>
      <c r="Q548" s="297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295" t="s">
        <v>2554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295" t="s">
        <v>2554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295" t="s">
        <v>2554</v>
      </c>
      <c r="Z548" t="str">
        <f>IFERROR(VLOOKUP(ROWS($Z$3:Z548),$X$3:$Y$992,2,0),"")</f>
        <v>Výroba kovoobráběcích strojů</v>
      </c>
    </row>
    <row r="549" spans="13:26" ht="12.75">
      <c r="M549" s="294">
        <f>IF(ISNUMBER(SEARCH(ZAKL_DATA!$B$29,N549)),MAX($M$2:M548)+1,0)</f>
        <v>547</v>
      </c>
      <c r="N549" s="295" t="s">
        <v>2556</v>
      </c>
      <c r="O549" s="310" t="s">
        <v>2557</v>
      </c>
      <c r="Q549" s="297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295" t="s">
        <v>2556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295" t="s">
        <v>2556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295" t="s">
        <v>2556</v>
      </c>
      <c r="Z549" t="str">
        <f>IFERROR(VLOOKUP(ROWS($Z$3:Z549),$X$3:$Y$992,2,0),"")</f>
        <v>Výroba ostatních obráběcích strojů</v>
      </c>
    </row>
    <row r="550" spans="13:26" ht="12.75">
      <c r="M550" s="294">
        <f>IF(ISNUMBER(SEARCH(ZAKL_DATA!$B$29,N550)),MAX($M$2:M549)+1,0)</f>
        <v>548</v>
      </c>
      <c r="N550" s="295" t="s">
        <v>2558</v>
      </c>
      <c r="O550" s="310" t="s">
        <v>2559</v>
      </c>
      <c r="Q550" s="297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295" t="s">
        <v>2558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295" t="s">
        <v>2558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295" t="s">
        <v>2558</v>
      </c>
      <c r="Z550" t="str">
        <f>IFERROR(VLOOKUP(ROWS($Z$3:Z550),$X$3:$Y$992,2,0),"")</f>
        <v>Výroba strojů pro metalurgii</v>
      </c>
    </row>
    <row r="551" spans="13:26" ht="12.75">
      <c r="M551" s="294">
        <f>IF(ISNUMBER(SEARCH(ZAKL_DATA!$B$29,N551)),MAX($M$2:M550)+1,0)</f>
        <v>549</v>
      </c>
      <c r="N551" s="295" t="s">
        <v>2560</v>
      </c>
      <c r="O551" s="310" t="s">
        <v>2561</v>
      </c>
      <c r="Q551" s="297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295" t="s">
        <v>2560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295" t="s">
        <v>2560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295" t="s">
        <v>2560</v>
      </c>
      <c r="Z551" t="str">
        <f>IFERROR(VLOOKUP(ROWS($Z$3:Z551),$X$3:$Y$992,2,0),"")</f>
        <v>Výroba strojů pro těžbu, dobývání a stavebnictví</v>
      </c>
    </row>
    <row r="552" spans="13:26" ht="12.75">
      <c r="M552" s="294">
        <f>IF(ISNUMBER(SEARCH(ZAKL_DATA!$B$29,N552)),MAX($M$2:M551)+1,0)</f>
        <v>550</v>
      </c>
      <c r="N552" s="295" t="s">
        <v>2562</v>
      </c>
      <c r="O552" s="310" t="s">
        <v>2563</v>
      </c>
      <c r="Q552" s="297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295" t="s">
        <v>2562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295" t="s">
        <v>2562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295" t="s">
        <v>2562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294">
        <f>IF(ISNUMBER(SEARCH(ZAKL_DATA!$B$29,N553)),MAX($M$2:M552)+1,0)</f>
        <v>551</v>
      </c>
      <c r="N553" s="295" t="s">
        <v>2564</v>
      </c>
      <c r="O553" s="310" t="s">
        <v>2565</v>
      </c>
      <c r="Q553" s="297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295" t="s">
        <v>2564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295" t="s">
        <v>2564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295" t="s">
        <v>2564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294">
        <f>IF(ISNUMBER(SEARCH(ZAKL_DATA!$B$29,N554)),MAX($M$2:M553)+1,0)</f>
        <v>552</v>
      </c>
      <c r="N554" s="295" t="s">
        <v>2566</v>
      </c>
      <c r="O554" s="310" t="s">
        <v>2567</v>
      </c>
      <c r="Q554" s="297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295" t="s">
        <v>2566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295" t="s">
        <v>2566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295" t="s">
        <v>2566</v>
      </c>
      <c r="Z554" t="str">
        <f>IFERROR(VLOOKUP(ROWS($Z$3:Z554),$X$3:$Y$992,2,0),"")</f>
        <v>Výroba strojů a přístrojů na výrobu papíru a lepenky</v>
      </c>
    </row>
    <row r="555" spans="13:26" ht="12.75">
      <c r="M555" s="294">
        <f>IF(ISNUMBER(SEARCH(ZAKL_DATA!$B$29,N555)),MAX($M$2:M554)+1,0)</f>
        <v>553</v>
      </c>
      <c r="N555" s="295" t="s">
        <v>2568</v>
      </c>
      <c r="O555" s="310" t="s">
        <v>2569</v>
      </c>
      <c r="Q555" s="297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295" t="s">
        <v>2568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295" t="s">
        <v>2568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295" t="s">
        <v>2568</v>
      </c>
      <c r="Z555" t="str">
        <f>IFERROR(VLOOKUP(ROWS($Z$3:Z555),$X$3:$Y$992,2,0),"")</f>
        <v>Výroba strojů na výrobu plastů a pryže</v>
      </c>
    </row>
    <row r="556" spans="13:26" ht="12.75">
      <c r="M556" s="294">
        <f>IF(ISNUMBER(SEARCH(ZAKL_DATA!$B$29,N556)),MAX($M$2:M555)+1,0)</f>
        <v>554</v>
      </c>
      <c r="N556" s="295" t="s">
        <v>2570</v>
      </c>
      <c r="O556" s="310" t="s">
        <v>2571</v>
      </c>
      <c r="Q556" s="297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295" t="s">
        <v>2570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295" t="s">
        <v>2570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295" t="s">
        <v>2570</v>
      </c>
      <c r="Z556" t="str">
        <f>IFERROR(VLOOKUP(ROWS($Z$3:Z556),$X$3:$Y$992,2,0),"")</f>
        <v>Výroba ostatních strojů pro speciální účely j. n.</v>
      </c>
    </row>
    <row r="557" spans="13:26" ht="12.75">
      <c r="M557" s="294">
        <f>IF(ISNUMBER(SEARCH(ZAKL_DATA!$B$29,N557)),MAX($M$2:M556)+1,0)</f>
        <v>555</v>
      </c>
      <c r="N557" s="295" t="s">
        <v>2572</v>
      </c>
      <c r="O557" s="310" t="s">
        <v>2573</v>
      </c>
      <c r="Q557" s="297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295" t="s">
        <v>2572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295" t="s">
        <v>2572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295" t="s">
        <v>2572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294">
        <f>IF(ISNUMBER(SEARCH(ZAKL_DATA!$B$29,N558)),MAX($M$2:M557)+1,0)</f>
        <v>556</v>
      </c>
      <c r="N558" s="295" t="s">
        <v>2574</v>
      </c>
      <c r="O558" s="310" t="s">
        <v>2575</v>
      </c>
      <c r="Q558" s="297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295" t="s">
        <v>2574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295" t="s">
        <v>2574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295" t="s">
        <v>2574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294">
        <f>IF(ISNUMBER(SEARCH(ZAKL_DATA!$B$29,N559)),MAX($M$2:M558)+1,0)</f>
        <v>557</v>
      </c>
      <c r="N559" s="295" t="s">
        <v>2576</v>
      </c>
      <c r="O559" s="310" t="s">
        <v>2577</v>
      </c>
      <c r="Q559" s="297" t="str">
        <f>IFERROR(VLOOKUP(ROWS($Q$3:Q559),$M$3:$N$992,2,0),"")</f>
        <v>Stavba lodí a plavidel</v>
      </c>
      <c r="R559">
        <f>IF(ISNUMBER(SEARCH('1Př1'!$A$32,N559)),MAX($M$2:M558)+1,0)</f>
        <v>557</v>
      </c>
      <c r="S559" s="295" t="s">
        <v>2576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295" t="s">
        <v>2576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295" t="s">
        <v>2576</v>
      </c>
      <c r="Z559" t="str">
        <f>IFERROR(VLOOKUP(ROWS($Z$3:Z559),$X$3:$Y$992,2,0),"")</f>
        <v>Stavba lodí a plavidel</v>
      </c>
    </row>
    <row r="560" spans="13:26" ht="12.75">
      <c r="M560" s="294">
        <f>IF(ISNUMBER(SEARCH(ZAKL_DATA!$B$29,N560)),MAX($M$2:M559)+1,0)</f>
        <v>558</v>
      </c>
      <c r="N560" s="295" t="s">
        <v>2578</v>
      </c>
      <c r="O560" s="310" t="s">
        <v>2579</v>
      </c>
      <c r="Q560" s="297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295" t="s">
        <v>2578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295" t="s">
        <v>2578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295" t="s">
        <v>2578</v>
      </c>
      <c r="Z560" t="str">
        <f>IFERROR(VLOOKUP(ROWS($Z$3:Z560),$X$3:$Y$992,2,0),"")</f>
        <v>Stavba rekreačních a sportovních člunů</v>
      </c>
    </row>
    <row r="561" spans="13:26" ht="12.75">
      <c r="M561" s="294">
        <f>IF(ISNUMBER(SEARCH(ZAKL_DATA!$B$29,N561)),MAX($M$2:M560)+1,0)</f>
        <v>559</v>
      </c>
      <c r="N561" s="295" t="s">
        <v>2580</v>
      </c>
      <c r="O561" s="310" t="s">
        <v>2581</v>
      </c>
      <c r="Q561" s="297" t="str">
        <f>IFERROR(VLOOKUP(ROWS($Q$3:Q561),$M$3:$N$992,2,0),"")</f>
        <v>Výroba motocyklů</v>
      </c>
      <c r="R561">
        <f>IF(ISNUMBER(SEARCH('1Př1'!$A$32,N561)),MAX($M$2:M560)+1,0)</f>
        <v>559</v>
      </c>
      <c r="S561" s="295" t="s">
        <v>2580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295" t="s">
        <v>2580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295" t="s">
        <v>2580</v>
      </c>
      <c r="Z561" t="str">
        <f>IFERROR(VLOOKUP(ROWS($Z$3:Z561),$X$3:$Y$992,2,0),"")</f>
        <v>Výroba motocyklů</v>
      </c>
    </row>
    <row r="562" spans="13:26" ht="12.75">
      <c r="M562" s="294">
        <f>IF(ISNUMBER(SEARCH(ZAKL_DATA!$B$29,N562)),MAX($M$2:M561)+1,0)</f>
        <v>560</v>
      </c>
      <c r="N562" s="295" t="s">
        <v>2582</v>
      </c>
      <c r="O562" s="310" t="s">
        <v>2583</v>
      </c>
      <c r="Q562" s="297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295" t="s">
        <v>2582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295" t="s">
        <v>2582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295" t="s">
        <v>2582</v>
      </c>
      <c r="Z562" t="str">
        <f>IFERROR(VLOOKUP(ROWS($Z$3:Z562),$X$3:$Y$992,2,0),"")</f>
        <v>Výroba jízdních kol a vozíků pro invalidy</v>
      </c>
    </row>
    <row r="563" spans="13:26" ht="12.75">
      <c r="M563" s="294">
        <f>IF(ISNUMBER(SEARCH(ZAKL_DATA!$B$29,N563)),MAX($M$2:M562)+1,0)</f>
        <v>561</v>
      </c>
      <c r="N563" s="295" t="s">
        <v>2584</v>
      </c>
      <c r="O563" s="310" t="s">
        <v>2585</v>
      </c>
      <c r="Q563" s="297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295" t="s">
        <v>2584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295" t="s">
        <v>2584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295" t="s">
        <v>2584</v>
      </c>
      <c r="Z563" t="str">
        <f>IFERROR(VLOOKUP(ROWS($Z$3:Z563),$X$3:$Y$992,2,0),"")</f>
        <v>Výroba ostatních dopravních prostředků a zařízení j. n.</v>
      </c>
    </row>
    <row r="564" spans="13:26" ht="12.75">
      <c r="M564" s="294">
        <f>IF(ISNUMBER(SEARCH(ZAKL_DATA!$B$29,N564)),MAX($M$2:M563)+1,0)</f>
        <v>562</v>
      </c>
      <c r="N564" s="295" t="s">
        <v>2586</v>
      </c>
      <c r="O564" s="310" t="s">
        <v>2587</v>
      </c>
      <c r="Q564" s="297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295" t="s">
        <v>2586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295" t="s">
        <v>2586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295" t="s">
        <v>2586</v>
      </c>
      <c r="Z564" t="str">
        <f>IFERROR(VLOOKUP(ROWS($Z$3:Z564),$X$3:$Y$992,2,0),"")</f>
        <v>Výroba kancelářského nábytku a zařízení obchodů</v>
      </c>
    </row>
    <row r="565" spans="13:26" ht="12.75">
      <c r="M565" s="294">
        <f>IF(ISNUMBER(SEARCH(ZAKL_DATA!$B$29,N565)),MAX($M$2:M564)+1,0)</f>
        <v>563</v>
      </c>
      <c r="N565" s="295" t="s">
        <v>2588</v>
      </c>
      <c r="O565" s="310" t="s">
        <v>2589</v>
      </c>
      <c r="Q565" s="297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295" t="s">
        <v>2588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295" t="s">
        <v>2588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295" t="s">
        <v>2588</v>
      </c>
      <c r="Z565" t="str">
        <f>IFERROR(VLOOKUP(ROWS($Z$3:Z565),$X$3:$Y$992,2,0),"")</f>
        <v>Výroba kuchyňského nábytku</v>
      </c>
    </row>
    <row r="566" spans="13:26" ht="12.75">
      <c r="M566" s="294">
        <f>IF(ISNUMBER(SEARCH(ZAKL_DATA!$B$29,N566)),MAX($M$2:M565)+1,0)</f>
        <v>564</v>
      </c>
      <c r="N566" s="295" t="s">
        <v>2590</v>
      </c>
      <c r="O566" s="310" t="s">
        <v>2591</v>
      </c>
      <c r="Q566" s="297" t="str">
        <f>IFERROR(VLOOKUP(ROWS($Q$3:Q566),$M$3:$N$992,2,0),"")</f>
        <v>Výroba matrací</v>
      </c>
      <c r="R566">
        <f>IF(ISNUMBER(SEARCH('1Př1'!$A$32,N566)),MAX($M$2:M565)+1,0)</f>
        <v>564</v>
      </c>
      <c r="S566" s="295" t="s">
        <v>2590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295" t="s">
        <v>2590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295" t="s">
        <v>2590</v>
      </c>
      <c r="Z566" t="str">
        <f>IFERROR(VLOOKUP(ROWS($Z$3:Z566),$X$3:$Y$992,2,0),"")</f>
        <v>Výroba matrací</v>
      </c>
    </row>
    <row r="567" spans="13:26" ht="12.75">
      <c r="M567" s="294">
        <f>IF(ISNUMBER(SEARCH(ZAKL_DATA!$B$29,N567)),MAX($M$2:M566)+1,0)</f>
        <v>565</v>
      </c>
      <c r="N567" s="295" t="s">
        <v>2592</v>
      </c>
      <c r="O567" s="310" t="s">
        <v>2593</v>
      </c>
      <c r="Q567" s="297" t="str">
        <f>IFERROR(VLOOKUP(ROWS($Q$3:Q567),$M$3:$N$992,2,0),"")</f>
        <v>Výroba ostatního nábytku</v>
      </c>
      <c r="R567">
        <f>IF(ISNUMBER(SEARCH('1Př1'!$A$32,N567)),MAX($M$2:M566)+1,0)</f>
        <v>565</v>
      </c>
      <c r="S567" s="295" t="s">
        <v>2592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295" t="s">
        <v>2592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295" t="s">
        <v>2592</v>
      </c>
      <c r="Z567" t="str">
        <f>IFERROR(VLOOKUP(ROWS($Z$3:Z567),$X$3:$Y$992,2,0),"")</f>
        <v>Výroba ostatního nábytku</v>
      </c>
    </row>
    <row r="568" spans="13:26" ht="12.75">
      <c r="M568" s="294">
        <f>IF(ISNUMBER(SEARCH(ZAKL_DATA!$B$29,N568)),MAX($M$2:M567)+1,0)</f>
        <v>566</v>
      </c>
      <c r="N568" s="295" t="s">
        <v>2594</v>
      </c>
      <c r="O568" s="310" t="s">
        <v>2595</v>
      </c>
      <c r="Q568" s="297" t="str">
        <f>IFERROR(VLOOKUP(ROWS($Q$3:Q568),$M$3:$N$992,2,0),"")</f>
        <v>Ražení mincí</v>
      </c>
      <c r="R568">
        <f>IF(ISNUMBER(SEARCH('1Př1'!$A$32,N568)),MAX($M$2:M567)+1,0)</f>
        <v>566</v>
      </c>
      <c r="S568" s="295" t="s">
        <v>2594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295" t="s">
        <v>2594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295" t="s">
        <v>2594</v>
      </c>
      <c r="Z568" t="str">
        <f>IFERROR(VLOOKUP(ROWS($Z$3:Z568),$X$3:$Y$992,2,0),"")</f>
        <v>Ražení mincí</v>
      </c>
    </row>
    <row r="569" spans="13:26" ht="12.75">
      <c r="M569" s="294">
        <f>IF(ISNUMBER(SEARCH(ZAKL_DATA!$B$29,N569)),MAX($M$2:M568)+1,0)</f>
        <v>567</v>
      </c>
      <c r="N569" s="295" t="s">
        <v>2596</v>
      </c>
      <c r="O569" s="310" t="s">
        <v>2597</v>
      </c>
      <c r="Q569" s="297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295" t="s">
        <v>2596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295" t="s">
        <v>2596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295" t="s">
        <v>2596</v>
      </c>
      <c r="Z569" t="str">
        <f>IFERROR(VLOOKUP(ROWS($Z$3:Z569),$X$3:$Y$992,2,0),"")</f>
        <v>Výroba klenotů a příbuzných výrobků</v>
      </c>
    </row>
    <row r="570" spans="13:26" ht="12.75">
      <c r="M570" s="294">
        <f>IF(ISNUMBER(SEARCH(ZAKL_DATA!$B$29,N570)),MAX($M$2:M569)+1,0)</f>
        <v>568</v>
      </c>
      <c r="N570" s="295" t="s">
        <v>2598</v>
      </c>
      <c r="O570" s="310" t="s">
        <v>2599</v>
      </c>
      <c r="Q570" s="297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295" t="s">
        <v>2598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295" t="s">
        <v>2598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295" t="s">
        <v>2598</v>
      </c>
      <c r="Z570" t="str">
        <f>IFERROR(VLOOKUP(ROWS($Z$3:Z570),$X$3:$Y$992,2,0),"")</f>
        <v>Výroba bižuterie a příbuzných výrobků</v>
      </c>
    </row>
    <row r="571" spans="13:26" ht="12.75">
      <c r="M571" s="294">
        <f>IF(ISNUMBER(SEARCH(ZAKL_DATA!$B$29,N571)),MAX($M$2:M570)+1,0)</f>
        <v>569</v>
      </c>
      <c r="N571" s="295" t="s">
        <v>2600</v>
      </c>
      <c r="O571" s="310" t="s">
        <v>2601</v>
      </c>
      <c r="Q571" s="297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295" t="s">
        <v>2600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295" t="s">
        <v>2600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295" t="s">
        <v>2600</v>
      </c>
      <c r="Z571" t="str">
        <f>IFERROR(VLOOKUP(ROWS($Z$3:Z571),$X$3:$Y$992,2,0),"")</f>
        <v>Výroba košťat a kartáčnických výrobků</v>
      </c>
    </row>
    <row r="572" spans="13:26" ht="12.75">
      <c r="M572" s="294">
        <f>IF(ISNUMBER(SEARCH(ZAKL_DATA!$B$29,N572)),MAX($M$2:M571)+1,0)</f>
        <v>570</v>
      </c>
      <c r="N572" s="295" t="s">
        <v>2602</v>
      </c>
      <c r="O572" s="310" t="s">
        <v>2603</v>
      </c>
      <c r="Q572" s="297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295" t="s">
        <v>2602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295" t="s">
        <v>2602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295" t="s">
        <v>2602</v>
      </c>
      <c r="Z572" t="str">
        <f>IFERROR(VLOOKUP(ROWS($Z$3:Z572),$X$3:$Y$992,2,0),"")</f>
        <v>Ostatní zpracovatelský průmysl j. n.</v>
      </c>
    </row>
    <row r="573" spans="13:26" ht="12.75">
      <c r="M573" s="294">
        <f>IF(ISNUMBER(SEARCH(ZAKL_DATA!$B$29,N573)),MAX($M$2:M572)+1,0)</f>
        <v>571</v>
      </c>
      <c r="N573" s="295" t="s">
        <v>2604</v>
      </c>
      <c r="O573" s="310" t="s">
        <v>2605</v>
      </c>
      <c r="Q573" s="297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295" t="s">
        <v>2604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295" t="s">
        <v>2604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295" t="s">
        <v>2604</v>
      </c>
      <c r="Z573" t="str">
        <f>IFERROR(VLOOKUP(ROWS($Z$3:Z573),$X$3:$Y$992,2,0),"")</f>
        <v>Opravy kovodělných výrobků</v>
      </c>
    </row>
    <row r="574" spans="13:26" ht="12.75">
      <c r="M574" s="294">
        <f>IF(ISNUMBER(SEARCH(ZAKL_DATA!$B$29,N574)),MAX($M$2:M573)+1,0)</f>
        <v>572</v>
      </c>
      <c r="N574" s="295" t="s">
        <v>2606</v>
      </c>
      <c r="O574" s="310" t="s">
        <v>2607</v>
      </c>
      <c r="Q574" s="297" t="str">
        <f>IFERROR(VLOOKUP(ROWS($Q$3:Q574),$M$3:$N$992,2,0),"")</f>
        <v>Opravy strojů</v>
      </c>
      <c r="R574">
        <f>IF(ISNUMBER(SEARCH('1Př1'!$A$32,N574)),MAX($M$2:M573)+1,0)</f>
        <v>572</v>
      </c>
      <c r="S574" s="295" t="s">
        <v>2606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295" t="s">
        <v>2606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295" t="s">
        <v>2606</v>
      </c>
      <c r="Z574" t="str">
        <f>IFERROR(VLOOKUP(ROWS($Z$3:Z574),$X$3:$Y$992,2,0),"")</f>
        <v>Opravy strojů</v>
      </c>
    </row>
    <row r="575" spans="13:26" ht="12.75">
      <c r="M575" s="294">
        <f>IF(ISNUMBER(SEARCH(ZAKL_DATA!$B$29,N575)),MAX($M$2:M574)+1,0)</f>
        <v>573</v>
      </c>
      <c r="N575" s="295" t="s">
        <v>2608</v>
      </c>
      <c r="O575" s="310" t="s">
        <v>2609</v>
      </c>
      <c r="Q575" s="297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295" t="s">
        <v>2608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295" t="s">
        <v>2608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295" t="s">
        <v>2608</v>
      </c>
      <c r="Z575" t="str">
        <f>IFERROR(VLOOKUP(ROWS($Z$3:Z575),$X$3:$Y$992,2,0),"")</f>
        <v>Opravy elektronických a optických přístrojů a zařízení</v>
      </c>
    </row>
    <row r="576" spans="13:26" ht="12.75">
      <c r="M576" s="294">
        <f>IF(ISNUMBER(SEARCH(ZAKL_DATA!$B$29,N576)),MAX($M$2:M575)+1,0)</f>
        <v>574</v>
      </c>
      <c r="N576" s="295" t="s">
        <v>2610</v>
      </c>
      <c r="O576" s="310" t="s">
        <v>2611</v>
      </c>
      <c r="Q576" s="297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295" t="s">
        <v>2610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295" t="s">
        <v>2610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295" t="s">
        <v>2610</v>
      </c>
      <c r="Z576" t="str">
        <f>IFERROR(VLOOKUP(ROWS($Z$3:Z576),$X$3:$Y$992,2,0),"")</f>
        <v>Opravy elektrických zařízen</v>
      </c>
    </row>
    <row r="577" spans="13:26" ht="12.75">
      <c r="M577" s="294">
        <f>IF(ISNUMBER(SEARCH(ZAKL_DATA!$B$29,N577)),MAX($M$2:M576)+1,0)</f>
        <v>575</v>
      </c>
      <c r="N577" s="295" t="s">
        <v>2612</v>
      </c>
      <c r="O577" s="310" t="s">
        <v>2613</v>
      </c>
      <c r="Q577" s="297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295" t="s">
        <v>2612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295" t="s">
        <v>2612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295" t="s">
        <v>2612</v>
      </c>
      <c r="Z577" t="str">
        <f>IFERROR(VLOOKUP(ROWS($Z$3:Z577),$X$3:$Y$992,2,0),"")</f>
        <v>Opravy a údržba lodí a člunů</v>
      </c>
    </row>
    <row r="578" spans="13:26" ht="12.75">
      <c r="M578" s="294">
        <f>IF(ISNUMBER(SEARCH(ZAKL_DATA!$B$29,N578)),MAX($M$2:M577)+1,0)</f>
        <v>576</v>
      </c>
      <c r="N578" s="295" t="s">
        <v>2614</v>
      </c>
      <c r="O578" s="310" t="s">
        <v>2615</v>
      </c>
      <c r="Q578" s="297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295" t="s">
        <v>2614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295" t="s">
        <v>2614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295" t="s">
        <v>2614</v>
      </c>
      <c r="Z578" t="str">
        <f>IFERROR(VLOOKUP(ROWS($Z$3:Z578),$X$3:$Y$992,2,0),"")</f>
        <v>Opravy a údržba letadel a kosmických lodí</v>
      </c>
    </row>
    <row r="579" spans="13:26" ht="12.75">
      <c r="M579" s="294">
        <f>IF(ISNUMBER(SEARCH(ZAKL_DATA!$B$29,N579)),MAX($M$2:M578)+1,0)</f>
        <v>577</v>
      </c>
      <c r="N579" s="295" t="s">
        <v>2616</v>
      </c>
      <c r="O579" s="310" t="s">
        <v>2617</v>
      </c>
      <c r="Q579" s="297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295" t="s">
        <v>2616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295" t="s">
        <v>2616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295" t="s">
        <v>2616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294">
        <f>IF(ISNUMBER(SEARCH(ZAKL_DATA!$B$29,N580)),MAX($M$2:M579)+1,0)</f>
        <v>578</v>
      </c>
      <c r="N580" s="295" t="s">
        <v>2618</v>
      </c>
      <c r="O580" s="310" t="s">
        <v>2619</v>
      </c>
      <c r="Q580" s="297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295" t="s">
        <v>2618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295" t="s">
        <v>2618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295" t="s">
        <v>2618</v>
      </c>
      <c r="Z580" t="str">
        <f>IFERROR(VLOOKUP(ROWS($Z$3:Z580),$X$3:$Y$992,2,0),"")</f>
        <v>Opravy ostatních zařízení</v>
      </c>
    </row>
    <row r="581" spans="13:26" ht="12.75">
      <c r="M581" s="294">
        <f>IF(ISNUMBER(SEARCH(ZAKL_DATA!$B$29,N581)),MAX($M$2:M580)+1,0)</f>
        <v>579</v>
      </c>
      <c r="N581" s="295" t="s">
        <v>2620</v>
      </c>
      <c r="O581" s="310" t="s">
        <v>2621</v>
      </c>
      <c r="Q581" s="297" t="str">
        <f>IFERROR(VLOOKUP(ROWS($Q$3:Q581),$M$3:$N$992,2,0),"")</f>
        <v>Výroba elektřiny</v>
      </c>
      <c r="R581">
        <f>IF(ISNUMBER(SEARCH('1Př1'!$A$32,N581)),MAX($M$2:M580)+1,0)</f>
        <v>579</v>
      </c>
      <c r="S581" s="295" t="s">
        <v>2620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295" t="s">
        <v>2620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295" t="s">
        <v>2620</v>
      </c>
      <c r="Z581" t="str">
        <f>IFERROR(VLOOKUP(ROWS($Z$3:Z581),$X$3:$Y$992,2,0),"")</f>
        <v>Výroba elektřiny</v>
      </c>
    </row>
    <row r="582" spans="13:26" ht="12.75">
      <c r="M582" s="294">
        <f>IF(ISNUMBER(SEARCH(ZAKL_DATA!$B$29,N582)),MAX($M$2:M581)+1,0)</f>
        <v>580</v>
      </c>
      <c r="N582" s="295" t="s">
        <v>2622</v>
      </c>
      <c r="O582" s="310" t="s">
        <v>2623</v>
      </c>
      <c r="Q582" s="297" t="str">
        <f>IFERROR(VLOOKUP(ROWS($Q$3:Q582),$M$3:$N$992,2,0),"")</f>
        <v>Přenos elektřiny</v>
      </c>
      <c r="R582">
        <f>IF(ISNUMBER(SEARCH('1Př1'!$A$32,N582)),MAX($M$2:M581)+1,0)</f>
        <v>580</v>
      </c>
      <c r="S582" s="295" t="s">
        <v>2622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295" t="s">
        <v>2622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295" t="s">
        <v>2622</v>
      </c>
      <c r="Z582" t="str">
        <f>IFERROR(VLOOKUP(ROWS($Z$3:Z582),$X$3:$Y$992,2,0),"")</f>
        <v>Přenos elektřiny</v>
      </c>
    </row>
    <row r="583" spans="13:26" ht="12.75">
      <c r="M583" s="294">
        <f>IF(ISNUMBER(SEARCH(ZAKL_DATA!$B$29,N583)),MAX($M$2:M582)+1,0)</f>
        <v>581</v>
      </c>
      <c r="N583" s="295" t="s">
        <v>2624</v>
      </c>
      <c r="O583" s="310" t="s">
        <v>2625</v>
      </c>
      <c r="Q583" s="297" t="str">
        <f>IFERROR(VLOOKUP(ROWS($Q$3:Q583),$M$3:$N$992,2,0),"")</f>
        <v>Rozvod elektřiny</v>
      </c>
      <c r="R583">
        <f>IF(ISNUMBER(SEARCH('1Př1'!$A$32,N583)),MAX($M$2:M582)+1,0)</f>
        <v>581</v>
      </c>
      <c r="S583" s="295" t="s">
        <v>2624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295" t="s">
        <v>2624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295" t="s">
        <v>2624</v>
      </c>
      <c r="Z583" t="str">
        <f>IFERROR(VLOOKUP(ROWS($Z$3:Z583),$X$3:$Y$992,2,0),"")</f>
        <v>Rozvod elektřiny</v>
      </c>
    </row>
    <row r="584" spans="13:26" ht="12.75">
      <c r="M584" s="294">
        <f>IF(ISNUMBER(SEARCH(ZAKL_DATA!$B$29,N584)),MAX($M$2:M583)+1,0)</f>
        <v>582</v>
      </c>
      <c r="N584" s="295" t="s">
        <v>2626</v>
      </c>
      <c r="O584" s="310" t="s">
        <v>2627</v>
      </c>
      <c r="Q584" s="297" t="str">
        <f>IFERROR(VLOOKUP(ROWS($Q$3:Q584),$M$3:$N$992,2,0),"")</f>
        <v>Obchod s elektřinou</v>
      </c>
      <c r="R584">
        <f>IF(ISNUMBER(SEARCH('1Př1'!$A$32,N584)),MAX($M$2:M583)+1,0)</f>
        <v>582</v>
      </c>
      <c r="S584" s="295" t="s">
        <v>2626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295" t="s">
        <v>2626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295" t="s">
        <v>2626</v>
      </c>
      <c r="Z584" t="str">
        <f>IFERROR(VLOOKUP(ROWS($Z$3:Z584),$X$3:$Y$992,2,0),"")</f>
        <v>Obchod s elektřinou</v>
      </c>
    </row>
    <row r="585" spans="13:26" ht="12.75">
      <c r="M585" s="294">
        <f>IF(ISNUMBER(SEARCH(ZAKL_DATA!$B$29,N585)),MAX($M$2:M584)+1,0)</f>
        <v>583</v>
      </c>
      <c r="N585" s="295" t="s">
        <v>2628</v>
      </c>
      <c r="O585" s="310" t="s">
        <v>2629</v>
      </c>
      <c r="Q585" s="297" t="str">
        <f>IFERROR(VLOOKUP(ROWS($Q$3:Q585),$M$3:$N$992,2,0),"")</f>
        <v>Výroba plynu</v>
      </c>
      <c r="R585">
        <f>IF(ISNUMBER(SEARCH('1Př1'!$A$32,N585)),MAX($M$2:M584)+1,0)</f>
        <v>583</v>
      </c>
      <c r="S585" s="295" t="s">
        <v>2628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295" t="s">
        <v>2628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295" t="s">
        <v>2628</v>
      </c>
      <c r="Z585" t="str">
        <f>IFERROR(VLOOKUP(ROWS($Z$3:Z585),$X$3:$Y$992,2,0),"")</f>
        <v>Výroba plynu</v>
      </c>
    </row>
    <row r="586" spans="13:26" ht="12.75">
      <c r="M586" s="294">
        <f>IF(ISNUMBER(SEARCH(ZAKL_DATA!$B$29,N586)),MAX($M$2:M585)+1,0)</f>
        <v>584</v>
      </c>
      <c r="N586" s="295" t="s">
        <v>2630</v>
      </c>
      <c r="O586" s="310" t="s">
        <v>2631</v>
      </c>
      <c r="Q586" s="297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295" t="s">
        <v>2630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295" t="s">
        <v>2630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295" t="s">
        <v>2630</v>
      </c>
      <c r="Z586" t="str">
        <f>IFERROR(VLOOKUP(ROWS($Z$3:Z586),$X$3:$Y$992,2,0),"")</f>
        <v>Rozvod plynných paliv prostřednictvím sítí</v>
      </c>
    </row>
    <row r="587" spans="13:26" ht="12.75">
      <c r="M587" s="294">
        <f>IF(ISNUMBER(SEARCH(ZAKL_DATA!$B$29,N587)),MAX($M$2:M586)+1,0)</f>
        <v>585</v>
      </c>
      <c r="N587" s="295" t="s">
        <v>2632</v>
      </c>
      <c r="O587" s="310" t="s">
        <v>2633</v>
      </c>
      <c r="Q587" s="297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295" t="s">
        <v>2632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295" t="s">
        <v>2632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295" t="s">
        <v>2632</v>
      </c>
      <c r="Z587" t="str">
        <f>IFERROR(VLOOKUP(ROWS($Z$3:Z587),$X$3:$Y$992,2,0),"")</f>
        <v>Obchod s plynem prostřednictvím sítí</v>
      </c>
    </row>
    <row r="588" spans="13:26" ht="12.75">
      <c r="M588" s="294">
        <f>IF(ISNUMBER(SEARCH(ZAKL_DATA!$B$29,N588)),MAX($M$2:M587)+1,0)</f>
        <v>586</v>
      </c>
      <c r="N588" s="295" t="s">
        <v>2634</v>
      </c>
      <c r="O588" s="310" t="s">
        <v>2635</v>
      </c>
      <c r="Q588" s="297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295" t="s">
        <v>2634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295" t="s">
        <v>2634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295" t="s">
        <v>2634</v>
      </c>
      <c r="Z588" t="str">
        <f>IFERROR(VLOOKUP(ROWS($Z$3:Z588),$X$3:$Y$992,2,0),"")</f>
        <v>Shromažďování a sběr odpadů, kromě nebezpečných</v>
      </c>
    </row>
    <row r="589" spans="13:26" ht="12.75">
      <c r="M589" s="294">
        <f>IF(ISNUMBER(SEARCH(ZAKL_DATA!$B$29,N589)),MAX($M$2:M588)+1,0)</f>
        <v>587</v>
      </c>
      <c r="N589" s="295" t="s">
        <v>2636</v>
      </c>
      <c r="O589" s="310" t="s">
        <v>2637</v>
      </c>
      <c r="Q589" s="297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295" t="s">
        <v>2636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295" t="s">
        <v>2636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295" t="s">
        <v>2636</v>
      </c>
      <c r="Z589" t="str">
        <f>IFERROR(VLOOKUP(ROWS($Z$3:Z589),$X$3:$Y$992,2,0),"")</f>
        <v>Shromažďování a sběr nebezpečných odpadů</v>
      </c>
    </row>
    <row r="590" spans="13:26" ht="12.75">
      <c r="M590" s="294">
        <f>IF(ISNUMBER(SEARCH(ZAKL_DATA!$B$29,N590)),MAX($M$2:M589)+1,0)</f>
        <v>588</v>
      </c>
      <c r="N590" s="295" t="s">
        <v>2638</v>
      </c>
      <c r="O590" s="310" t="s">
        <v>2639</v>
      </c>
      <c r="Q590" s="297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295" t="s">
        <v>2638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295" t="s">
        <v>2638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295" t="s">
        <v>2638</v>
      </c>
      <c r="Z590" t="str">
        <f>IFERROR(VLOOKUP(ROWS($Z$3:Z590),$X$3:$Y$992,2,0),"")</f>
        <v>Odstraňování odpadů, kromě nebezpečných</v>
      </c>
    </row>
    <row r="591" spans="13:26" ht="12.75">
      <c r="M591" s="294">
        <f>IF(ISNUMBER(SEARCH(ZAKL_DATA!$B$29,N591)),MAX($M$2:M590)+1,0)</f>
        <v>589</v>
      </c>
      <c r="N591" s="295" t="s">
        <v>2640</v>
      </c>
      <c r="O591" s="310" t="s">
        <v>2641</v>
      </c>
      <c r="Q591" s="297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295" t="s">
        <v>2640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295" t="s">
        <v>2640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295" t="s">
        <v>2640</v>
      </c>
      <c r="Z591" t="str">
        <f>IFERROR(VLOOKUP(ROWS($Z$3:Z591),$X$3:$Y$992,2,0),"")</f>
        <v>Odstraňování nebezpečných odpadů</v>
      </c>
    </row>
    <row r="592" spans="13:26" ht="12.75">
      <c r="M592" s="294">
        <f>IF(ISNUMBER(SEARCH(ZAKL_DATA!$B$29,N592)),MAX($M$2:M591)+1,0)</f>
        <v>590</v>
      </c>
      <c r="N592" s="295" t="s">
        <v>2642</v>
      </c>
      <c r="O592" s="310" t="s">
        <v>2643</v>
      </c>
      <c r="Q592" s="297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295" t="s">
        <v>2642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295" t="s">
        <v>2642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295" t="s">
        <v>2642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294">
        <f>IF(ISNUMBER(SEARCH(ZAKL_DATA!$B$29,N593)),MAX($M$2:M592)+1,0)</f>
        <v>591</v>
      </c>
      <c r="N593" s="295" t="s">
        <v>2644</v>
      </c>
      <c r="O593" s="310" t="s">
        <v>2645</v>
      </c>
      <c r="Q593" s="297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295" t="s">
        <v>2644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295" t="s">
        <v>2644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295" t="s">
        <v>2644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294">
        <f>IF(ISNUMBER(SEARCH(ZAKL_DATA!$B$29,N594)),MAX($M$2:M593)+1,0)</f>
        <v>592</v>
      </c>
      <c r="N594" s="295" t="s">
        <v>2646</v>
      </c>
      <c r="O594" s="310" t="s">
        <v>1935</v>
      </c>
      <c r="Q594" s="297" t="str">
        <f>IFERROR(VLOOKUP(ROWS($Q$3:Q594),$M$3:$N$992,2,0),"")</f>
        <v>Výstavba bytových budov</v>
      </c>
      <c r="R594">
        <f>IF(ISNUMBER(SEARCH('1Př1'!$A$32,N594)),MAX($M$2:M593)+1,0)</f>
        <v>592</v>
      </c>
      <c r="S594" s="295" t="s">
        <v>2646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295" t="s">
        <v>2646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295" t="s">
        <v>2646</v>
      </c>
      <c r="Z594" t="str">
        <f>IFERROR(VLOOKUP(ROWS($Z$3:Z594),$X$3:$Y$992,2,0),"")</f>
        <v>Výstavba bytových budov</v>
      </c>
    </row>
    <row r="595" spans="13:26" ht="12.75">
      <c r="M595" s="294">
        <f>IF(ISNUMBER(SEARCH(ZAKL_DATA!$B$29,N595)),MAX($M$2:M594)+1,0)</f>
        <v>593</v>
      </c>
      <c r="N595" s="295" t="s">
        <v>2647</v>
      </c>
      <c r="O595" s="310" t="s">
        <v>2648</v>
      </c>
      <c r="Q595" s="297" t="str">
        <f>IFERROR(VLOOKUP(ROWS($Q$3:Q595),$M$3:$N$992,2,0),"")</f>
        <v>Výstavba silnic a dálnic</v>
      </c>
      <c r="R595">
        <f>IF(ISNUMBER(SEARCH('1Př1'!$A$32,N595)),MAX($M$2:M594)+1,0)</f>
        <v>593</v>
      </c>
      <c r="S595" s="295" t="s">
        <v>2647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295" t="s">
        <v>2647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295" t="s">
        <v>2647</v>
      </c>
      <c r="Z595" t="str">
        <f>IFERROR(VLOOKUP(ROWS($Z$3:Z595),$X$3:$Y$992,2,0),"")</f>
        <v>Výstavba silnic a dálnic</v>
      </c>
    </row>
    <row r="596" spans="13:26" ht="12.75">
      <c r="M596" s="294">
        <f>IF(ISNUMBER(SEARCH(ZAKL_DATA!$B$29,N596)),MAX($M$2:M595)+1,0)</f>
        <v>594</v>
      </c>
      <c r="N596" s="295" t="s">
        <v>2649</v>
      </c>
      <c r="O596" s="310" t="s">
        <v>2650</v>
      </c>
      <c r="Q596" s="297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295" t="s">
        <v>2649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295" t="s">
        <v>2649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295" t="s">
        <v>2649</v>
      </c>
      <c r="Z596" t="str">
        <f>IFERROR(VLOOKUP(ROWS($Z$3:Z596),$X$3:$Y$992,2,0),"")</f>
        <v>Výstavba železnic a podzemních drah</v>
      </c>
    </row>
    <row r="597" spans="13:26" ht="12.75">
      <c r="M597" s="294">
        <f>IF(ISNUMBER(SEARCH(ZAKL_DATA!$B$29,N597)),MAX($M$2:M596)+1,0)</f>
        <v>595</v>
      </c>
      <c r="N597" s="295" t="s">
        <v>2651</v>
      </c>
      <c r="O597" s="310" t="s">
        <v>2652</v>
      </c>
      <c r="Q597" s="297" t="str">
        <f>IFERROR(VLOOKUP(ROWS($Q$3:Q597),$M$3:$N$992,2,0),"")</f>
        <v>Výstavba mostů a tunelů</v>
      </c>
      <c r="R597">
        <f>IF(ISNUMBER(SEARCH('1Př1'!$A$32,N597)),MAX($M$2:M596)+1,0)</f>
        <v>595</v>
      </c>
      <c r="S597" s="295" t="s">
        <v>2651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295" t="s">
        <v>2651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295" t="s">
        <v>2651</v>
      </c>
      <c r="Z597" t="str">
        <f>IFERROR(VLOOKUP(ROWS($Z$3:Z597),$X$3:$Y$992,2,0),"")</f>
        <v>Výstavba mostů a tunelů</v>
      </c>
    </row>
    <row r="598" spans="13:26" ht="12.75">
      <c r="M598" s="294">
        <f>IF(ISNUMBER(SEARCH(ZAKL_DATA!$B$29,N598)),MAX($M$2:M597)+1,0)</f>
        <v>596</v>
      </c>
      <c r="N598" s="295" t="s">
        <v>2653</v>
      </c>
      <c r="O598" s="310" t="s">
        <v>2654</v>
      </c>
      <c r="Q598" s="297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295" t="s">
        <v>2653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295" t="s">
        <v>2653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295" t="s">
        <v>2653</v>
      </c>
      <c r="Z598" t="str">
        <f>IFERROR(VLOOKUP(ROWS($Z$3:Z598),$X$3:$Y$992,2,0),"")</f>
        <v>Výstavba inženýrských sítí pro kapaliny a plyny</v>
      </c>
    </row>
    <row r="599" spans="13:26" ht="12.75">
      <c r="M599" s="294">
        <f>IF(ISNUMBER(SEARCH(ZAKL_DATA!$B$29,N599)),MAX($M$2:M598)+1,0)</f>
        <v>597</v>
      </c>
      <c r="N599" s="295" t="s">
        <v>2655</v>
      </c>
      <c r="O599" s="310" t="s">
        <v>2656</v>
      </c>
      <c r="Q599" s="297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295" t="s">
        <v>2655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295" t="s">
        <v>2655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295" t="s">
        <v>2655</v>
      </c>
      <c r="Z599" t="str">
        <f>IFERROR(VLOOKUP(ROWS($Z$3:Z599),$X$3:$Y$992,2,0),"")</f>
        <v>Výstavba inženýrských sítí pro elektřinu a telekomunikace</v>
      </c>
    </row>
    <row r="600" spans="13:26" ht="12.75">
      <c r="M600" s="294">
        <f>IF(ISNUMBER(SEARCH(ZAKL_DATA!$B$29,N600)),MAX($M$2:M599)+1,0)</f>
        <v>598</v>
      </c>
      <c r="N600" s="295" t="s">
        <v>2657</v>
      </c>
      <c r="O600" s="310" t="s">
        <v>2658</v>
      </c>
      <c r="Q600" s="297" t="str">
        <f>IFERROR(VLOOKUP(ROWS($Q$3:Q600),$M$3:$N$992,2,0),"")</f>
        <v>Výstavba vodních děl</v>
      </c>
      <c r="R600">
        <f>IF(ISNUMBER(SEARCH('1Př1'!$A$32,N600)),MAX($M$2:M599)+1,0)</f>
        <v>598</v>
      </c>
      <c r="S600" s="295" t="s">
        <v>2657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295" t="s">
        <v>2657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295" t="s">
        <v>2657</v>
      </c>
      <c r="Z600" t="str">
        <f>IFERROR(VLOOKUP(ROWS($Z$3:Z600),$X$3:$Y$992,2,0),"")</f>
        <v>Výstavba vodních děl</v>
      </c>
    </row>
    <row r="601" spans="13:26" ht="12.75">
      <c r="M601" s="294">
        <f>IF(ISNUMBER(SEARCH(ZAKL_DATA!$B$29,N601)),MAX($M$2:M600)+1,0)</f>
        <v>599</v>
      </c>
      <c r="N601" s="295" t="s">
        <v>2659</v>
      </c>
      <c r="O601" s="310" t="s">
        <v>2660</v>
      </c>
      <c r="Q601" s="297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295" t="s">
        <v>2659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295" t="s">
        <v>2659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295" t="s">
        <v>2659</v>
      </c>
      <c r="Z601" t="str">
        <f>IFERROR(VLOOKUP(ROWS($Z$3:Z601),$X$3:$Y$992,2,0),"")</f>
        <v>Výstavba ostatních staveb j. n.</v>
      </c>
    </row>
    <row r="602" spans="13:26" ht="12.75">
      <c r="M602" s="294">
        <f>IF(ISNUMBER(SEARCH(ZAKL_DATA!$B$29,N602)),MAX($M$2:M601)+1,0)</f>
        <v>600</v>
      </c>
      <c r="N602" s="295" t="s">
        <v>2661</v>
      </c>
      <c r="O602" s="310" t="s">
        <v>2662</v>
      </c>
      <c r="Q602" s="297" t="str">
        <f>IFERROR(VLOOKUP(ROWS($Q$3:Q602),$M$3:$N$992,2,0),"")</f>
        <v>Demolice</v>
      </c>
      <c r="R602">
        <f>IF(ISNUMBER(SEARCH('1Př1'!$A$32,N602)),MAX($M$2:M601)+1,0)</f>
        <v>600</v>
      </c>
      <c r="S602" s="295" t="s">
        <v>2661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295" t="s">
        <v>2661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295" t="s">
        <v>2661</v>
      </c>
      <c r="Z602" t="str">
        <f>IFERROR(VLOOKUP(ROWS($Z$3:Z602),$X$3:$Y$992,2,0),"")</f>
        <v>Demolice</v>
      </c>
    </row>
    <row r="603" spans="13:26" ht="12.75">
      <c r="M603" s="294">
        <f>IF(ISNUMBER(SEARCH(ZAKL_DATA!$B$29,N603)),MAX($M$2:M602)+1,0)</f>
        <v>601</v>
      </c>
      <c r="N603" s="295" t="s">
        <v>2663</v>
      </c>
      <c r="O603" s="310" t="s">
        <v>2664</v>
      </c>
      <c r="Q603" s="297" t="str">
        <f>IFERROR(VLOOKUP(ROWS($Q$3:Q603),$M$3:$N$992,2,0),"")</f>
        <v>Příprava staveniště</v>
      </c>
      <c r="R603">
        <f>IF(ISNUMBER(SEARCH('1Př1'!$A$32,N603)),MAX($M$2:M602)+1,0)</f>
        <v>601</v>
      </c>
      <c r="S603" s="295" t="s">
        <v>2663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295" t="s">
        <v>2663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295" t="s">
        <v>2663</v>
      </c>
      <c r="Z603" t="str">
        <f>IFERROR(VLOOKUP(ROWS($Z$3:Z603),$X$3:$Y$992,2,0),"")</f>
        <v>Příprava staveniště</v>
      </c>
    </row>
    <row r="604" spans="13:26" ht="12.75">
      <c r="M604" s="294">
        <f>IF(ISNUMBER(SEARCH(ZAKL_DATA!$B$29,N604)),MAX($M$2:M603)+1,0)</f>
        <v>602</v>
      </c>
      <c r="N604" s="295" t="s">
        <v>2665</v>
      </c>
      <c r="O604" s="310" t="s">
        <v>2666</v>
      </c>
      <c r="Q604" s="297" t="str">
        <f>IFERROR(VLOOKUP(ROWS($Q$3:Q604),$M$3:$N$992,2,0),"")</f>
        <v>Průzkumné vrtné práce</v>
      </c>
      <c r="R604">
        <f>IF(ISNUMBER(SEARCH('1Př1'!$A$32,N604)),MAX($M$2:M603)+1,0)</f>
        <v>602</v>
      </c>
      <c r="S604" s="295" t="s">
        <v>2665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295" t="s">
        <v>2665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295" t="s">
        <v>2665</v>
      </c>
      <c r="Z604" t="str">
        <f>IFERROR(VLOOKUP(ROWS($Z$3:Z604),$X$3:$Y$992,2,0),"")</f>
        <v>Průzkumné vrtné práce</v>
      </c>
    </row>
    <row r="605" spans="13:26" ht="12.75">
      <c r="M605" s="294">
        <f>IF(ISNUMBER(SEARCH(ZAKL_DATA!$B$29,N605)),MAX($M$2:M604)+1,0)</f>
        <v>603</v>
      </c>
      <c r="N605" s="295" t="s">
        <v>2667</v>
      </c>
      <c r="O605" s="310" t="s">
        <v>2668</v>
      </c>
      <c r="Q605" s="297" t="str">
        <f>IFERROR(VLOOKUP(ROWS($Q$3:Q605),$M$3:$N$992,2,0),"")</f>
        <v>Elektrické instalace</v>
      </c>
      <c r="R605">
        <f>IF(ISNUMBER(SEARCH('1Př1'!$A$32,N605)),MAX($M$2:M604)+1,0)</f>
        <v>603</v>
      </c>
      <c r="S605" s="295" t="s">
        <v>2667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295" t="s">
        <v>2667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295" t="s">
        <v>2667</v>
      </c>
      <c r="Z605" t="str">
        <f>IFERROR(VLOOKUP(ROWS($Z$3:Z605),$X$3:$Y$992,2,0),"")</f>
        <v>Elektrické instalace</v>
      </c>
    </row>
    <row r="606" spans="13:26" ht="12.75">
      <c r="M606" s="294">
        <f>IF(ISNUMBER(SEARCH(ZAKL_DATA!$B$29,N606)),MAX($M$2:M605)+1,0)</f>
        <v>604</v>
      </c>
      <c r="N606" s="295" t="s">
        <v>2669</v>
      </c>
      <c r="O606" s="310" t="s">
        <v>2670</v>
      </c>
      <c r="Q606" s="297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295" t="s">
        <v>2669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295" t="s">
        <v>2669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295" t="s">
        <v>2669</v>
      </c>
      <c r="Z606" t="str">
        <f>IFERROR(VLOOKUP(ROWS($Z$3:Z606),$X$3:$Y$992,2,0),"")</f>
        <v>Instalace vody, odpadu, plynu, topení a klimatizace</v>
      </c>
    </row>
    <row r="607" spans="13:26" ht="12.75">
      <c r="M607" s="294">
        <f>IF(ISNUMBER(SEARCH(ZAKL_DATA!$B$29,N607)),MAX($M$2:M606)+1,0)</f>
        <v>605</v>
      </c>
      <c r="N607" s="295" t="s">
        <v>2671</v>
      </c>
      <c r="O607" s="310" t="s">
        <v>2672</v>
      </c>
      <c r="Q607" s="297" t="str">
        <f>IFERROR(VLOOKUP(ROWS($Q$3:Q607),$M$3:$N$992,2,0),"")</f>
        <v>Ostatní stavební instalace</v>
      </c>
      <c r="R607">
        <f>IF(ISNUMBER(SEARCH('1Př1'!$A$32,N607)),MAX($M$2:M606)+1,0)</f>
        <v>605</v>
      </c>
      <c r="S607" s="295" t="s">
        <v>2671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295" t="s">
        <v>2671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295" t="s">
        <v>2671</v>
      </c>
      <c r="Z607" t="str">
        <f>IFERROR(VLOOKUP(ROWS($Z$3:Z607),$X$3:$Y$992,2,0),"")</f>
        <v>Ostatní stavební instalace</v>
      </c>
    </row>
    <row r="608" spans="13:26" ht="12.75">
      <c r="M608" s="294">
        <f>IF(ISNUMBER(SEARCH(ZAKL_DATA!$B$29,N608)),MAX($M$2:M607)+1,0)</f>
        <v>606</v>
      </c>
      <c r="N608" s="295" t="s">
        <v>2673</v>
      </c>
      <c r="O608" s="310" t="s">
        <v>2674</v>
      </c>
      <c r="Q608" s="297" t="str">
        <f>IFERROR(VLOOKUP(ROWS($Q$3:Q608),$M$3:$N$992,2,0),"")</f>
        <v>Omítkářské práce</v>
      </c>
      <c r="R608">
        <f>IF(ISNUMBER(SEARCH('1Př1'!$A$32,N608)),MAX($M$2:M607)+1,0)</f>
        <v>606</v>
      </c>
      <c r="S608" s="295" t="s">
        <v>2673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295" t="s">
        <v>2673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295" t="s">
        <v>2673</v>
      </c>
      <c r="Z608" t="str">
        <f>IFERROR(VLOOKUP(ROWS($Z$3:Z608),$X$3:$Y$992,2,0),"")</f>
        <v>Omítkářské práce</v>
      </c>
    </row>
    <row r="609" spans="13:26" ht="12.75">
      <c r="M609" s="294">
        <f>IF(ISNUMBER(SEARCH(ZAKL_DATA!$B$29,N609)),MAX($M$2:M608)+1,0)</f>
        <v>607</v>
      </c>
      <c r="N609" s="295" t="s">
        <v>2675</v>
      </c>
      <c r="O609" s="310" t="s">
        <v>2676</v>
      </c>
      <c r="Q609" s="297" t="str">
        <f>IFERROR(VLOOKUP(ROWS($Q$3:Q609),$M$3:$N$992,2,0),"")</f>
        <v>Truhlářské práce</v>
      </c>
      <c r="R609">
        <f>IF(ISNUMBER(SEARCH('1Př1'!$A$32,N609)),MAX($M$2:M608)+1,0)</f>
        <v>607</v>
      </c>
      <c r="S609" s="295" t="s">
        <v>2675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295" t="s">
        <v>2675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295" t="s">
        <v>2675</v>
      </c>
      <c r="Z609" t="str">
        <f>IFERROR(VLOOKUP(ROWS($Z$3:Z609),$X$3:$Y$992,2,0),"")</f>
        <v>Truhlářské práce</v>
      </c>
    </row>
    <row r="610" spans="13:26" ht="12.75">
      <c r="M610" s="294">
        <f>IF(ISNUMBER(SEARCH(ZAKL_DATA!$B$29,N610)),MAX($M$2:M609)+1,0)</f>
        <v>608</v>
      </c>
      <c r="N610" s="295" t="s">
        <v>2677</v>
      </c>
      <c r="O610" s="310" t="s">
        <v>2678</v>
      </c>
      <c r="Q610" s="297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295" t="s">
        <v>2677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295" t="s">
        <v>2677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295" t="s">
        <v>2677</v>
      </c>
      <c r="Z610" t="str">
        <f>IFERROR(VLOOKUP(ROWS($Z$3:Z610),$X$3:$Y$992,2,0),"")</f>
        <v>Obkládání stěn a pokládání podlahových krytin</v>
      </c>
    </row>
    <row r="611" spans="13:26" ht="12.75">
      <c r="M611" s="294">
        <f>IF(ISNUMBER(SEARCH(ZAKL_DATA!$B$29,N611)),MAX($M$2:M610)+1,0)</f>
        <v>609</v>
      </c>
      <c r="N611" s="295" t="s">
        <v>2679</v>
      </c>
      <c r="O611" s="310" t="s">
        <v>2680</v>
      </c>
      <c r="Q611" s="297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295" t="s">
        <v>2679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295" t="s">
        <v>2679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295" t="s">
        <v>2679</v>
      </c>
      <c r="Z611" t="str">
        <f>IFERROR(VLOOKUP(ROWS($Z$3:Z611),$X$3:$Y$992,2,0),"")</f>
        <v>Sklenářské, malířské a natěračské práce</v>
      </c>
    </row>
    <row r="612" spans="13:26" ht="12.75">
      <c r="M612" s="294">
        <f>IF(ISNUMBER(SEARCH(ZAKL_DATA!$B$29,N612)),MAX($M$2:M611)+1,0)</f>
        <v>610</v>
      </c>
      <c r="N612" s="295" t="s">
        <v>2681</v>
      </c>
      <c r="O612" s="310" t="s">
        <v>2682</v>
      </c>
      <c r="Q612" s="297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295" t="s">
        <v>2681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295" t="s">
        <v>2681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295" t="s">
        <v>2681</v>
      </c>
      <c r="Z612" t="str">
        <f>IFERROR(VLOOKUP(ROWS($Z$3:Z612),$X$3:$Y$992,2,0),"")</f>
        <v>Ostatní kompletační a dokončovací práce</v>
      </c>
    </row>
    <row r="613" spans="13:26" ht="12.75">
      <c r="M613" s="294">
        <f>IF(ISNUMBER(SEARCH(ZAKL_DATA!$B$29,N613)),MAX($M$2:M612)+1,0)</f>
        <v>611</v>
      </c>
      <c r="N613" s="295" t="s">
        <v>2683</v>
      </c>
      <c r="O613" s="310" t="s">
        <v>2684</v>
      </c>
      <c r="Q613" s="297" t="str">
        <f>IFERROR(VLOOKUP(ROWS($Q$3:Q613),$M$3:$N$992,2,0),"")</f>
        <v>Pokrývačské práce</v>
      </c>
      <c r="R613">
        <f>IF(ISNUMBER(SEARCH('1Př1'!$A$32,N613)),MAX($M$2:M612)+1,0)</f>
        <v>611</v>
      </c>
      <c r="S613" s="295" t="s">
        <v>2683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295" t="s">
        <v>2683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295" t="s">
        <v>2683</v>
      </c>
      <c r="Z613" t="str">
        <f>IFERROR(VLOOKUP(ROWS($Z$3:Z613),$X$3:$Y$992,2,0),"")</f>
        <v>Pokrývačské práce</v>
      </c>
    </row>
    <row r="614" spans="13:26" ht="12.75">
      <c r="M614" s="294">
        <f>IF(ISNUMBER(SEARCH(ZAKL_DATA!$B$29,N614)),MAX($M$2:M613)+1,0)</f>
        <v>612</v>
      </c>
      <c r="N614" s="295" t="s">
        <v>2685</v>
      </c>
      <c r="O614" s="310" t="s">
        <v>2686</v>
      </c>
      <c r="Q614" s="297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295" t="s">
        <v>2685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295" t="s">
        <v>2685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295" t="s">
        <v>2685</v>
      </c>
      <c r="Z614" t="str">
        <f>IFERROR(VLOOKUP(ROWS($Z$3:Z614),$X$3:$Y$992,2,0),"")</f>
        <v>Ostatní specializované stavební činnosti j. n.</v>
      </c>
    </row>
    <row r="615" spans="13:26" ht="12.75">
      <c r="M615" s="294">
        <f>IF(ISNUMBER(SEARCH(ZAKL_DATA!$B$29,N615)),MAX($M$2:M614)+1,0)</f>
        <v>613</v>
      </c>
      <c r="N615" s="295" t="s">
        <v>2687</v>
      </c>
      <c r="O615" s="310" t="s">
        <v>2688</v>
      </c>
      <c r="Q615" s="297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295" t="s">
        <v>2687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295" t="s">
        <v>2687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295" t="s">
        <v>2687</v>
      </c>
      <c r="Z615" t="str">
        <f>IFERROR(VLOOKUP(ROWS($Z$3:Z615),$X$3:$Y$992,2,0),"")</f>
        <v>Obchod s automobily a jinými lehkými motorovými vozidly</v>
      </c>
    </row>
    <row r="616" spans="13:26" ht="12.75">
      <c r="M616" s="294">
        <f>IF(ISNUMBER(SEARCH(ZAKL_DATA!$B$29,N616)),MAX($M$2:M615)+1,0)</f>
        <v>614</v>
      </c>
      <c r="N616" s="295" t="s">
        <v>2689</v>
      </c>
      <c r="O616" s="310" t="s">
        <v>2690</v>
      </c>
      <c r="Q616" s="297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295" t="s">
        <v>2689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295" t="s">
        <v>2689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295" t="s">
        <v>2689</v>
      </c>
      <c r="Z616" t="str">
        <f>IFERROR(VLOOKUP(ROWS($Z$3:Z616),$X$3:$Y$992,2,0),"")</f>
        <v>Obchod s ostatními motorovými vozidly, kromě motocyklů</v>
      </c>
    </row>
    <row r="617" spans="13:26" ht="12.75">
      <c r="M617" s="294">
        <f>IF(ISNUMBER(SEARCH(ZAKL_DATA!$B$29,N617)),MAX($M$2:M616)+1,0)</f>
        <v>615</v>
      </c>
      <c r="N617" s="295" t="s">
        <v>2691</v>
      </c>
      <c r="O617" s="310" t="s">
        <v>2692</v>
      </c>
      <c r="Q617" s="297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295" t="s">
        <v>2691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295" t="s">
        <v>2691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295" t="s">
        <v>2691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294">
        <f>IF(ISNUMBER(SEARCH(ZAKL_DATA!$B$29,N618)),MAX($M$2:M617)+1,0)</f>
        <v>616</v>
      </c>
      <c r="N618" s="295" t="s">
        <v>2693</v>
      </c>
      <c r="O618" s="310" t="s">
        <v>2694</v>
      </c>
      <c r="Q618" s="297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295" t="s">
        <v>2693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295" t="s">
        <v>2693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295" t="s">
        <v>2693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294">
        <f>IF(ISNUMBER(SEARCH(ZAKL_DATA!$B$29,N619)),MAX($M$2:M618)+1,0)</f>
        <v>617</v>
      </c>
      <c r="N619" s="295" t="s">
        <v>2695</v>
      </c>
      <c r="O619" s="310" t="s">
        <v>2696</v>
      </c>
      <c r="Q619" s="297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295" t="s">
        <v>2695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295" t="s">
        <v>2695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295" t="s">
        <v>2695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294">
        <f>IF(ISNUMBER(SEARCH(ZAKL_DATA!$B$29,N620)),MAX($M$2:M619)+1,0)</f>
        <v>618</v>
      </c>
      <c r="N620" s="295" t="s">
        <v>2697</v>
      </c>
      <c r="O620" s="310" t="s">
        <v>2698</v>
      </c>
      <c r="Q620" s="297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295" t="s">
        <v>2697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295" t="s">
        <v>2697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295" t="s">
        <v>2697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294">
        <f>IF(ISNUMBER(SEARCH(ZAKL_DATA!$B$29,N621)),MAX($M$2:M620)+1,0)</f>
        <v>619</v>
      </c>
      <c r="N621" s="295" t="s">
        <v>2699</v>
      </c>
      <c r="O621" s="310" t="s">
        <v>2700</v>
      </c>
      <c r="Q621" s="297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295" t="s">
        <v>2699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295" t="s">
        <v>2699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295" t="s">
        <v>2699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294">
        <f>IF(ISNUMBER(SEARCH(ZAKL_DATA!$B$29,N622)),MAX($M$2:M621)+1,0)</f>
        <v>620</v>
      </c>
      <c r="N622" s="295" t="s">
        <v>2701</v>
      </c>
      <c r="O622" s="310" t="s">
        <v>2702</v>
      </c>
      <c r="Q622" s="297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295" t="s">
        <v>2701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295" t="s">
        <v>2701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295" t="s">
        <v>2701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294">
        <f>IF(ISNUMBER(SEARCH(ZAKL_DATA!$B$29,N623)),MAX($M$2:M622)+1,0)</f>
        <v>621</v>
      </c>
      <c r="N623" s="295" t="s">
        <v>2703</v>
      </c>
      <c r="O623" s="310" t="s">
        <v>2704</v>
      </c>
      <c r="Q623" s="297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295" t="s">
        <v>2703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295" t="s">
        <v>2703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295" t="s">
        <v>2703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294">
        <f>IF(ISNUMBER(SEARCH(ZAKL_DATA!$B$29,N624)),MAX($M$2:M623)+1,0)</f>
        <v>622</v>
      </c>
      <c r="N624" s="295" t="s">
        <v>2705</v>
      </c>
      <c r="O624" s="310" t="s">
        <v>2706</v>
      </c>
      <c r="Q624" s="297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295" t="s">
        <v>2705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295" t="s">
        <v>2705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295" t="s">
        <v>2705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294">
        <f>IF(ISNUMBER(SEARCH(ZAKL_DATA!$B$29,N625)),MAX($M$2:M624)+1,0)</f>
        <v>623</v>
      </c>
      <c r="N625" s="295" t="s">
        <v>2707</v>
      </c>
      <c r="O625" s="310" t="s">
        <v>2708</v>
      </c>
      <c r="Q625" s="297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295" t="s">
        <v>2707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295" t="s">
        <v>2707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295" t="s">
        <v>2707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294">
        <f>IF(ISNUMBER(SEARCH(ZAKL_DATA!$B$29,N626)),MAX($M$2:M625)+1,0)</f>
        <v>624</v>
      </c>
      <c r="N626" s="295" t="s">
        <v>2709</v>
      </c>
      <c r="O626" s="310" t="s">
        <v>2710</v>
      </c>
      <c r="Q626" s="297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295" t="s">
        <v>2709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295" t="s">
        <v>2709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295" t="s">
        <v>2709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294">
        <f>IF(ISNUMBER(SEARCH(ZAKL_DATA!$B$29,N627)),MAX($M$2:M626)+1,0)</f>
        <v>625</v>
      </c>
      <c r="N627" s="295" t="s">
        <v>2711</v>
      </c>
      <c r="O627" s="310" t="s">
        <v>2712</v>
      </c>
      <c r="Q627" s="297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295" t="s">
        <v>2711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295" t="s">
        <v>2711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295" t="s">
        <v>2711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294">
        <f>IF(ISNUMBER(SEARCH(ZAKL_DATA!$B$29,N628)),MAX($M$2:M627)+1,0)</f>
        <v>626</v>
      </c>
      <c r="N628" s="295" t="s">
        <v>2713</v>
      </c>
      <c r="O628" s="310" t="s">
        <v>2714</v>
      </c>
      <c r="Q628" s="297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295" t="s">
        <v>2713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295" t="s">
        <v>2713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295" t="s">
        <v>2713</v>
      </c>
      <c r="Z628" t="str">
        <f>IFERROR(VLOOKUP(ROWS($Z$3:Z628),$X$3:$Y$992,2,0),"")</f>
        <v>Velkoobchod s obilím, surovým tabákem, osivy a krmivy</v>
      </c>
    </row>
    <row r="629" spans="13:26" ht="12.75">
      <c r="M629" s="294">
        <f>IF(ISNUMBER(SEARCH(ZAKL_DATA!$B$29,N629)),MAX($M$2:M628)+1,0)</f>
        <v>627</v>
      </c>
      <c r="N629" s="295" t="s">
        <v>2715</v>
      </c>
      <c r="O629" s="310" t="s">
        <v>2716</v>
      </c>
      <c r="Q629" s="297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295" t="s">
        <v>2715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295" t="s">
        <v>2715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295" t="s">
        <v>2715</v>
      </c>
      <c r="Z629" t="str">
        <f>IFERROR(VLOOKUP(ROWS($Z$3:Z629),$X$3:$Y$992,2,0),"")</f>
        <v>Velkoobchod s květinami a jinými rostlinami</v>
      </c>
    </row>
    <row r="630" spans="13:26" ht="12.75">
      <c r="M630" s="294">
        <f>IF(ISNUMBER(SEARCH(ZAKL_DATA!$B$29,N630)),MAX($M$2:M629)+1,0)</f>
        <v>628</v>
      </c>
      <c r="N630" s="295" t="s">
        <v>2717</v>
      </c>
      <c r="O630" s="310" t="s">
        <v>2718</v>
      </c>
      <c r="Q630" s="297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295" t="s">
        <v>2717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295" t="s">
        <v>2717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295" t="s">
        <v>2717</v>
      </c>
      <c r="Z630" t="str">
        <f>IFERROR(VLOOKUP(ROWS($Z$3:Z630),$X$3:$Y$992,2,0),"")</f>
        <v>Velkoobchod s živými zvířaty</v>
      </c>
    </row>
    <row r="631" spans="13:26" ht="12.75">
      <c r="M631" s="294">
        <f>IF(ISNUMBER(SEARCH(ZAKL_DATA!$B$29,N631)),MAX($M$2:M630)+1,0)</f>
        <v>629</v>
      </c>
      <c r="N631" s="295" t="s">
        <v>2719</v>
      </c>
      <c r="O631" s="310" t="s">
        <v>2720</v>
      </c>
      <c r="Q631" s="297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295" t="s">
        <v>2719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295" t="s">
        <v>2719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295" t="s">
        <v>2719</v>
      </c>
      <c r="Z631" t="str">
        <f>IFERROR(VLOOKUP(ROWS($Z$3:Z631),$X$3:$Y$992,2,0),"")</f>
        <v>Velkoobchod se surovými kůžemi, kožešinami a usněmi</v>
      </c>
    </row>
    <row r="632" spans="13:26" ht="12.75">
      <c r="M632" s="294">
        <f>IF(ISNUMBER(SEARCH(ZAKL_DATA!$B$29,N632)),MAX($M$2:M631)+1,0)</f>
        <v>630</v>
      </c>
      <c r="N632" s="295" t="s">
        <v>2721</v>
      </c>
      <c r="O632" s="310" t="s">
        <v>2722</v>
      </c>
      <c r="Q632" s="297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295" t="s">
        <v>2721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295" t="s">
        <v>2721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295" t="s">
        <v>2721</v>
      </c>
      <c r="Z632" t="str">
        <f>IFERROR(VLOOKUP(ROWS($Z$3:Z632),$X$3:$Y$992,2,0),"")</f>
        <v>Velkoobchod s ovocem a zeleninou</v>
      </c>
    </row>
    <row r="633" spans="13:26" ht="12.75">
      <c r="M633" s="294">
        <f>IF(ISNUMBER(SEARCH(ZAKL_DATA!$B$29,N633)),MAX($M$2:M632)+1,0)</f>
        <v>631</v>
      </c>
      <c r="N633" s="295" t="s">
        <v>2723</v>
      </c>
      <c r="O633" s="310" t="s">
        <v>2724</v>
      </c>
      <c r="Q633" s="297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295" t="s">
        <v>2723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295" t="s">
        <v>2723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295" t="s">
        <v>2723</v>
      </c>
      <c r="Z633" t="str">
        <f>IFERROR(VLOOKUP(ROWS($Z$3:Z633),$X$3:$Y$992,2,0),"")</f>
        <v>Velkoobchod s masem a masnými výrobky</v>
      </c>
    </row>
    <row r="634" spans="13:26" ht="12.75">
      <c r="M634" s="294">
        <f>IF(ISNUMBER(SEARCH(ZAKL_DATA!$B$29,N634)),MAX($M$2:M633)+1,0)</f>
        <v>632</v>
      </c>
      <c r="N634" s="295" t="s">
        <v>2725</v>
      </c>
      <c r="O634" s="310" t="s">
        <v>2726</v>
      </c>
      <c r="Q634" s="297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295" t="s">
        <v>2725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295" t="s">
        <v>2725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295" t="s">
        <v>2725</v>
      </c>
      <c r="Z634" t="str">
        <f>IFERROR(VLOOKUP(ROWS($Z$3:Z634),$X$3:$Y$992,2,0),"")</f>
        <v>Velkoobchod s mléčnými výrobky, vejci, jedlými oleji a tuky</v>
      </c>
    </row>
    <row r="635" spans="13:26" ht="12.75">
      <c r="M635" s="294">
        <f>IF(ISNUMBER(SEARCH(ZAKL_DATA!$B$29,N635)),MAX($M$2:M634)+1,0)</f>
        <v>633</v>
      </c>
      <c r="N635" s="295" t="s">
        <v>2727</v>
      </c>
      <c r="O635" s="310" t="s">
        <v>2728</v>
      </c>
      <c r="Q635" s="297" t="str">
        <f>IFERROR(VLOOKUP(ROWS($Q$3:Q635),$M$3:$N$992,2,0),"")</f>
        <v>Velkoobchod s nápoji</v>
      </c>
      <c r="R635">
        <f>IF(ISNUMBER(SEARCH('1Př1'!$A$32,N635)),MAX($M$2:M634)+1,0)</f>
        <v>633</v>
      </c>
      <c r="S635" s="295" t="s">
        <v>2727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295" t="s">
        <v>2727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295" t="s">
        <v>2727</v>
      </c>
      <c r="Z635" t="str">
        <f>IFERROR(VLOOKUP(ROWS($Z$3:Z635),$X$3:$Y$992,2,0),"")</f>
        <v>Velkoobchod s nápoji</v>
      </c>
    </row>
    <row r="636" spans="13:26" ht="12.75">
      <c r="M636" s="294">
        <f>IF(ISNUMBER(SEARCH(ZAKL_DATA!$B$29,N636)),MAX($M$2:M635)+1,0)</f>
        <v>634</v>
      </c>
      <c r="N636" s="295" t="s">
        <v>2729</v>
      </c>
      <c r="O636" s="310" t="s">
        <v>2730</v>
      </c>
      <c r="Q636" s="297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295" t="s">
        <v>2729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295" t="s">
        <v>2729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295" t="s">
        <v>2729</v>
      </c>
      <c r="Z636" t="str">
        <f>IFERROR(VLOOKUP(ROWS($Z$3:Z636),$X$3:$Y$992,2,0),"")</f>
        <v>Velkoobchod s tabákovými výrobky</v>
      </c>
    </row>
    <row r="637" spans="13:26" ht="12.75">
      <c r="M637" s="294">
        <f>IF(ISNUMBER(SEARCH(ZAKL_DATA!$B$29,N637)),MAX($M$2:M636)+1,0)</f>
        <v>635</v>
      </c>
      <c r="N637" s="295" t="s">
        <v>2731</v>
      </c>
      <c r="O637" s="310" t="s">
        <v>2732</v>
      </c>
      <c r="Q637" s="297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295" t="s">
        <v>2731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295" t="s">
        <v>2731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295" t="s">
        <v>2731</v>
      </c>
      <c r="Z637" t="str">
        <f>IFERROR(VLOOKUP(ROWS($Z$3:Z637),$X$3:$Y$992,2,0),"")</f>
        <v>Velkoobchod s cukrem, čokoládou a cukrovinkami</v>
      </c>
    </row>
    <row r="638" spans="13:26" ht="12.75">
      <c r="M638" s="294">
        <f>IF(ISNUMBER(SEARCH(ZAKL_DATA!$B$29,N638)),MAX($M$2:M637)+1,0)</f>
        <v>636</v>
      </c>
      <c r="N638" s="295" t="s">
        <v>2733</v>
      </c>
      <c r="O638" s="310" t="s">
        <v>2734</v>
      </c>
      <c r="Q638" s="297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295" t="s">
        <v>2733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295" t="s">
        <v>2733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295" t="s">
        <v>2733</v>
      </c>
      <c r="Z638" t="str">
        <f>IFERROR(VLOOKUP(ROWS($Z$3:Z638),$X$3:$Y$992,2,0),"")</f>
        <v>Velkoobchod s kávou, čajem, kakaem a kořením</v>
      </c>
    </row>
    <row r="639" spans="13:26" ht="12.75">
      <c r="M639" s="294">
        <f>IF(ISNUMBER(SEARCH(ZAKL_DATA!$B$29,N639)),MAX($M$2:M638)+1,0)</f>
        <v>637</v>
      </c>
      <c r="N639" s="295" t="s">
        <v>2735</v>
      </c>
      <c r="O639" s="310" t="s">
        <v>2736</v>
      </c>
      <c r="Q639" s="297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295" t="s">
        <v>2735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295" t="s">
        <v>2735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295" t="s">
        <v>2735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294">
        <f>IF(ISNUMBER(SEARCH(ZAKL_DATA!$B$29,N640)),MAX($M$2:M639)+1,0)</f>
        <v>638</v>
      </c>
      <c r="N640" s="295" t="s">
        <v>2737</v>
      </c>
      <c r="O640" s="310" t="s">
        <v>2738</v>
      </c>
      <c r="Q640" s="297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295" t="s">
        <v>2737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295" t="s">
        <v>2737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295" t="s">
        <v>2737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294">
        <f>IF(ISNUMBER(SEARCH(ZAKL_DATA!$B$29,N641)),MAX($M$2:M640)+1,0)</f>
        <v>639</v>
      </c>
      <c r="N641" s="295" t="s">
        <v>2739</v>
      </c>
      <c r="O641" s="310" t="s">
        <v>2740</v>
      </c>
      <c r="Q641" s="297" t="str">
        <f>IFERROR(VLOOKUP(ROWS($Q$3:Q641),$M$3:$N$992,2,0),"")</f>
        <v>Velkoobchod s textilem</v>
      </c>
      <c r="R641">
        <f>IF(ISNUMBER(SEARCH('1Př1'!$A$32,N641)),MAX($M$2:M640)+1,0)</f>
        <v>639</v>
      </c>
      <c r="S641" s="295" t="s">
        <v>2739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295" t="s">
        <v>2739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295" t="s">
        <v>2739</v>
      </c>
      <c r="Z641" t="str">
        <f>IFERROR(VLOOKUP(ROWS($Z$3:Z641),$X$3:$Y$992,2,0),"")</f>
        <v>Velkoobchod s textilem</v>
      </c>
    </row>
    <row r="642" spans="13:26" ht="12.75">
      <c r="M642" s="294">
        <f>IF(ISNUMBER(SEARCH(ZAKL_DATA!$B$29,N642)),MAX($M$2:M641)+1,0)</f>
        <v>640</v>
      </c>
      <c r="N642" s="295" t="s">
        <v>2741</v>
      </c>
      <c r="O642" s="310" t="s">
        <v>2742</v>
      </c>
      <c r="Q642" s="297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295" t="s">
        <v>2741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295" t="s">
        <v>2741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295" t="s">
        <v>2741</v>
      </c>
      <c r="Z642" t="str">
        <f>IFERROR(VLOOKUP(ROWS($Z$3:Z642),$X$3:$Y$992,2,0),"")</f>
        <v>Velkoobchod s oděvy a obuví</v>
      </c>
    </row>
    <row r="643" spans="13:26" ht="12.75">
      <c r="M643" s="294">
        <f>IF(ISNUMBER(SEARCH(ZAKL_DATA!$B$29,N643)),MAX($M$2:M642)+1,0)</f>
        <v>641</v>
      </c>
      <c r="N643" s="295" t="s">
        <v>2743</v>
      </c>
      <c r="O643" s="310" t="s">
        <v>2744</v>
      </c>
      <c r="Q643" s="297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295" t="s">
        <v>2743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295" t="s">
        <v>2743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295" t="s">
        <v>2743</v>
      </c>
      <c r="Z643" t="str">
        <f>IFERROR(VLOOKUP(ROWS($Z$3:Z643),$X$3:$Y$992,2,0),"")</f>
        <v>Velkoobchod s elektrospotřebiči a elektronikou</v>
      </c>
    </row>
    <row r="644" spans="13:26" ht="12.75">
      <c r="M644" s="294">
        <f>IF(ISNUMBER(SEARCH(ZAKL_DATA!$B$29,N644)),MAX($M$2:M643)+1,0)</f>
        <v>642</v>
      </c>
      <c r="N644" s="295" t="s">
        <v>2745</v>
      </c>
      <c r="O644" s="310" t="s">
        <v>2746</v>
      </c>
      <c r="Q644" s="297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295" t="s">
        <v>2745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295" t="s">
        <v>2745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295" t="s">
        <v>2745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294">
        <f>IF(ISNUMBER(SEARCH(ZAKL_DATA!$B$29,N645)),MAX($M$2:M644)+1,0)</f>
        <v>643</v>
      </c>
      <c r="N645" s="295" t="s">
        <v>2747</v>
      </c>
      <c r="O645" s="310" t="s">
        <v>2748</v>
      </c>
      <c r="Q645" s="297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295" t="s">
        <v>2747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295" t="s">
        <v>2747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295" t="s">
        <v>2747</v>
      </c>
      <c r="Z645" t="str">
        <f>IFERROR(VLOOKUP(ROWS($Z$3:Z645),$X$3:$Y$992,2,0),"")</f>
        <v>Velkoobchod s kosmetickými výrobky</v>
      </c>
    </row>
    <row r="646" spans="13:26" ht="12.75">
      <c r="M646" s="294">
        <f>IF(ISNUMBER(SEARCH(ZAKL_DATA!$B$29,N646)),MAX($M$2:M645)+1,0)</f>
        <v>644</v>
      </c>
      <c r="N646" s="295" t="s">
        <v>2749</v>
      </c>
      <c r="O646" s="310" t="s">
        <v>2750</v>
      </c>
      <c r="Q646" s="297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295" t="s">
        <v>2749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295" t="s">
        <v>2749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295" t="s">
        <v>2749</v>
      </c>
      <c r="Z646" t="str">
        <f>IFERROR(VLOOKUP(ROWS($Z$3:Z646),$X$3:$Y$992,2,0),"")</f>
        <v>Velkoobchod s farmaceutickými výrobky</v>
      </c>
    </row>
    <row r="647" spans="13:26" ht="12.75">
      <c r="M647" s="294">
        <f>IF(ISNUMBER(SEARCH(ZAKL_DATA!$B$29,N647)),MAX($M$2:M646)+1,0)</f>
        <v>645</v>
      </c>
      <c r="N647" s="295" t="s">
        <v>2751</v>
      </c>
      <c r="O647" s="310" t="s">
        <v>2752</v>
      </c>
      <c r="Q647" s="297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295" t="s">
        <v>2751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295" t="s">
        <v>2751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295" t="s">
        <v>2751</v>
      </c>
      <c r="Z647" t="str">
        <f>IFERROR(VLOOKUP(ROWS($Z$3:Z647),$X$3:$Y$992,2,0),"")</f>
        <v>Velkoobchod s nábytkem, koberci a svítidly</v>
      </c>
    </row>
    <row r="648" spans="13:26" ht="12.75">
      <c r="M648" s="294">
        <f>IF(ISNUMBER(SEARCH(ZAKL_DATA!$B$29,N648)),MAX($M$2:M647)+1,0)</f>
        <v>646</v>
      </c>
      <c r="N648" s="295" t="s">
        <v>2753</v>
      </c>
      <c r="O648" s="310" t="s">
        <v>2754</v>
      </c>
      <c r="Q648" s="297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295" t="s">
        <v>2753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295" t="s">
        <v>2753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295" t="s">
        <v>2753</v>
      </c>
      <c r="Z648" t="str">
        <f>IFERROR(VLOOKUP(ROWS($Z$3:Z648),$X$3:$Y$992,2,0),"")</f>
        <v>Velkoobchod s hodinami, hodinkami a klenoty</v>
      </c>
    </row>
    <row r="649" spans="13:26" ht="12.75">
      <c r="M649" s="294">
        <f>IF(ISNUMBER(SEARCH(ZAKL_DATA!$B$29,N649)),MAX($M$2:M648)+1,0)</f>
        <v>647</v>
      </c>
      <c r="N649" s="295" t="s">
        <v>2755</v>
      </c>
      <c r="O649" s="310" t="s">
        <v>2756</v>
      </c>
      <c r="Q649" s="297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295" t="s">
        <v>2755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295" t="s">
        <v>2755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295" t="s">
        <v>2755</v>
      </c>
      <c r="Z649" t="str">
        <f>IFERROR(VLOOKUP(ROWS($Z$3:Z649),$X$3:$Y$992,2,0),"")</f>
        <v>Velkoobchod s ostatními výrobky převážně pro domácnost</v>
      </c>
    </row>
    <row r="650" spans="13:26" ht="12.75">
      <c r="M650" s="294">
        <f>IF(ISNUMBER(SEARCH(ZAKL_DATA!$B$29,N650)),MAX($M$2:M649)+1,0)</f>
        <v>648</v>
      </c>
      <c r="N650" s="295" t="s">
        <v>2757</v>
      </c>
      <c r="O650" s="310" t="s">
        <v>2758</v>
      </c>
      <c r="Q650" s="297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295" t="s">
        <v>2757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295" t="s">
        <v>2757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295" t="s">
        <v>2757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294">
        <f>IF(ISNUMBER(SEARCH(ZAKL_DATA!$B$29,N651)),MAX($M$2:M650)+1,0)</f>
        <v>649</v>
      </c>
      <c r="N651" s="295" t="s">
        <v>2759</v>
      </c>
      <c r="O651" s="310" t="s">
        <v>2760</v>
      </c>
      <c r="Q651" s="297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295" t="s">
        <v>2759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295" t="s">
        <v>2759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295" t="s">
        <v>2759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294">
        <f>IF(ISNUMBER(SEARCH(ZAKL_DATA!$B$29,N652)),MAX($M$2:M651)+1,0)</f>
        <v>650</v>
      </c>
      <c r="N652" s="295" t="s">
        <v>2761</v>
      </c>
      <c r="O652" s="310" t="s">
        <v>2762</v>
      </c>
      <c r="Q652" s="297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295" t="s">
        <v>2761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295" t="s">
        <v>2761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295" t="s">
        <v>2761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294">
        <f>IF(ISNUMBER(SEARCH(ZAKL_DATA!$B$29,N653)),MAX($M$2:M652)+1,0)</f>
        <v>651</v>
      </c>
      <c r="N653" s="295" t="s">
        <v>2763</v>
      </c>
      <c r="O653" s="310" t="s">
        <v>2764</v>
      </c>
      <c r="Q653" s="297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295" t="s">
        <v>2763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295" t="s">
        <v>2763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295" t="s">
        <v>2763</v>
      </c>
      <c r="Z653" t="str">
        <f>IFERROR(VLOOKUP(ROWS($Z$3:Z653),$X$3:$Y$992,2,0),"")</f>
        <v>Velkoobchod s obráběcími stroji</v>
      </c>
    </row>
    <row r="654" spans="13:26" ht="12.75">
      <c r="M654" s="294">
        <f>IF(ISNUMBER(SEARCH(ZAKL_DATA!$B$29,N654)),MAX($M$2:M653)+1,0)</f>
        <v>652</v>
      </c>
      <c r="N654" s="295" t="s">
        <v>2765</v>
      </c>
      <c r="O654" s="310" t="s">
        <v>2766</v>
      </c>
      <c r="Q654" s="297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295" t="s">
        <v>2765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295" t="s">
        <v>2765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295" t="s">
        <v>2765</v>
      </c>
      <c r="Z654" t="str">
        <f>IFERROR(VLOOKUP(ROWS($Z$3:Z654),$X$3:$Y$992,2,0),"")</f>
        <v>Velkoobchod s těžebními a stavebními stroji a zařízením</v>
      </c>
    </row>
    <row r="655" spans="13:26" ht="12.75">
      <c r="M655" s="294">
        <f>IF(ISNUMBER(SEARCH(ZAKL_DATA!$B$29,N655)),MAX($M$2:M654)+1,0)</f>
        <v>653</v>
      </c>
      <c r="N655" s="295" t="s">
        <v>2767</v>
      </c>
      <c r="O655" s="310" t="s">
        <v>2768</v>
      </c>
      <c r="Q655" s="297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295" t="s">
        <v>2767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295" t="s">
        <v>2767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295" t="s">
        <v>2767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294">
        <f>IF(ISNUMBER(SEARCH(ZAKL_DATA!$B$29,N656)),MAX($M$2:M655)+1,0)</f>
        <v>654</v>
      </c>
      <c r="N656" s="295" t="s">
        <v>2769</v>
      </c>
      <c r="O656" s="310" t="s">
        <v>2770</v>
      </c>
      <c r="Q656" s="297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295" t="s">
        <v>2769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295" t="s">
        <v>2769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295" t="s">
        <v>2769</v>
      </c>
      <c r="Z656" t="str">
        <f>IFERROR(VLOOKUP(ROWS($Z$3:Z656),$X$3:$Y$992,2,0),"")</f>
        <v>Velkoobchod s kancelářským nábytkem</v>
      </c>
    </row>
    <row r="657" spans="13:26" ht="12.75">
      <c r="M657" s="294">
        <f>IF(ISNUMBER(SEARCH(ZAKL_DATA!$B$29,N657)),MAX($M$2:M656)+1,0)</f>
        <v>655</v>
      </c>
      <c r="N657" s="295" t="s">
        <v>2771</v>
      </c>
      <c r="O657" s="310" t="s">
        <v>2772</v>
      </c>
      <c r="Q657" s="297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295" t="s">
        <v>2771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295" t="s">
        <v>2771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295" t="s">
        <v>2771</v>
      </c>
      <c r="Z657" t="str">
        <f>IFERROR(VLOOKUP(ROWS($Z$3:Z657),$X$3:$Y$992,2,0),"")</f>
        <v>Velkoobchod s ostatními kancelářskými stroji a zařízením</v>
      </c>
    </row>
    <row r="658" spans="13:26" ht="12.75">
      <c r="M658" s="294">
        <f>IF(ISNUMBER(SEARCH(ZAKL_DATA!$B$29,N658)),MAX($M$2:M657)+1,0)</f>
        <v>656</v>
      </c>
      <c r="N658" s="295" t="s">
        <v>2773</v>
      </c>
      <c r="O658" s="310" t="s">
        <v>2774</v>
      </c>
      <c r="Q658" s="297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295" t="s">
        <v>2773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295" t="s">
        <v>2773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295" t="s">
        <v>2773</v>
      </c>
      <c r="Z658" t="str">
        <f>IFERROR(VLOOKUP(ROWS($Z$3:Z658),$X$3:$Y$992,2,0),"")</f>
        <v>Velkoobchod s ostatními stroji a zařízením</v>
      </c>
    </row>
    <row r="659" spans="13:26" ht="12.75">
      <c r="M659" s="294">
        <f>IF(ISNUMBER(SEARCH(ZAKL_DATA!$B$29,N659)),MAX($M$2:M658)+1,0)</f>
        <v>657</v>
      </c>
      <c r="N659" s="295" t="s">
        <v>2775</v>
      </c>
      <c r="O659" s="310" t="s">
        <v>2776</v>
      </c>
      <c r="Q659" s="297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295" t="s">
        <v>2775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295" t="s">
        <v>2775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295" t="s">
        <v>2775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294">
        <f>IF(ISNUMBER(SEARCH(ZAKL_DATA!$B$29,N660)),MAX($M$2:M659)+1,0)</f>
        <v>658</v>
      </c>
      <c r="N660" s="295" t="s">
        <v>2777</v>
      </c>
      <c r="O660" s="310" t="s">
        <v>2778</v>
      </c>
      <c r="Q660" s="297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295" t="s">
        <v>2777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295" t="s">
        <v>2777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295" t="s">
        <v>2777</v>
      </c>
      <c r="Z660" t="str">
        <f>IFERROR(VLOOKUP(ROWS($Z$3:Z660),$X$3:$Y$992,2,0),"")</f>
        <v>Velkoobchod s rudami, kovy a hutními výrobky</v>
      </c>
    </row>
    <row r="661" spans="13:26" ht="12.75">
      <c r="M661" s="294">
        <f>IF(ISNUMBER(SEARCH(ZAKL_DATA!$B$29,N661)),MAX($M$2:M660)+1,0)</f>
        <v>659</v>
      </c>
      <c r="N661" s="295" t="s">
        <v>2779</v>
      </c>
      <c r="O661" s="310" t="s">
        <v>2780</v>
      </c>
      <c r="Q661" s="297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295" t="s">
        <v>2779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295" t="s">
        <v>2779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295" t="s">
        <v>2779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294">
        <f>IF(ISNUMBER(SEARCH(ZAKL_DATA!$B$29,N662)),MAX($M$2:M661)+1,0)</f>
        <v>660</v>
      </c>
      <c r="N662" s="295" t="s">
        <v>2781</v>
      </c>
      <c r="O662" s="310" t="s">
        <v>2782</v>
      </c>
      <c r="Q662" s="297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295" t="s">
        <v>2781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295" t="s">
        <v>2781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295" t="s">
        <v>2781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294">
        <f>IF(ISNUMBER(SEARCH(ZAKL_DATA!$B$29,N663)),MAX($M$2:M662)+1,0)</f>
        <v>661</v>
      </c>
      <c r="N663" s="295" t="s">
        <v>2783</v>
      </c>
      <c r="O663" s="310" t="s">
        <v>2784</v>
      </c>
      <c r="Q663" s="297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295" t="s">
        <v>2783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295" t="s">
        <v>2783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295" t="s">
        <v>2783</v>
      </c>
      <c r="Z663" t="str">
        <f>IFERROR(VLOOKUP(ROWS($Z$3:Z663),$X$3:$Y$992,2,0),"")</f>
        <v>Velkoobchod s chemickými výrobky</v>
      </c>
    </row>
    <row r="664" spans="13:26" ht="12.75">
      <c r="M664" s="294">
        <f>IF(ISNUMBER(SEARCH(ZAKL_DATA!$B$29,N664)),MAX($M$2:M663)+1,0)</f>
        <v>662</v>
      </c>
      <c r="N664" s="295" t="s">
        <v>2785</v>
      </c>
      <c r="O664" s="310" t="s">
        <v>2786</v>
      </c>
      <c r="Q664" s="297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295" t="s">
        <v>2785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295" t="s">
        <v>2785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295" t="s">
        <v>2785</v>
      </c>
      <c r="Z664" t="str">
        <f>IFERROR(VLOOKUP(ROWS($Z$3:Z664),$X$3:$Y$992,2,0),"")</f>
        <v>Velkoobchod s ostatními meziprodukty</v>
      </c>
    </row>
    <row r="665" spans="13:26" ht="12.75">
      <c r="M665" s="294">
        <f>IF(ISNUMBER(SEARCH(ZAKL_DATA!$B$29,N665)),MAX($M$2:M664)+1,0)</f>
        <v>663</v>
      </c>
      <c r="N665" s="295" t="s">
        <v>2787</v>
      </c>
      <c r="O665" s="310" t="s">
        <v>2788</v>
      </c>
      <c r="Q665" s="297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295" t="s">
        <v>2787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295" t="s">
        <v>2787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295" t="s">
        <v>2787</v>
      </c>
      <c r="Z665" t="str">
        <f>IFERROR(VLOOKUP(ROWS($Z$3:Z665),$X$3:$Y$992,2,0),"")</f>
        <v>Velkoobchod s odpadem a šrotem</v>
      </c>
    </row>
    <row r="666" spans="13:26" ht="12.75">
      <c r="M666" s="294">
        <f>IF(ISNUMBER(SEARCH(ZAKL_DATA!$B$29,N666)),MAX($M$2:M665)+1,0)</f>
        <v>664</v>
      </c>
      <c r="N666" s="295" t="s">
        <v>2789</v>
      </c>
      <c r="O666" s="310" t="s">
        <v>2790</v>
      </c>
      <c r="Q666" s="297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295" t="s">
        <v>2789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295" t="s">
        <v>2789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295" t="s">
        <v>2789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294">
        <f>IF(ISNUMBER(SEARCH(ZAKL_DATA!$B$29,N667)),MAX($M$2:M666)+1,0)</f>
        <v>665</v>
      </c>
      <c r="N667" s="295" t="s">
        <v>2791</v>
      </c>
      <c r="O667" s="310" t="s">
        <v>2792</v>
      </c>
      <c r="Q667" s="297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295" t="s">
        <v>2791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295" t="s">
        <v>2791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295" t="s">
        <v>2791</v>
      </c>
      <c r="Z667" t="str">
        <f>IFERROR(VLOOKUP(ROWS($Z$3:Z667),$X$3:$Y$992,2,0),"")</f>
        <v>Ostatní maloobchod v nespecializovaných prodejnách</v>
      </c>
    </row>
    <row r="668" spans="13:26" ht="12.75">
      <c r="M668" s="294">
        <f>IF(ISNUMBER(SEARCH(ZAKL_DATA!$B$29,N668)),MAX($M$2:M667)+1,0)</f>
        <v>666</v>
      </c>
      <c r="N668" s="295" t="s">
        <v>2793</v>
      </c>
      <c r="O668" s="310" t="s">
        <v>2794</v>
      </c>
      <c r="Q668" s="297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295" t="s">
        <v>2793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295" t="s">
        <v>2793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295" t="s">
        <v>2793</v>
      </c>
      <c r="Z668" t="str">
        <f>IFERROR(VLOOKUP(ROWS($Z$3:Z668),$X$3:$Y$992,2,0),"")</f>
        <v>Maloobchod s ovocem a zeleninou</v>
      </c>
    </row>
    <row r="669" spans="13:26" ht="12.75">
      <c r="M669" s="294">
        <f>IF(ISNUMBER(SEARCH(ZAKL_DATA!$B$29,N669)),MAX($M$2:M668)+1,0)</f>
        <v>667</v>
      </c>
      <c r="N669" s="295" t="s">
        <v>2795</v>
      </c>
      <c r="O669" s="310" t="s">
        <v>2796</v>
      </c>
      <c r="Q669" s="297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295" t="s">
        <v>2795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295" t="s">
        <v>2795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295" t="s">
        <v>2795</v>
      </c>
      <c r="Z669" t="str">
        <f>IFERROR(VLOOKUP(ROWS($Z$3:Z669),$X$3:$Y$992,2,0),"")</f>
        <v>Maloobchod s masem a masnými výrobky</v>
      </c>
    </row>
    <row r="670" spans="13:26" ht="12.75">
      <c r="M670" s="294">
        <f>IF(ISNUMBER(SEARCH(ZAKL_DATA!$B$29,N670)),MAX($M$2:M669)+1,0)</f>
        <v>668</v>
      </c>
      <c r="N670" s="295" t="s">
        <v>2797</v>
      </c>
      <c r="O670" s="310" t="s">
        <v>2798</v>
      </c>
      <c r="Q670" s="297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295" t="s">
        <v>2797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295" t="s">
        <v>2797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295" t="s">
        <v>2797</v>
      </c>
      <c r="Z670" t="str">
        <f>IFERROR(VLOOKUP(ROWS($Z$3:Z670),$X$3:$Y$992,2,0),"")</f>
        <v>Maloobchod s rybami, korýši a měkkýši</v>
      </c>
    </row>
    <row r="671" spans="13:26" ht="12.75">
      <c r="M671" s="294">
        <f>IF(ISNUMBER(SEARCH(ZAKL_DATA!$B$29,N671)),MAX($M$2:M670)+1,0)</f>
        <v>669</v>
      </c>
      <c r="N671" s="295" t="s">
        <v>2799</v>
      </c>
      <c r="O671" s="310" t="s">
        <v>2800</v>
      </c>
      <c r="Q671" s="297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295" t="s">
        <v>2799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295" t="s">
        <v>2799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295" t="s">
        <v>2799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294">
        <f>IF(ISNUMBER(SEARCH(ZAKL_DATA!$B$29,N672)),MAX($M$2:M671)+1,0)</f>
        <v>670</v>
      </c>
      <c r="N672" s="295" t="s">
        <v>2801</v>
      </c>
      <c r="O672" s="310" t="s">
        <v>2802</v>
      </c>
      <c r="Q672" s="297" t="str">
        <f>IFERROR(VLOOKUP(ROWS($Q$3:Q672),$M$3:$N$992,2,0),"")</f>
        <v>Maloobchod s nápoji</v>
      </c>
      <c r="R672">
        <f>IF(ISNUMBER(SEARCH('1Př1'!$A$32,N672)),MAX($M$2:M671)+1,0)</f>
        <v>670</v>
      </c>
      <c r="S672" s="295" t="s">
        <v>2801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295" t="s">
        <v>2801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295" t="s">
        <v>2801</v>
      </c>
      <c r="Z672" t="str">
        <f>IFERROR(VLOOKUP(ROWS($Z$3:Z672),$X$3:$Y$992,2,0),"")</f>
        <v>Maloobchod s nápoji</v>
      </c>
    </row>
    <row r="673" spans="13:26" ht="12.75">
      <c r="M673" s="294">
        <f>IF(ISNUMBER(SEARCH(ZAKL_DATA!$B$29,N673)),MAX($M$2:M672)+1,0)</f>
        <v>671</v>
      </c>
      <c r="N673" s="295" t="s">
        <v>2803</v>
      </c>
      <c r="O673" s="310" t="s">
        <v>2804</v>
      </c>
      <c r="Q673" s="297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295" t="s">
        <v>2803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295" t="s">
        <v>2803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295" t="s">
        <v>2803</v>
      </c>
      <c r="Z673" t="str">
        <f>IFERROR(VLOOKUP(ROWS($Z$3:Z673),$X$3:$Y$992,2,0),"")</f>
        <v>Maloobchod s tabákovými výrobky</v>
      </c>
    </row>
    <row r="674" spans="13:26" ht="12.75">
      <c r="M674" s="294">
        <f>IF(ISNUMBER(SEARCH(ZAKL_DATA!$B$29,N674)),MAX($M$2:M673)+1,0)</f>
        <v>672</v>
      </c>
      <c r="N674" s="295" t="s">
        <v>2805</v>
      </c>
      <c r="O674" s="310" t="s">
        <v>2806</v>
      </c>
      <c r="Q674" s="297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295" t="s">
        <v>2805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295" t="s">
        <v>2805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295" t="s">
        <v>2805</v>
      </c>
      <c r="Z674" t="str">
        <f>IFERROR(VLOOKUP(ROWS($Z$3:Z674),$X$3:$Y$992,2,0),"")</f>
        <v>Ostatní maloobchod s potravinami ve specializovaných prodejnách</v>
      </c>
    </row>
    <row r="675" spans="13:26" ht="12.75">
      <c r="M675" s="294">
        <f>IF(ISNUMBER(SEARCH(ZAKL_DATA!$B$29,N675)),MAX($M$2:M674)+1,0)</f>
        <v>673</v>
      </c>
      <c r="N675" s="295" t="s">
        <v>2807</v>
      </c>
      <c r="O675" s="310" t="s">
        <v>2808</v>
      </c>
      <c r="Q675" s="297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295" t="s">
        <v>2807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295" t="s">
        <v>2807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295" t="s">
        <v>2807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294">
        <f>IF(ISNUMBER(SEARCH(ZAKL_DATA!$B$29,N676)),MAX($M$2:M675)+1,0)</f>
        <v>674</v>
      </c>
      <c r="N676" s="295" t="s">
        <v>2809</v>
      </c>
      <c r="O676" s="310" t="s">
        <v>2810</v>
      </c>
      <c r="Q676" s="297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295" t="s">
        <v>2809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295" t="s">
        <v>2809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295" t="s">
        <v>2809</v>
      </c>
      <c r="Z676" t="str">
        <f>IFERROR(VLOOKUP(ROWS($Z$3:Z676),$X$3:$Y$992,2,0),"")</f>
        <v>Maloobchod s telekomunikačním zařízením</v>
      </c>
    </row>
    <row r="677" spans="13:26" ht="12.75">
      <c r="M677" s="294">
        <f>IF(ISNUMBER(SEARCH(ZAKL_DATA!$B$29,N677)),MAX($M$2:M676)+1,0)</f>
        <v>675</v>
      </c>
      <c r="N677" s="295" t="s">
        <v>2811</v>
      </c>
      <c r="O677" s="310" t="s">
        <v>2812</v>
      </c>
      <c r="Q677" s="297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295" t="s">
        <v>2811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295" t="s">
        <v>2811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295" t="s">
        <v>2811</v>
      </c>
      <c r="Z677" t="str">
        <f>IFERROR(VLOOKUP(ROWS($Z$3:Z677),$X$3:$Y$992,2,0),"")</f>
        <v>Maloobchod s audio- a videozařízením</v>
      </c>
    </row>
    <row r="678" spans="13:26" ht="12.75">
      <c r="M678" s="294">
        <f>IF(ISNUMBER(SEARCH(ZAKL_DATA!$B$29,N678)),MAX($M$2:M677)+1,0)</f>
        <v>676</v>
      </c>
      <c r="N678" s="295" t="s">
        <v>2813</v>
      </c>
      <c r="O678" s="310" t="s">
        <v>2814</v>
      </c>
      <c r="Q678" s="297" t="str">
        <f>IFERROR(VLOOKUP(ROWS($Q$3:Q678),$M$3:$N$992,2,0),"")</f>
        <v>Maloobchod s textilem</v>
      </c>
      <c r="R678">
        <f>IF(ISNUMBER(SEARCH('1Př1'!$A$32,N678)),MAX($M$2:M677)+1,0)</f>
        <v>676</v>
      </c>
      <c r="S678" s="295" t="s">
        <v>2813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295" t="s">
        <v>2813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295" t="s">
        <v>2813</v>
      </c>
      <c r="Z678" t="str">
        <f>IFERROR(VLOOKUP(ROWS($Z$3:Z678),$X$3:$Y$992,2,0),"")</f>
        <v>Maloobchod s textilem</v>
      </c>
    </row>
    <row r="679" spans="13:26" ht="12.75">
      <c r="M679" s="294">
        <f>IF(ISNUMBER(SEARCH(ZAKL_DATA!$B$29,N679)),MAX($M$2:M678)+1,0)</f>
        <v>677</v>
      </c>
      <c r="N679" s="295" t="s">
        <v>2815</v>
      </c>
      <c r="O679" s="310" t="s">
        <v>2816</v>
      </c>
      <c r="Q679" s="297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295" t="s">
        <v>2815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295" t="s">
        <v>2815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295" t="s">
        <v>2815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294">
        <f>IF(ISNUMBER(SEARCH(ZAKL_DATA!$B$29,N680)),MAX($M$2:M679)+1,0)</f>
        <v>678</v>
      </c>
      <c r="N680" s="295" t="s">
        <v>2817</v>
      </c>
      <c r="O680" s="310" t="s">
        <v>2818</v>
      </c>
      <c r="Q680" s="297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295" t="s">
        <v>2817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295" t="s">
        <v>2817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295" t="s">
        <v>2817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294">
        <f>IF(ISNUMBER(SEARCH(ZAKL_DATA!$B$29,N681)),MAX($M$2:M680)+1,0)</f>
        <v>679</v>
      </c>
      <c r="N681" s="295" t="s">
        <v>2819</v>
      </c>
      <c r="O681" s="310" t="s">
        <v>2820</v>
      </c>
      <c r="Q681" s="297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295" t="s">
        <v>2819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295" t="s">
        <v>2819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295" t="s">
        <v>2819</v>
      </c>
      <c r="Z681" t="str">
        <f>IFERROR(VLOOKUP(ROWS($Z$3:Z681),$X$3:$Y$992,2,0),"")</f>
        <v>Maloobchod s elektrospotřebiči a elektronikou</v>
      </c>
    </row>
    <row r="682" spans="13:26" ht="12.75">
      <c r="M682" s="294">
        <f>IF(ISNUMBER(SEARCH(ZAKL_DATA!$B$29,N682)),MAX($M$2:M681)+1,0)</f>
        <v>680</v>
      </c>
      <c r="N682" s="295" t="s">
        <v>2821</v>
      </c>
      <c r="O682" s="310" t="s">
        <v>2822</v>
      </c>
      <c r="Q682" s="297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295" t="s">
        <v>2821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295" t="s">
        <v>2821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295" t="s">
        <v>2821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294">
        <f>IF(ISNUMBER(SEARCH(ZAKL_DATA!$B$29,N683)),MAX($M$2:M682)+1,0)</f>
        <v>681</v>
      </c>
      <c r="N683" s="295" t="s">
        <v>2823</v>
      </c>
      <c r="O683" s="310" t="s">
        <v>2824</v>
      </c>
      <c r="Q683" s="297" t="str">
        <f>IFERROR(VLOOKUP(ROWS($Q$3:Q683),$M$3:$N$992,2,0),"")</f>
        <v>Maloobchod s knihami</v>
      </c>
      <c r="R683">
        <f>IF(ISNUMBER(SEARCH('1Př1'!$A$32,N683)),MAX($M$2:M682)+1,0)</f>
        <v>681</v>
      </c>
      <c r="S683" s="295" t="s">
        <v>2823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295" t="s">
        <v>2823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295" t="s">
        <v>2823</v>
      </c>
      <c r="Z683" t="str">
        <f>IFERROR(VLOOKUP(ROWS($Z$3:Z683),$X$3:$Y$992,2,0),"")</f>
        <v>Maloobchod s knihami</v>
      </c>
    </row>
    <row r="684" spans="13:26" ht="12.75">
      <c r="M684" s="294">
        <f>IF(ISNUMBER(SEARCH(ZAKL_DATA!$B$29,N684)),MAX($M$2:M683)+1,0)</f>
        <v>682</v>
      </c>
      <c r="N684" s="295" t="s">
        <v>2825</v>
      </c>
      <c r="O684" s="310" t="s">
        <v>2826</v>
      </c>
      <c r="Q684" s="297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295" t="s">
        <v>2825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295" t="s">
        <v>2825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295" t="s">
        <v>2825</v>
      </c>
      <c r="Z684" t="str">
        <f>IFERROR(VLOOKUP(ROWS($Z$3:Z684),$X$3:$Y$992,2,0),"")</f>
        <v>Maloobchod s novinami, časopisy a papírnickým zbožím</v>
      </c>
    </row>
    <row r="685" spans="13:26" ht="12.75">
      <c r="M685" s="294">
        <f>IF(ISNUMBER(SEARCH(ZAKL_DATA!$B$29,N685)),MAX($M$2:M684)+1,0)</f>
        <v>683</v>
      </c>
      <c r="N685" s="295" t="s">
        <v>2827</v>
      </c>
      <c r="O685" s="310" t="s">
        <v>2828</v>
      </c>
      <c r="Q685" s="297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295" t="s">
        <v>2827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295" t="s">
        <v>2827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295" t="s">
        <v>2827</v>
      </c>
      <c r="Z685" t="str">
        <f>IFERROR(VLOOKUP(ROWS($Z$3:Z685),$X$3:$Y$992,2,0),"")</f>
        <v>Maloobchod s audio- a videozáznamy</v>
      </c>
    </row>
    <row r="686" spans="13:26" ht="12.75">
      <c r="M686" s="294">
        <f>IF(ISNUMBER(SEARCH(ZAKL_DATA!$B$29,N686)),MAX($M$2:M685)+1,0)</f>
        <v>684</v>
      </c>
      <c r="N686" s="295" t="s">
        <v>2829</v>
      </c>
      <c r="O686" s="310" t="s">
        <v>2830</v>
      </c>
      <c r="Q686" s="297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295" t="s">
        <v>2829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295" t="s">
        <v>2829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295" t="s">
        <v>2829</v>
      </c>
      <c r="Z686" t="str">
        <f>IFERROR(VLOOKUP(ROWS($Z$3:Z686),$X$3:$Y$992,2,0),"")</f>
        <v>Maloobchod se sportovním vybavením</v>
      </c>
    </row>
    <row r="687" spans="13:26" ht="12.75">
      <c r="M687" s="294">
        <f>IF(ISNUMBER(SEARCH(ZAKL_DATA!$B$29,N687)),MAX($M$2:M686)+1,0)</f>
        <v>685</v>
      </c>
      <c r="N687" s="295" t="s">
        <v>2831</v>
      </c>
      <c r="O687" s="310" t="s">
        <v>2832</v>
      </c>
      <c r="Q687" s="297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295" t="s">
        <v>2831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295" t="s">
        <v>2831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295" t="s">
        <v>2831</v>
      </c>
      <c r="Z687" t="str">
        <f>IFERROR(VLOOKUP(ROWS($Z$3:Z687),$X$3:$Y$992,2,0),"")</f>
        <v>Maloobchod s hrami a hračkami</v>
      </c>
    </row>
    <row r="688" spans="13:26" ht="12.75">
      <c r="M688" s="294">
        <f>IF(ISNUMBER(SEARCH(ZAKL_DATA!$B$29,N688)),MAX($M$2:M687)+1,0)</f>
        <v>686</v>
      </c>
      <c r="N688" s="295" t="s">
        <v>2833</v>
      </c>
      <c r="O688" s="310" t="s">
        <v>2834</v>
      </c>
      <c r="Q688" s="297" t="str">
        <f>IFERROR(VLOOKUP(ROWS($Q$3:Q688),$M$3:$N$992,2,0),"")</f>
        <v>Maloobchod s oděvy</v>
      </c>
      <c r="R688">
        <f>IF(ISNUMBER(SEARCH('1Př1'!$A$32,N688)),MAX($M$2:M687)+1,0)</f>
        <v>686</v>
      </c>
      <c r="S688" s="295" t="s">
        <v>2833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295" t="s">
        <v>2833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295" t="s">
        <v>2833</v>
      </c>
      <c r="Z688" t="str">
        <f>IFERROR(VLOOKUP(ROWS($Z$3:Z688),$X$3:$Y$992,2,0),"")</f>
        <v>Maloobchod s oděvy</v>
      </c>
    </row>
    <row r="689" spans="13:26" ht="12.75">
      <c r="M689" s="294">
        <f>IF(ISNUMBER(SEARCH(ZAKL_DATA!$B$29,N689)),MAX($M$2:M688)+1,0)</f>
        <v>687</v>
      </c>
      <c r="N689" s="295" t="s">
        <v>2835</v>
      </c>
      <c r="O689" s="310" t="s">
        <v>2836</v>
      </c>
      <c r="Q689" s="297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295" t="s">
        <v>2835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295" t="s">
        <v>2835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295" t="s">
        <v>2835</v>
      </c>
      <c r="Z689" t="str">
        <f>IFERROR(VLOOKUP(ROWS($Z$3:Z689),$X$3:$Y$992,2,0),"")</f>
        <v>Maloobchod s obuví a koženými výrobky</v>
      </c>
    </row>
    <row r="690" spans="13:26" ht="12.75">
      <c r="M690" s="294">
        <f>IF(ISNUMBER(SEARCH(ZAKL_DATA!$B$29,N690)),MAX($M$2:M689)+1,0)</f>
        <v>688</v>
      </c>
      <c r="N690" s="295" t="s">
        <v>2837</v>
      </c>
      <c r="O690" s="310" t="s">
        <v>2838</v>
      </c>
      <c r="Q690" s="297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295" t="s">
        <v>2837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295" t="s">
        <v>2837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295" t="s">
        <v>2837</v>
      </c>
      <c r="Z690" t="str">
        <f>IFERROR(VLOOKUP(ROWS($Z$3:Z690),$X$3:$Y$992,2,0),"")</f>
        <v>Maloobchod s farmaceutickými přípravky</v>
      </c>
    </row>
    <row r="691" spans="13:26" ht="12.75">
      <c r="M691" s="294">
        <f>IF(ISNUMBER(SEARCH(ZAKL_DATA!$B$29,N691)),MAX($M$2:M690)+1,0)</f>
        <v>689</v>
      </c>
      <c r="N691" s="295" t="s">
        <v>2839</v>
      </c>
      <c r="O691" s="310" t="s">
        <v>2840</v>
      </c>
      <c r="Q691" s="297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295" t="s">
        <v>2839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295" t="s">
        <v>2839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295" t="s">
        <v>2839</v>
      </c>
      <c r="Z691" t="str">
        <f>IFERROR(VLOOKUP(ROWS($Z$3:Z691),$X$3:$Y$992,2,0),"")</f>
        <v>Maloobchod se zdravotnickými a ortopedickými výrobky</v>
      </c>
    </row>
    <row r="692" spans="13:26" ht="12.75">
      <c r="M692" s="294">
        <f>IF(ISNUMBER(SEARCH(ZAKL_DATA!$B$29,N692)),MAX($M$2:M691)+1,0)</f>
        <v>690</v>
      </c>
      <c r="N692" s="295" t="s">
        <v>2841</v>
      </c>
      <c r="O692" s="310" t="s">
        <v>2842</v>
      </c>
      <c r="Q692" s="297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295" t="s">
        <v>2841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295" t="s">
        <v>2841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295" t="s">
        <v>2841</v>
      </c>
      <c r="Z692" t="str">
        <f>IFERROR(VLOOKUP(ROWS($Z$3:Z692),$X$3:$Y$992,2,0),"")</f>
        <v>Maloobchod s kosmetickými a toaletními výrobky</v>
      </c>
    </row>
    <row r="693" spans="13:26" ht="12.75">
      <c r="M693" s="294">
        <f>IF(ISNUMBER(SEARCH(ZAKL_DATA!$B$29,N693)),MAX($M$2:M692)+1,0)</f>
        <v>691</v>
      </c>
      <c r="N693" s="295" t="s">
        <v>2843</v>
      </c>
      <c r="O693" s="310" t="s">
        <v>2844</v>
      </c>
      <c r="Q693" s="297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295" t="s">
        <v>2843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295" t="s">
        <v>2843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295" t="s">
        <v>2843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294">
        <f>IF(ISNUMBER(SEARCH(ZAKL_DATA!$B$29,N694)),MAX($M$2:M693)+1,0)</f>
        <v>692</v>
      </c>
      <c r="N694" s="295" t="s">
        <v>2845</v>
      </c>
      <c r="O694" s="310" t="s">
        <v>2846</v>
      </c>
      <c r="Q694" s="297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295" t="s">
        <v>2845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295" t="s">
        <v>2845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295" t="s">
        <v>2845</v>
      </c>
      <c r="Z694" t="str">
        <f>IFERROR(VLOOKUP(ROWS($Z$3:Z694),$X$3:$Y$992,2,0),"")</f>
        <v>Maloobchod s hodinami, hodinkami a klenoty</v>
      </c>
    </row>
    <row r="695" spans="13:26" ht="12.75">
      <c r="M695" s="294">
        <f>IF(ISNUMBER(SEARCH(ZAKL_DATA!$B$29,N695)),MAX($M$2:M694)+1,0)</f>
        <v>693</v>
      </c>
      <c r="N695" s="295" t="s">
        <v>2847</v>
      </c>
      <c r="O695" s="310" t="s">
        <v>2848</v>
      </c>
      <c r="Q695" s="297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295" t="s">
        <v>2847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295" t="s">
        <v>2847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295" t="s">
        <v>2847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294">
        <f>IF(ISNUMBER(SEARCH(ZAKL_DATA!$B$29,N696)),MAX($M$2:M695)+1,0)</f>
        <v>694</v>
      </c>
      <c r="N696" s="295" t="s">
        <v>2849</v>
      </c>
      <c r="O696" s="310" t="s">
        <v>2850</v>
      </c>
      <c r="Q696" s="297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295" t="s">
        <v>2849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295" t="s">
        <v>2849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295" t="s">
        <v>2849</v>
      </c>
      <c r="Z696" t="str">
        <f>IFERROR(VLOOKUP(ROWS($Z$3:Z696),$X$3:$Y$992,2,0),"")</f>
        <v>Maloobchod s použitým zbožím v prodejnách</v>
      </c>
    </row>
    <row r="697" spans="13:26" ht="12.75">
      <c r="M697" s="294">
        <f>IF(ISNUMBER(SEARCH(ZAKL_DATA!$B$29,N697)),MAX($M$2:M696)+1,0)</f>
        <v>695</v>
      </c>
      <c r="N697" s="295" t="s">
        <v>2851</v>
      </c>
      <c r="O697" s="310" t="s">
        <v>2852</v>
      </c>
      <c r="Q697" s="297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295" t="s">
        <v>2851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295" t="s">
        <v>2851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295" t="s">
        <v>2851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294">
        <f>IF(ISNUMBER(SEARCH(ZAKL_DATA!$B$29,N698)),MAX($M$2:M697)+1,0)</f>
        <v>696</v>
      </c>
      <c r="N698" s="295" t="s">
        <v>2853</v>
      </c>
      <c r="O698" s="310" t="s">
        <v>2854</v>
      </c>
      <c r="Q698" s="297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295" t="s">
        <v>2853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295" t="s">
        <v>2853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295" t="s">
        <v>2853</v>
      </c>
      <c r="Z698" t="str">
        <f>IFERROR(VLOOKUP(ROWS($Z$3:Z698),$X$3:$Y$992,2,0),"")</f>
        <v>Maloobchod s textilem, oděvy a obuví ve stáncích a na trzích</v>
      </c>
    </row>
    <row r="699" spans="13:26" ht="12.75">
      <c r="M699" s="294">
        <f>IF(ISNUMBER(SEARCH(ZAKL_DATA!$B$29,N699)),MAX($M$2:M698)+1,0)</f>
        <v>697</v>
      </c>
      <c r="N699" s="295" t="s">
        <v>2855</v>
      </c>
      <c r="O699" s="310" t="s">
        <v>2856</v>
      </c>
      <c r="Q699" s="297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295" t="s">
        <v>2855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295" t="s">
        <v>2855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295" t="s">
        <v>2855</v>
      </c>
      <c r="Z699" t="str">
        <f>IFERROR(VLOOKUP(ROWS($Z$3:Z699),$X$3:$Y$992,2,0),"")</f>
        <v>Maloobchod s ostatním zbožím ve stáncích a na trzích</v>
      </c>
    </row>
    <row r="700" spans="13:26" ht="12.75">
      <c r="M700" s="294">
        <f>IF(ISNUMBER(SEARCH(ZAKL_DATA!$B$29,N700)),MAX($M$2:M699)+1,0)</f>
        <v>698</v>
      </c>
      <c r="N700" s="295" t="s">
        <v>2857</v>
      </c>
      <c r="O700" s="310" t="s">
        <v>2858</v>
      </c>
      <c r="Q700" s="297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295" t="s">
        <v>2857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295" t="s">
        <v>2857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295" t="s">
        <v>2857</v>
      </c>
      <c r="Z700" t="str">
        <f>IFERROR(VLOOKUP(ROWS($Z$3:Z700),$X$3:$Y$992,2,0),"")</f>
        <v>Maloobchod prostřednictvím internetu nebo zásilkové služby</v>
      </c>
    </row>
    <row r="701" spans="13:26" ht="12.75">
      <c r="M701" s="294">
        <f>IF(ISNUMBER(SEARCH(ZAKL_DATA!$B$29,N701)),MAX($M$2:M700)+1,0)</f>
        <v>699</v>
      </c>
      <c r="N701" s="295" t="s">
        <v>2859</v>
      </c>
      <c r="O701" s="310" t="s">
        <v>2860</v>
      </c>
      <c r="Q701" s="297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295" t="s">
        <v>2859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295" t="s">
        <v>2859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295" t="s">
        <v>2859</v>
      </c>
      <c r="Z701" t="str">
        <f>IFERROR(VLOOKUP(ROWS($Z$3:Z701),$X$3:$Y$992,2,0),"")</f>
        <v>Ostatní maloobchod mimo prodejny, stánky a trhy</v>
      </c>
    </row>
    <row r="702" spans="13:26" ht="12.75">
      <c r="M702" s="294">
        <f>IF(ISNUMBER(SEARCH(ZAKL_DATA!$B$29,N702)),MAX($M$2:M701)+1,0)</f>
        <v>700</v>
      </c>
      <c r="N702" s="295" t="s">
        <v>2861</v>
      </c>
      <c r="O702" s="310" t="s">
        <v>2862</v>
      </c>
      <c r="Q702" s="297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295" t="s">
        <v>2861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295" t="s">
        <v>2861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295" t="s">
        <v>2861</v>
      </c>
      <c r="Z702" t="str">
        <f>IFERROR(VLOOKUP(ROWS($Z$3:Z702),$X$3:$Y$992,2,0),"")</f>
        <v>Městská a příměstská pozemní osobní doprava</v>
      </c>
    </row>
    <row r="703" spans="13:26" ht="12.75">
      <c r="M703" s="294">
        <f>IF(ISNUMBER(SEARCH(ZAKL_DATA!$B$29,N703)),MAX($M$2:M702)+1,0)</f>
        <v>701</v>
      </c>
      <c r="N703" s="295" t="s">
        <v>2863</v>
      </c>
      <c r="O703" s="310" t="s">
        <v>2864</v>
      </c>
      <c r="Q703" s="297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295" t="s">
        <v>2863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295" t="s">
        <v>2863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295" t="s">
        <v>2863</v>
      </c>
      <c r="Z703" t="str">
        <f>IFERROR(VLOOKUP(ROWS($Z$3:Z703),$X$3:$Y$992,2,0),"")</f>
        <v>Taxislužba a pronájem osobních vozů s řidičem</v>
      </c>
    </row>
    <row r="704" spans="13:26" ht="12.75">
      <c r="M704" s="294">
        <f>IF(ISNUMBER(SEARCH(ZAKL_DATA!$B$29,N704)),MAX($M$2:M703)+1,0)</f>
        <v>702</v>
      </c>
      <c r="N704" s="295" t="s">
        <v>2865</v>
      </c>
      <c r="O704" s="310" t="s">
        <v>2866</v>
      </c>
      <c r="Q704" s="297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295" t="s">
        <v>2865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295" t="s">
        <v>2865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295" t="s">
        <v>2865</v>
      </c>
      <c r="Z704" t="str">
        <f>IFERROR(VLOOKUP(ROWS($Z$3:Z704),$X$3:$Y$992,2,0),"")</f>
        <v>Ostatní pozemní osobní doprava j. n.</v>
      </c>
    </row>
    <row r="705" spans="13:26" ht="12.75">
      <c r="M705" s="294">
        <f>IF(ISNUMBER(SEARCH(ZAKL_DATA!$B$29,N705)),MAX($M$2:M704)+1,0)</f>
        <v>703</v>
      </c>
      <c r="N705" s="295" t="s">
        <v>2867</v>
      </c>
      <c r="O705" s="310" t="s">
        <v>2868</v>
      </c>
      <c r="Q705" s="297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295" t="s">
        <v>2867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295" t="s">
        <v>2867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295" t="s">
        <v>2867</v>
      </c>
      <c r="Z705" t="str">
        <f>IFERROR(VLOOKUP(ROWS($Z$3:Z705),$X$3:$Y$992,2,0),"")</f>
        <v>Silniční nákladní doprava</v>
      </c>
    </row>
    <row r="706" spans="13:26" ht="12.75">
      <c r="M706" s="294">
        <f>IF(ISNUMBER(SEARCH(ZAKL_DATA!$B$29,N706)),MAX($M$2:M705)+1,0)</f>
        <v>704</v>
      </c>
      <c r="N706" s="295" t="s">
        <v>2869</v>
      </c>
      <c r="O706" s="310" t="s">
        <v>2870</v>
      </c>
      <c r="Q706" s="297" t="str">
        <f>IFERROR(VLOOKUP(ROWS($Q$3:Q706),$M$3:$N$992,2,0),"")</f>
        <v>Stěhovací služby</v>
      </c>
      <c r="R706">
        <f>IF(ISNUMBER(SEARCH('1Př1'!$A$32,N706)),MAX($M$2:M705)+1,0)</f>
        <v>704</v>
      </c>
      <c r="S706" s="295" t="s">
        <v>2869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295" t="s">
        <v>2869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295" t="s">
        <v>2869</v>
      </c>
      <c r="Z706" t="str">
        <f>IFERROR(VLOOKUP(ROWS($Z$3:Z706),$X$3:$Y$992,2,0),"")</f>
        <v>Stěhovací služby</v>
      </c>
    </row>
    <row r="707" spans="13:26" ht="12.75">
      <c r="M707" s="294">
        <f>IF(ISNUMBER(SEARCH(ZAKL_DATA!$B$29,N707)),MAX($M$2:M706)+1,0)</f>
        <v>705</v>
      </c>
      <c r="N707" s="295" t="s">
        <v>2871</v>
      </c>
      <c r="O707" s="310" t="s">
        <v>2872</v>
      </c>
      <c r="Q707" s="297" t="str">
        <f>IFERROR(VLOOKUP(ROWS($Q$3:Q707),$M$3:$N$992,2,0),"")</f>
        <v>Těžba černého uhlí</v>
      </c>
      <c r="R707">
        <f>IF(ISNUMBER(SEARCH('1Př1'!$A$32,N707)),MAX($M$2:M706)+1,0)</f>
        <v>705</v>
      </c>
      <c r="S707" s="295" t="s">
        <v>2871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295" t="s">
        <v>2871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295" t="s">
        <v>2871</v>
      </c>
      <c r="Z707" t="str">
        <f>IFERROR(VLOOKUP(ROWS($Z$3:Z707),$X$3:$Y$992,2,0),"")</f>
        <v>Těžba černého uhlí</v>
      </c>
    </row>
    <row r="708" spans="13:26" ht="12.75">
      <c r="M708" s="294">
        <f>IF(ISNUMBER(SEARCH(ZAKL_DATA!$B$29,N708)),MAX($M$2:M707)+1,0)</f>
        <v>706</v>
      </c>
      <c r="N708" s="295" t="s">
        <v>2873</v>
      </c>
      <c r="O708" s="310" t="s">
        <v>2874</v>
      </c>
      <c r="Q708" s="297" t="str">
        <f>IFERROR(VLOOKUP(ROWS($Q$3:Q708),$M$3:$N$992,2,0),"")</f>
        <v>Úprava černého uhlí</v>
      </c>
      <c r="R708">
        <f>IF(ISNUMBER(SEARCH('1Př1'!$A$32,N708)),MAX($M$2:M707)+1,0)</f>
        <v>706</v>
      </c>
      <c r="S708" s="295" t="s">
        <v>2873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295" t="s">
        <v>2873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295" t="s">
        <v>2873</v>
      </c>
      <c r="Z708" t="str">
        <f>IFERROR(VLOOKUP(ROWS($Z$3:Z708),$X$3:$Y$992,2,0),"")</f>
        <v>Úprava černého uhlí</v>
      </c>
    </row>
    <row r="709" spans="13:26" ht="12.75">
      <c r="M709" s="294">
        <f>IF(ISNUMBER(SEARCH(ZAKL_DATA!$B$29,N709)),MAX($M$2:M708)+1,0)</f>
        <v>707</v>
      </c>
      <c r="N709" s="295" t="s">
        <v>2875</v>
      </c>
      <c r="O709" s="310" t="s">
        <v>2876</v>
      </c>
      <c r="Q709" s="297" t="str">
        <f>IFERROR(VLOOKUP(ROWS($Q$3:Q709),$M$3:$N$992,2,0),"")</f>
        <v>Letecká nákladní doprava</v>
      </c>
      <c r="R709">
        <f>IF(ISNUMBER(SEARCH('1Př1'!$A$32,N709)),MAX($M$2:M708)+1,0)</f>
        <v>707</v>
      </c>
      <c r="S709" s="295" t="s">
        <v>2875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295" t="s">
        <v>2875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295" t="s">
        <v>2875</v>
      </c>
      <c r="Z709" t="str">
        <f>IFERROR(VLOOKUP(ROWS($Z$3:Z709),$X$3:$Y$992,2,0),"")</f>
        <v>Letecká nákladní doprava</v>
      </c>
    </row>
    <row r="710" spans="13:26" ht="12.75">
      <c r="M710" s="294">
        <f>IF(ISNUMBER(SEARCH(ZAKL_DATA!$B$29,N710)),MAX($M$2:M709)+1,0)</f>
        <v>708</v>
      </c>
      <c r="N710" s="295" t="s">
        <v>2877</v>
      </c>
      <c r="O710" s="310" t="s">
        <v>2878</v>
      </c>
      <c r="Q710" s="297" t="str">
        <f>IFERROR(VLOOKUP(ROWS($Q$3:Q710),$M$3:$N$992,2,0),"")</f>
        <v>Kosmická doprava</v>
      </c>
      <c r="R710">
        <f>IF(ISNUMBER(SEARCH('1Př1'!$A$32,N710)),MAX($M$2:M709)+1,0)</f>
        <v>708</v>
      </c>
      <c r="S710" s="295" t="s">
        <v>2877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295" t="s">
        <v>2877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295" t="s">
        <v>2877</v>
      </c>
      <c r="Z710" t="str">
        <f>IFERROR(VLOOKUP(ROWS($Z$3:Z710),$X$3:$Y$992,2,0),"")</f>
        <v>Kosmická doprava</v>
      </c>
    </row>
    <row r="711" spans="13:26" ht="12.75">
      <c r="M711" s="294">
        <f>IF(ISNUMBER(SEARCH(ZAKL_DATA!$B$29,N711)),MAX($M$2:M710)+1,0)</f>
        <v>709</v>
      </c>
      <c r="N711" s="295" t="s">
        <v>2879</v>
      </c>
      <c r="O711" s="310" t="s">
        <v>2880</v>
      </c>
      <c r="Q711" s="297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295" t="s">
        <v>2879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295" t="s">
        <v>2879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295" t="s">
        <v>2879</v>
      </c>
      <c r="Z711" t="str">
        <f>IFERROR(VLOOKUP(ROWS($Z$3:Z711),$X$3:$Y$992,2,0),"")</f>
        <v>Těžba hnědého uhlí, kromě lignitu</v>
      </c>
    </row>
    <row r="712" spans="13:26" ht="12.75">
      <c r="M712" s="294">
        <f>IF(ISNUMBER(SEARCH(ZAKL_DATA!$B$29,N712)),MAX($M$2:M711)+1,0)</f>
        <v>710</v>
      </c>
      <c r="N712" s="295" t="s">
        <v>2881</v>
      </c>
      <c r="O712" s="310" t="s">
        <v>2882</v>
      </c>
      <c r="Q712" s="297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295" t="s">
        <v>2881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295" t="s">
        <v>2881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295" t="s">
        <v>2881</v>
      </c>
      <c r="Z712" t="str">
        <f>IFERROR(VLOOKUP(ROWS($Z$3:Z712),$X$3:$Y$992,2,0),"")</f>
        <v>Úprava hnědého uhlí, kromě lignitu</v>
      </c>
    </row>
    <row r="713" spans="13:26" ht="12.75">
      <c r="M713" s="294">
        <f>IF(ISNUMBER(SEARCH(ZAKL_DATA!$B$29,N713)),MAX($M$2:M712)+1,0)</f>
        <v>711</v>
      </c>
      <c r="N713" s="295" t="s">
        <v>2883</v>
      </c>
      <c r="O713" s="310" t="s">
        <v>2884</v>
      </c>
      <c r="Q713" s="297" t="str">
        <f>IFERROR(VLOOKUP(ROWS($Q$3:Q713),$M$3:$N$992,2,0),"")</f>
        <v>Těžba lignitu</v>
      </c>
      <c r="R713">
        <f>IF(ISNUMBER(SEARCH('1Př1'!$A$32,N713)),MAX($M$2:M712)+1,0)</f>
        <v>711</v>
      </c>
      <c r="S713" s="295" t="s">
        <v>2883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295" t="s">
        <v>2883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295" t="s">
        <v>2883</v>
      </c>
      <c r="Z713" t="str">
        <f>IFERROR(VLOOKUP(ROWS($Z$3:Z713),$X$3:$Y$992,2,0),"")</f>
        <v>Těžba lignitu</v>
      </c>
    </row>
    <row r="714" spans="13:26" ht="12.75">
      <c r="M714" s="294">
        <f>IF(ISNUMBER(SEARCH(ZAKL_DATA!$B$29,N714)),MAX($M$2:M713)+1,0)</f>
        <v>712</v>
      </c>
      <c r="N714" s="295" t="s">
        <v>2885</v>
      </c>
      <c r="O714" s="310" t="s">
        <v>2886</v>
      </c>
      <c r="Q714" s="297" t="str">
        <f>IFERROR(VLOOKUP(ROWS($Q$3:Q714),$M$3:$N$992,2,0),"")</f>
        <v>Úprava lignitu</v>
      </c>
      <c r="R714">
        <f>IF(ISNUMBER(SEARCH('1Př1'!$A$32,N714)),MAX($M$2:M713)+1,0)</f>
        <v>712</v>
      </c>
      <c r="S714" s="295" t="s">
        <v>2885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295" t="s">
        <v>2885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295" t="s">
        <v>2885</v>
      </c>
      <c r="Z714" t="str">
        <f>IFERROR(VLOOKUP(ROWS($Z$3:Z714),$X$3:$Y$992,2,0),"")</f>
        <v>Úprava lignitu</v>
      </c>
    </row>
    <row r="715" spans="13:26" ht="12.75">
      <c r="M715" s="294">
        <f>IF(ISNUMBER(SEARCH(ZAKL_DATA!$B$29,N715)),MAX($M$2:M714)+1,0)</f>
        <v>713</v>
      </c>
      <c r="N715" s="295" t="s">
        <v>2887</v>
      </c>
      <c r="O715" s="310" t="s">
        <v>2888</v>
      </c>
      <c r="Q715" s="297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295" t="s">
        <v>2887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295" t="s">
        <v>2887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295" t="s">
        <v>2887</v>
      </c>
      <c r="Z715" t="str">
        <f>IFERROR(VLOOKUP(ROWS($Z$3:Z715),$X$3:$Y$992,2,0),"")</f>
        <v>Činnosti související s pozemní dopravou</v>
      </c>
    </row>
    <row r="716" spans="13:26" ht="12.75">
      <c r="M716" s="294">
        <f>IF(ISNUMBER(SEARCH(ZAKL_DATA!$B$29,N716)),MAX($M$2:M715)+1,0)</f>
        <v>714</v>
      </c>
      <c r="N716" s="295" t="s">
        <v>2889</v>
      </c>
      <c r="O716" s="310" t="s">
        <v>2890</v>
      </c>
      <c r="Q716" s="297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295" t="s">
        <v>2889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295" t="s">
        <v>2889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295" t="s">
        <v>2889</v>
      </c>
      <c r="Z716" t="str">
        <f>IFERROR(VLOOKUP(ROWS($Z$3:Z716),$X$3:$Y$992,2,0),"")</f>
        <v>Činnosti související s vodní dopravou</v>
      </c>
    </row>
    <row r="717" spans="13:26" ht="12.75">
      <c r="M717" s="294">
        <f>IF(ISNUMBER(SEARCH(ZAKL_DATA!$B$29,N717)),MAX($M$2:M716)+1,0)</f>
        <v>715</v>
      </c>
      <c r="N717" s="295" t="s">
        <v>2891</v>
      </c>
      <c r="O717" s="310" t="s">
        <v>2892</v>
      </c>
      <c r="Q717" s="297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295" t="s">
        <v>2891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295" t="s">
        <v>2891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295" t="s">
        <v>2891</v>
      </c>
      <c r="Z717" t="str">
        <f>IFERROR(VLOOKUP(ROWS($Z$3:Z717),$X$3:$Y$992,2,0),"")</f>
        <v>Činnosti související s leteckou dopravou</v>
      </c>
    </row>
    <row r="718" spans="13:26" ht="12.75">
      <c r="M718" s="294">
        <f>IF(ISNUMBER(SEARCH(ZAKL_DATA!$B$29,N718)),MAX($M$2:M717)+1,0)</f>
        <v>716</v>
      </c>
      <c r="N718" s="295" t="s">
        <v>2893</v>
      </c>
      <c r="O718" s="310" t="s">
        <v>2894</v>
      </c>
      <c r="Q718" s="297" t="str">
        <f>IFERROR(VLOOKUP(ROWS($Q$3:Q718),$M$3:$N$992,2,0),"")</f>
        <v>Manipulace s nákladem</v>
      </c>
      <c r="R718">
        <f>IF(ISNUMBER(SEARCH('1Př1'!$A$32,N718)),MAX($M$2:M717)+1,0)</f>
        <v>716</v>
      </c>
      <c r="S718" s="295" t="s">
        <v>2893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295" t="s">
        <v>2893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295" t="s">
        <v>2893</v>
      </c>
      <c r="Z718" t="str">
        <f>IFERROR(VLOOKUP(ROWS($Z$3:Z718),$X$3:$Y$992,2,0),"")</f>
        <v>Manipulace s nákladem</v>
      </c>
    </row>
    <row r="719" spans="13:26" ht="12.75">
      <c r="M719" s="294">
        <f>IF(ISNUMBER(SEARCH(ZAKL_DATA!$B$29,N719)),MAX($M$2:M718)+1,0)</f>
        <v>717</v>
      </c>
      <c r="N719" s="295" t="s">
        <v>2895</v>
      </c>
      <c r="O719" s="310" t="s">
        <v>2896</v>
      </c>
      <c r="Q719" s="297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295" t="s">
        <v>2895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295" t="s">
        <v>2895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295" t="s">
        <v>2895</v>
      </c>
      <c r="Z719" t="str">
        <f>IFERROR(VLOOKUP(ROWS($Z$3:Z719),$X$3:$Y$992,2,0),"")</f>
        <v>Ostatní vedlejší činnosti v dopravě</v>
      </c>
    </row>
    <row r="720" spans="13:26" ht="12.75">
      <c r="M720" s="294">
        <f>IF(ISNUMBER(SEARCH(ZAKL_DATA!$B$29,N720)),MAX($M$2:M719)+1,0)</f>
        <v>718</v>
      </c>
      <c r="N720" s="295" t="s">
        <v>2897</v>
      </c>
      <c r="O720" s="310" t="s">
        <v>2898</v>
      </c>
      <c r="Q720" s="297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295" t="s">
        <v>2897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295" t="s">
        <v>2897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295" t="s">
        <v>2897</v>
      </c>
      <c r="Z720" t="str">
        <f>IFERROR(VLOOKUP(ROWS($Z$3:Z720),$X$3:$Y$992,2,0),"")</f>
        <v>Poskytování cateringových služeb</v>
      </c>
    </row>
    <row r="721" spans="13:26" ht="12.75">
      <c r="M721" s="294">
        <f>IF(ISNUMBER(SEARCH(ZAKL_DATA!$B$29,N721)),MAX($M$2:M720)+1,0)</f>
        <v>719</v>
      </c>
      <c r="N721" s="295" t="s">
        <v>2899</v>
      </c>
      <c r="O721" s="310" t="s">
        <v>2900</v>
      </c>
      <c r="Q721" s="297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295" t="s">
        <v>2899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295" t="s">
        <v>2899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295" t="s">
        <v>2899</v>
      </c>
      <c r="Z721" t="str">
        <f>IFERROR(VLOOKUP(ROWS($Z$3:Z721),$X$3:$Y$992,2,0),"")</f>
        <v>Poskytování ostatních stravovacích služeb</v>
      </c>
    </row>
    <row r="722" spans="13:26" ht="12.75">
      <c r="M722" s="294">
        <f>IF(ISNUMBER(SEARCH(ZAKL_DATA!$B$29,N722)),MAX($M$2:M721)+1,0)</f>
        <v>720</v>
      </c>
      <c r="N722" s="295" t="s">
        <v>2901</v>
      </c>
      <c r="O722" s="310" t="s">
        <v>2902</v>
      </c>
      <c r="Q722" s="297" t="str">
        <f>IFERROR(VLOOKUP(ROWS($Q$3:Q722),$M$3:$N$992,2,0),"")</f>
        <v>Vydávání knih</v>
      </c>
      <c r="R722">
        <f>IF(ISNUMBER(SEARCH('1Př1'!$A$32,N722)),MAX($M$2:M721)+1,0)</f>
        <v>720</v>
      </c>
      <c r="S722" s="295" t="s">
        <v>2901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295" t="s">
        <v>2901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295" t="s">
        <v>2901</v>
      </c>
      <c r="Z722" t="str">
        <f>IFERROR(VLOOKUP(ROWS($Z$3:Z722),$X$3:$Y$992,2,0),"")</f>
        <v>Vydávání knih</v>
      </c>
    </row>
    <row r="723" spans="13:26" ht="12.75">
      <c r="M723" s="294">
        <f>IF(ISNUMBER(SEARCH(ZAKL_DATA!$B$29,N723)),MAX($M$2:M722)+1,0)</f>
        <v>721</v>
      </c>
      <c r="N723" s="295" t="s">
        <v>2903</v>
      </c>
      <c r="O723" s="310" t="s">
        <v>2904</v>
      </c>
      <c r="Q723" s="297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295" t="s">
        <v>2903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295" t="s">
        <v>2903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295" t="s">
        <v>2903</v>
      </c>
      <c r="Z723" t="str">
        <f>IFERROR(VLOOKUP(ROWS($Z$3:Z723),$X$3:$Y$992,2,0),"")</f>
        <v>Vydávání adresářů a jiných seznamů</v>
      </c>
    </row>
    <row r="724" spans="13:26" ht="12.75">
      <c r="M724" s="294">
        <f>IF(ISNUMBER(SEARCH(ZAKL_DATA!$B$29,N724)),MAX($M$2:M723)+1,0)</f>
        <v>722</v>
      </c>
      <c r="N724" s="295" t="s">
        <v>2905</v>
      </c>
      <c r="O724" s="310" t="s">
        <v>2906</v>
      </c>
      <c r="Q724" s="297" t="str">
        <f>IFERROR(VLOOKUP(ROWS($Q$3:Q724),$M$3:$N$992,2,0),"")</f>
        <v>Vydávání novin</v>
      </c>
      <c r="R724">
        <f>IF(ISNUMBER(SEARCH('1Př1'!$A$32,N724)),MAX($M$2:M723)+1,0)</f>
        <v>722</v>
      </c>
      <c r="S724" s="295" t="s">
        <v>2905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295" t="s">
        <v>2905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295" t="s">
        <v>2905</v>
      </c>
      <c r="Z724" t="str">
        <f>IFERROR(VLOOKUP(ROWS($Z$3:Z724),$X$3:$Y$992,2,0),"")</f>
        <v>Vydávání novin</v>
      </c>
    </row>
    <row r="725" spans="13:26" ht="12.75">
      <c r="M725" s="294">
        <f>IF(ISNUMBER(SEARCH(ZAKL_DATA!$B$29,N725)),MAX($M$2:M724)+1,0)</f>
        <v>723</v>
      </c>
      <c r="N725" s="295" t="s">
        <v>2907</v>
      </c>
      <c r="O725" s="310" t="s">
        <v>2908</v>
      </c>
      <c r="Q725" s="297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295" t="s">
        <v>2907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295" t="s">
        <v>2907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295" t="s">
        <v>2907</v>
      </c>
      <c r="Z725" t="str">
        <f>IFERROR(VLOOKUP(ROWS($Z$3:Z725),$X$3:$Y$992,2,0),"")</f>
        <v>Vydávání časopisů a ostatních periodických publikací</v>
      </c>
    </row>
    <row r="726" spans="13:26" ht="12.75">
      <c r="M726" s="294">
        <f>IF(ISNUMBER(SEARCH(ZAKL_DATA!$B$29,N726)),MAX($M$2:M725)+1,0)</f>
        <v>724</v>
      </c>
      <c r="N726" s="295" t="s">
        <v>2909</v>
      </c>
      <c r="O726" s="310" t="s">
        <v>2910</v>
      </c>
      <c r="Q726" s="297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295" t="s">
        <v>2909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295" t="s">
        <v>2909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295" t="s">
        <v>2909</v>
      </c>
      <c r="Z726" t="str">
        <f>IFERROR(VLOOKUP(ROWS($Z$3:Z726),$X$3:$Y$992,2,0),"")</f>
        <v>Ostatní vydavatelské činnosti</v>
      </c>
    </row>
    <row r="727" spans="13:26" ht="12.75">
      <c r="M727" s="294">
        <f>IF(ISNUMBER(SEARCH(ZAKL_DATA!$B$29,N727)),MAX($M$2:M726)+1,0)</f>
        <v>725</v>
      </c>
      <c r="N727" s="295" t="s">
        <v>2911</v>
      </c>
      <c r="O727" s="310" t="s">
        <v>2912</v>
      </c>
      <c r="Q727" s="297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295" t="s">
        <v>2911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295" t="s">
        <v>2911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295" t="s">
        <v>2911</v>
      </c>
      <c r="Z727" t="str">
        <f>IFERROR(VLOOKUP(ROWS($Z$3:Z727),$X$3:$Y$992,2,0),"")</f>
        <v>Vydávání počítačových her</v>
      </c>
    </row>
    <row r="728" spans="13:26" ht="12.75">
      <c r="M728" s="294">
        <f>IF(ISNUMBER(SEARCH(ZAKL_DATA!$B$29,N728)),MAX($M$2:M727)+1,0)</f>
        <v>726</v>
      </c>
      <c r="N728" s="295" t="s">
        <v>2913</v>
      </c>
      <c r="O728" s="310" t="s">
        <v>2914</v>
      </c>
      <c r="Q728" s="297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295" t="s">
        <v>2913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295" t="s">
        <v>2913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295" t="s">
        <v>2913</v>
      </c>
      <c r="Z728" t="str">
        <f>IFERROR(VLOOKUP(ROWS($Z$3:Z728),$X$3:$Y$992,2,0),"")</f>
        <v>Ostatní vydávání softwaru</v>
      </c>
    </row>
    <row r="729" spans="13:26" ht="12.75">
      <c r="M729" s="294">
        <f>IF(ISNUMBER(SEARCH(ZAKL_DATA!$B$29,N729)),MAX($M$2:M728)+1,0)</f>
        <v>727</v>
      </c>
      <c r="N729" s="295" t="s">
        <v>2915</v>
      </c>
      <c r="O729" s="310" t="s">
        <v>2916</v>
      </c>
      <c r="Q729" s="297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295" t="s">
        <v>2915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295" t="s">
        <v>2915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295" t="s">
        <v>2915</v>
      </c>
      <c r="Z729" t="str">
        <f>IFERROR(VLOOKUP(ROWS($Z$3:Z729),$X$3:$Y$992,2,0),"")</f>
        <v>Produkce filmů, videozáznamů a televizních programů</v>
      </c>
    </row>
    <row r="730" spans="13:26" ht="12.75">
      <c r="M730" s="294">
        <f>IF(ISNUMBER(SEARCH(ZAKL_DATA!$B$29,N730)),MAX($M$2:M729)+1,0)</f>
        <v>728</v>
      </c>
      <c r="N730" s="295" t="s">
        <v>2917</v>
      </c>
      <c r="O730" s="310" t="s">
        <v>2918</v>
      </c>
      <c r="Q730" s="297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295" t="s">
        <v>2917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295" t="s">
        <v>2917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295" t="s">
        <v>2917</v>
      </c>
      <c r="Z730" t="str">
        <f>IFERROR(VLOOKUP(ROWS($Z$3:Z730),$X$3:$Y$992,2,0),"")</f>
        <v>Postprodukce filmů, videozáznamů a televizních programů</v>
      </c>
    </row>
    <row r="731" spans="13:26" ht="12.75">
      <c r="M731" s="294">
        <f>IF(ISNUMBER(SEARCH(ZAKL_DATA!$B$29,N731)),MAX($M$2:M730)+1,0)</f>
        <v>729</v>
      </c>
      <c r="N731" s="295" t="s">
        <v>2919</v>
      </c>
      <c r="O731" s="310" t="s">
        <v>2920</v>
      </c>
      <c r="Q731" s="297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295" t="s">
        <v>2919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295" t="s">
        <v>2919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295" t="s">
        <v>2919</v>
      </c>
      <c r="Z731" t="str">
        <f>IFERROR(VLOOKUP(ROWS($Z$3:Z731),$X$3:$Y$992,2,0),"")</f>
        <v>Distribuce filmů, videozáznamů a televizních programů</v>
      </c>
    </row>
    <row r="732" spans="13:26" ht="12.75">
      <c r="M732" s="294">
        <f>IF(ISNUMBER(SEARCH(ZAKL_DATA!$B$29,N732)),MAX($M$2:M731)+1,0)</f>
        <v>730</v>
      </c>
      <c r="N732" s="295" t="s">
        <v>2921</v>
      </c>
      <c r="O732" s="310" t="s">
        <v>2922</v>
      </c>
      <c r="Q732" s="297" t="str">
        <f>IFERROR(VLOOKUP(ROWS($Q$3:Q732),$M$3:$N$992,2,0),"")</f>
        <v>Promítání filmů</v>
      </c>
      <c r="R732">
        <f>IF(ISNUMBER(SEARCH('1Př1'!$A$32,N732)),MAX($M$2:M731)+1,0)</f>
        <v>730</v>
      </c>
      <c r="S732" s="295" t="s">
        <v>2921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295" t="s">
        <v>2921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295" t="s">
        <v>2921</v>
      </c>
      <c r="Z732" t="str">
        <f>IFERROR(VLOOKUP(ROWS($Z$3:Z732),$X$3:$Y$992,2,0),"")</f>
        <v>Promítání filmů</v>
      </c>
    </row>
    <row r="733" spans="13:26" ht="12.75">
      <c r="M733" s="294">
        <f>IF(ISNUMBER(SEARCH(ZAKL_DATA!$B$29,N733)),MAX($M$2:M732)+1,0)</f>
        <v>731</v>
      </c>
      <c r="N733" s="295" t="s">
        <v>2923</v>
      </c>
      <c r="O733" s="310" t="s">
        <v>2924</v>
      </c>
      <c r="Q733" s="297" t="str">
        <f>IFERROR(VLOOKUP(ROWS($Q$3:Q733),$M$3:$N$992,2,0),"")</f>
        <v>Programování</v>
      </c>
      <c r="R733">
        <f>IF(ISNUMBER(SEARCH('1Př1'!$A$32,N733)),MAX($M$2:M732)+1,0)</f>
        <v>731</v>
      </c>
      <c r="S733" s="295" t="s">
        <v>2923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295" t="s">
        <v>2923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295" t="s">
        <v>2923</v>
      </c>
      <c r="Z733" t="str">
        <f>IFERROR(VLOOKUP(ROWS($Z$3:Z733),$X$3:$Y$992,2,0),"")</f>
        <v>Programování</v>
      </c>
    </row>
    <row r="734" spans="13:26" ht="12.75">
      <c r="M734" s="294">
        <f>IF(ISNUMBER(SEARCH(ZAKL_DATA!$B$29,N734)),MAX($M$2:M733)+1,0)</f>
        <v>732</v>
      </c>
      <c r="N734" s="295" t="s">
        <v>2925</v>
      </c>
      <c r="O734" s="310" t="s">
        <v>2926</v>
      </c>
      <c r="Q734" s="297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295" t="s">
        <v>2925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295" t="s">
        <v>2925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295" t="s">
        <v>2925</v>
      </c>
      <c r="Z734" t="str">
        <f>IFERROR(VLOOKUP(ROWS($Z$3:Z734),$X$3:$Y$992,2,0),"")</f>
        <v>Poradenství v oblasti informačních technologií</v>
      </c>
    </row>
    <row r="735" spans="13:26" ht="12.75">
      <c r="M735" s="294">
        <f>IF(ISNUMBER(SEARCH(ZAKL_DATA!$B$29,N735)),MAX($M$2:M734)+1,0)</f>
        <v>733</v>
      </c>
      <c r="N735" s="295" t="s">
        <v>2927</v>
      </c>
      <c r="O735" s="310" t="s">
        <v>2928</v>
      </c>
      <c r="Q735" s="297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295" t="s">
        <v>2927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295" t="s">
        <v>2927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295" t="s">
        <v>2927</v>
      </c>
      <c r="Z735" t="str">
        <f>IFERROR(VLOOKUP(ROWS($Z$3:Z735),$X$3:$Y$992,2,0),"")</f>
        <v>Správa počítačového vybavení</v>
      </c>
    </row>
    <row r="736" spans="13:26" ht="12.75">
      <c r="M736" s="294">
        <f>IF(ISNUMBER(SEARCH(ZAKL_DATA!$B$29,N736)),MAX($M$2:M735)+1,0)</f>
        <v>734</v>
      </c>
      <c r="N736" s="295" t="s">
        <v>2929</v>
      </c>
      <c r="O736" s="310" t="s">
        <v>2930</v>
      </c>
      <c r="Q736" s="297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295" t="s">
        <v>2929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295" t="s">
        <v>2929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295" t="s">
        <v>2929</v>
      </c>
      <c r="Z736" t="str">
        <f>IFERROR(VLOOKUP(ROWS($Z$3:Z736),$X$3:$Y$992,2,0),"")</f>
        <v>Ostatní činnosti v oblasti informačních technologií</v>
      </c>
    </row>
    <row r="737" spans="13:26" ht="12.75">
      <c r="M737" s="294">
        <f>IF(ISNUMBER(SEARCH(ZAKL_DATA!$B$29,N737)),MAX($M$2:M736)+1,0)</f>
        <v>735</v>
      </c>
      <c r="N737" s="295" t="s">
        <v>2931</v>
      </c>
      <c r="O737" s="310" t="s">
        <v>2932</v>
      </c>
      <c r="Q737" s="297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295" t="s">
        <v>2931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295" t="s">
        <v>2931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295" t="s">
        <v>2931</v>
      </c>
      <c r="Z737" t="str">
        <f>IFERROR(VLOOKUP(ROWS($Z$3:Z737),$X$3:$Y$992,2,0),"")</f>
        <v>Činnosti související se zpracováním dat a hostingem</v>
      </c>
    </row>
    <row r="738" spans="13:26" ht="12.75">
      <c r="M738" s="294">
        <f>IF(ISNUMBER(SEARCH(ZAKL_DATA!$B$29,N738)),MAX($M$2:M737)+1,0)</f>
        <v>736</v>
      </c>
      <c r="N738" s="295" t="s">
        <v>2933</v>
      </c>
      <c r="O738" s="310" t="s">
        <v>2934</v>
      </c>
      <c r="Q738" s="297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295" t="s">
        <v>2933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295" t="s">
        <v>2933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295" t="s">
        <v>2933</v>
      </c>
      <c r="Z738" t="str">
        <f>IFERROR(VLOOKUP(ROWS($Z$3:Z738),$X$3:$Y$992,2,0),"")</f>
        <v>Činnosti související s webovými portály</v>
      </c>
    </row>
    <row r="739" spans="13:26" ht="12.75">
      <c r="M739" s="294">
        <f>IF(ISNUMBER(SEARCH(ZAKL_DATA!$B$29,N739)),MAX($M$2:M738)+1,0)</f>
        <v>737</v>
      </c>
      <c r="N739" s="295" t="s">
        <v>2935</v>
      </c>
      <c r="O739" s="310" t="s">
        <v>2936</v>
      </c>
      <c r="Q739" s="297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295" t="s">
        <v>2935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295" t="s">
        <v>2935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295" t="s">
        <v>2935</v>
      </c>
      <c r="Z739" t="str">
        <f>IFERROR(VLOOKUP(ROWS($Z$3:Z739),$X$3:$Y$992,2,0),"")</f>
        <v>Činnosti zpravodajských tiskových kanceláří a agentur</v>
      </c>
    </row>
    <row r="740" spans="13:26" ht="12.75">
      <c r="M740" s="294">
        <f>IF(ISNUMBER(SEARCH(ZAKL_DATA!$B$29,N740)),MAX($M$2:M739)+1,0)</f>
        <v>738</v>
      </c>
      <c r="N740" s="295" t="s">
        <v>2937</v>
      </c>
      <c r="O740" s="310" t="s">
        <v>2938</v>
      </c>
      <c r="Q740" s="297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295" t="s">
        <v>2937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295" t="s">
        <v>2937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295" t="s">
        <v>2937</v>
      </c>
      <c r="Z740" t="str">
        <f>IFERROR(VLOOKUP(ROWS($Z$3:Z740),$X$3:$Y$992,2,0),"")</f>
        <v>Ostatní informační činnosti j. n.</v>
      </c>
    </row>
    <row r="741" spans="13:26" ht="12.75">
      <c r="M741" s="294">
        <f>IF(ISNUMBER(SEARCH(ZAKL_DATA!$B$29,N741)),MAX($M$2:M740)+1,0)</f>
        <v>739</v>
      </c>
      <c r="N741" s="295" t="s">
        <v>2939</v>
      </c>
      <c r="O741" s="310" t="s">
        <v>2940</v>
      </c>
      <c r="Q741" s="297" t="str">
        <f>IFERROR(VLOOKUP(ROWS($Q$3:Q741),$M$3:$N$992,2,0),"")</f>
        <v>Centrální bankovnictví</v>
      </c>
      <c r="R741">
        <f>IF(ISNUMBER(SEARCH('1Př1'!$A$32,N741)),MAX($M$2:M740)+1,0)</f>
        <v>739</v>
      </c>
      <c r="S741" s="295" t="s">
        <v>2939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295" t="s">
        <v>2939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295" t="s">
        <v>2939</v>
      </c>
      <c r="Z741" t="str">
        <f>IFERROR(VLOOKUP(ROWS($Z$3:Z741),$X$3:$Y$992,2,0),"")</f>
        <v>Centrální bankovnictví</v>
      </c>
    </row>
    <row r="742" spans="13:26" ht="12.75">
      <c r="M742" s="294">
        <f>IF(ISNUMBER(SEARCH(ZAKL_DATA!$B$29,N742)),MAX($M$2:M741)+1,0)</f>
        <v>740</v>
      </c>
      <c r="N742" s="295" t="s">
        <v>2941</v>
      </c>
      <c r="O742" s="310" t="s">
        <v>2942</v>
      </c>
      <c r="Q742" s="297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295" t="s">
        <v>2941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295" t="s">
        <v>2941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295" t="s">
        <v>2941</v>
      </c>
      <c r="Z742" t="str">
        <f>IFERROR(VLOOKUP(ROWS($Z$3:Z742),$X$3:$Y$992,2,0),"")</f>
        <v>Ostatní peněžní zprostředkování</v>
      </c>
    </row>
    <row r="743" spans="13:26" ht="12.75">
      <c r="M743" s="294">
        <f>IF(ISNUMBER(SEARCH(ZAKL_DATA!$B$29,N743)),MAX($M$2:M742)+1,0)</f>
        <v>741</v>
      </c>
      <c r="N743" s="295" t="s">
        <v>2943</v>
      </c>
      <c r="O743" s="310" t="s">
        <v>2944</v>
      </c>
      <c r="Q743" s="297" t="str">
        <f>IFERROR(VLOOKUP(ROWS($Q$3:Q743),$M$3:$N$992,2,0),"")</f>
        <v>Finanční leasing</v>
      </c>
      <c r="R743">
        <f>IF(ISNUMBER(SEARCH('1Př1'!$A$32,N743)),MAX($M$2:M742)+1,0)</f>
        <v>741</v>
      </c>
      <c r="S743" s="295" t="s">
        <v>2943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295" t="s">
        <v>2943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295" t="s">
        <v>2943</v>
      </c>
      <c r="Z743" t="str">
        <f>IFERROR(VLOOKUP(ROWS($Z$3:Z743),$X$3:$Y$992,2,0),"")</f>
        <v>Finanční leasing</v>
      </c>
    </row>
    <row r="744" spans="13:26" ht="12.75">
      <c r="M744" s="294">
        <f>IF(ISNUMBER(SEARCH(ZAKL_DATA!$B$29,N744)),MAX($M$2:M743)+1,0)</f>
        <v>742</v>
      </c>
      <c r="N744" s="295" t="s">
        <v>2945</v>
      </c>
      <c r="O744" s="310" t="s">
        <v>2946</v>
      </c>
      <c r="Q744" s="297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295" t="s">
        <v>2945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295" t="s">
        <v>2945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295" t="s">
        <v>2945</v>
      </c>
      <c r="Z744" t="str">
        <f>IFERROR(VLOOKUP(ROWS($Z$3:Z744),$X$3:$Y$992,2,0),"")</f>
        <v>Ostatní poskytování úvěrů</v>
      </c>
    </row>
    <row r="745" spans="13:26" ht="12.75">
      <c r="M745" s="294">
        <f>IF(ISNUMBER(SEARCH(ZAKL_DATA!$B$29,N745)),MAX($M$2:M744)+1,0)</f>
        <v>743</v>
      </c>
      <c r="N745" s="295" t="s">
        <v>2947</v>
      </c>
      <c r="O745" s="310" t="s">
        <v>2948</v>
      </c>
      <c r="Q745" s="297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295" t="s">
        <v>2947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295" t="s">
        <v>2947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295" t="s">
        <v>2947</v>
      </c>
      <c r="Z745" t="str">
        <f>IFERROR(VLOOKUP(ROWS($Z$3:Z745),$X$3:$Y$992,2,0),"")</f>
        <v>Ostatní finanční zprostředkování j. n.</v>
      </c>
    </row>
    <row r="746" spans="13:26" ht="12.75">
      <c r="M746" s="294">
        <f>IF(ISNUMBER(SEARCH(ZAKL_DATA!$B$29,N746)),MAX($M$2:M745)+1,0)</f>
        <v>744</v>
      </c>
      <c r="N746" s="295" t="s">
        <v>2949</v>
      </c>
      <c r="O746" s="310" t="s">
        <v>2950</v>
      </c>
      <c r="Q746" s="297" t="str">
        <f>IFERROR(VLOOKUP(ROWS($Q$3:Q746),$M$3:$N$992,2,0),"")</f>
        <v>životní pojištění</v>
      </c>
      <c r="R746">
        <f>IF(ISNUMBER(SEARCH('1Př1'!$A$32,N746)),MAX($M$2:M745)+1,0)</f>
        <v>744</v>
      </c>
      <c r="S746" s="295" t="s">
        <v>2949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295" t="s">
        <v>2949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295" t="s">
        <v>2949</v>
      </c>
      <c r="Z746" t="str">
        <f>IFERROR(VLOOKUP(ROWS($Z$3:Z746),$X$3:$Y$992,2,0),"")</f>
        <v>životní pojištění</v>
      </c>
    </row>
    <row r="747" spans="13:26" ht="12.75">
      <c r="M747" s="294">
        <f>IF(ISNUMBER(SEARCH(ZAKL_DATA!$B$29,N747)),MAX($M$2:M746)+1,0)</f>
        <v>745</v>
      </c>
      <c r="N747" s="295" t="s">
        <v>2951</v>
      </c>
      <c r="O747" s="310" t="s">
        <v>2952</v>
      </c>
      <c r="Q747" s="297" t="str">
        <f>IFERROR(VLOOKUP(ROWS($Q$3:Q747),$M$3:$N$992,2,0),"")</f>
        <v>Neživotní pojištění</v>
      </c>
      <c r="R747">
        <f>IF(ISNUMBER(SEARCH('1Př1'!$A$32,N747)),MAX($M$2:M746)+1,0)</f>
        <v>745</v>
      </c>
      <c r="S747" s="295" t="s">
        <v>2951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295" t="s">
        <v>2951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295" t="s">
        <v>2951</v>
      </c>
      <c r="Z747" t="str">
        <f>IFERROR(VLOOKUP(ROWS($Z$3:Z747),$X$3:$Y$992,2,0),"")</f>
        <v>Neživotní pojištění</v>
      </c>
    </row>
    <row r="748" spans="13:26" ht="12.75">
      <c r="M748" s="294">
        <f>IF(ISNUMBER(SEARCH(ZAKL_DATA!$B$29,N748)),MAX($M$2:M747)+1,0)</f>
        <v>746</v>
      </c>
      <c r="N748" s="295" t="s">
        <v>2953</v>
      </c>
      <c r="O748" s="310" t="s">
        <v>2954</v>
      </c>
      <c r="Q748" s="297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295" t="s">
        <v>2953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295" t="s">
        <v>2953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295" t="s">
        <v>2953</v>
      </c>
      <c r="Z748" t="str">
        <f>IFERROR(VLOOKUP(ROWS($Z$3:Z748),$X$3:$Y$992,2,0),"")</f>
        <v>Řízení a správa finančních trhů</v>
      </c>
    </row>
    <row r="749" spans="13:26" ht="12.75">
      <c r="M749" s="294">
        <f>IF(ISNUMBER(SEARCH(ZAKL_DATA!$B$29,N749)),MAX($M$2:M748)+1,0)</f>
        <v>747</v>
      </c>
      <c r="N749" s="295" t="s">
        <v>2955</v>
      </c>
      <c r="O749" s="310" t="s">
        <v>2956</v>
      </c>
      <c r="Q749" s="297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295" t="s">
        <v>2955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295" t="s">
        <v>2955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295" t="s">
        <v>2955</v>
      </c>
      <c r="Z749" t="str">
        <f>IFERROR(VLOOKUP(ROWS($Z$3:Z749),$X$3:$Y$992,2,0),"")</f>
        <v>Obchodování s cennými papíry a komoditami na burzách</v>
      </c>
    </row>
    <row r="750" spans="13:26" ht="12.75">
      <c r="M750" s="294">
        <f>IF(ISNUMBER(SEARCH(ZAKL_DATA!$B$29,N750)),MAX($M$2:M749)+1,0)</f>
        <v>748</v>
      </c>
      <c r="N750" s="295" t="s">
        <v>2957</v>
      </c>
      <c r="O750" s="310" t="s">
        <v>2958</v>
      </c>
      <c r="Q750" s="297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295" t="s">
        <v>2957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295" t="s">
        <v>2957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295" t="s">
        <v>2957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294">
        <f>IF(ISNUMBER(SEARCH(ZAKL_DATA!$B$29,N751)),MAX($M$2:M750)+1,0)</f>
        <v>749</v>
      </c>
      <c r="N751" s="295" t="s">
        <v>2959</v>
      </c>
      <c r="O751" s="310" t="s">
        <v>2960</v>
      </c>
      <c r="Q751" s="297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295" t="s">
        <v>2959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295" t="s">
        <v>2959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295" t="s">
        <v>2959</v>
      </c>
      <c r="Z751" t="str">
        <f>IFERROR(VLOOKUP(ROWS($Z$3:Z751),$X$3:$Y$992,2,0),"")</f>
        <v>Vyhodnocování rizik a škod</v>
      </c>
    </row>
    <row r="752" spans="13:26" ht="12.75">
      <c r="M752" s="294">
        <f>IF(ISNUMBER(SEARCH(ZAKL_DATA!$B$29,N752)),MAX($M$2:M751)+1,0)</f>
        <v>750</v>
      </c>
      <c r="N752" s="295" t="s">
        <v>2961</v>
      </c>
      <c r="O752" s="310" t="s">
        <v>2962</v>
      </c>
      <c r="Q752" s="297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295" t="s">
        <v>2961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295" t="s">
        <v>2961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295" t="s">
        <v>2961</v>
      </c>
      <c r="Z752" t="str">
        <f>IFERROR(VLOOKUP(ROWS($Z$3:Z752),$X$3:$Y$992,2,0),"")</f>
        <v>Činnosti zástupců pojišťovny a makléřů</v>
      </c>
    </row>
    <row r="753" spans="13:26" ht="12.75">
      <c r="M753" s="294">
        <f>IF(ISNUMBER(SEARCH(ZAKL_DATA!$B$29,N753)),MAX($M$2:M752)+1,0)</f>
        <v>751</v>
      </c>
      <c r="N753" s="295" t="s">
        <v>2963</v>
      </c>
      <c r="O753" s="310" t="s">
        <v>2964</v>
      </c>
      <c r="Q753" s="297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295" t="s">
        <v>2963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295" t="s">
        <v>2963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295" t="s">
        <v>2963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294">
        <f>IF(ISNUMBER(SEARCH(ZAKL_DATA!$B$29,N754)),MAX($M$2:M753)+1,0)</f>
        <v>752</v>
      </c>
      <c r="N754" s="295" t="s">
        <v>2965</v>
      </c>
      <c r="O754" s="310" t="s">
        <v>2966</v>
      </c>
      <c r="Q754" s="297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295" t="s">
        <v>2965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295" t="s">
        <v>2965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295" t="s">
        <v>2965</v>
      </c>
      <c r="Z754" t="str">
        <f>IFERROR(VLOOKUP(ROWS($Z$3:Z754),$X$3:$Y$992,2,0),"")</f>
        <v>Zprostředkovatelské činnosti realitních agentur</v>
      </c>
    </row>
    <row r="755" spans="13:26" ht="12.75">
      <c r="M755" s="294">
        <f>IF(ISNUMBER(SEARCH(ZAKL_DATA!$B$29,N755)),MAX($M$2:M754)+1,0)</f>
        <v>753</v>
      </c>
      <c r="N755" s="295" t="s">
        <v>2967</v>
      </c>
      <c r="O755" s="310" t="s">
        <v>2968</v>
      </c>
      <c r="Q755" s="297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295" t="s">
        <v>2967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295" t="s">
        <v>2967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295" t="s">
        <v>2967</v>
      </c>
      <c r="Z755" t="str">
        <f>IFERROR(VLOOKUP(ROWS($Z$3:Z755),$X$3:$Y$992,2,0),"")</f>
        <v>Správa nemovitostí na základě smlouvy</v>
      </c>
    </row>
    <row r="756" spans="13:26" ht="12.75">
      <c r="M756" s="294">
        <f>IF(ISNUMBER(SEARCH(ZAKL_DATA!$B$29,N756)),MAX($M$2:M755)+1,0)</f>
        <v>754</v>
      </c>
      <c r="N756" s="295" t="s">
        <v>2969</v>
      </c>
      <c r="O756" s="310" t="s">
        <v>2970</v>
      </c>
      <c r="Q756" s="297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295" t="s">
        <v>2969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295" t="s">
        <v>2969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295" t="s">
        <v>2969</v>
      </c>
      <c r="Z756" t="str">
        <f>IFERROR(VLOOKUP(ROWS($Z$3:Z756),$X$3:$Y$992,2,0),"")</f>
        <v>Poradenství v oblasti vztahů s veřejností a komunikace</v>
      </c>
    </row>
    <row r="757" spans="13:26" ht="12.75">
      <c r="M757" s="294">
        <f>IF(ISNUMBER(SEARCH(ZAKL_DATA!$B$29,N757)),MAX($M$2:M756)+1,0)</f>
        <v>755</v>
      </c>
      <c r="N757" s="295" t="s">
        <v>2971</v>
      </c>
      <c r="O757" s="310" t="s">
        <v>2972</v>
      </c>
      <c r="Q757" s="297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295" t="s">
        <v>2971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295" t="s">
        <v>2971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295" t="s">
        <v>2971</v>
      </c>
      <c r="Z757" t="str">
        <f>IFERROR(VLOOKUP(ROWS($Z$3:Z757),$X$3:$Y$992,2,0),"")</f>
        <v>Ostatní poradenství v oblasti podnikání a řízení</v>
      </c>
    </row>
    <row r="758" spans="13:26" ht="12.75">
      <c r="M758" s="294">
        <f>IF(ISNUMBER(SEARCH(ZAKL_DATA!$B$29,N758)),MAX($M$2:M757)+1,0)</f>
        <v>756</v>
      </c>
      <c r="N758" s="295" t="s">
        <v>2973</v>
      </c>
      <c r="O758" s="310" t="s">
        <v>2974</v>
      </c>
      <c r="Q758" s="297" t="str">
        <f>IFERROR(VLOOKUP(ROWS($Q$3:Q758),$M$3:$N$992,2,0),"")</f>
        <v>Těžba železných rud</v>
      </c>
      <c r="R758">
        <f>IF(ISNUMBER(SEARCH('1Př1'!$A$32,N758)),MAX($M$2:M757)+1,0)</f>
        <v>756</v>
      </c>
      <c r="S758" s="295" t="s">
        <v>2973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295" t="s">
        <v>2973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295" t="s">
        <v>2973</v>
      </c>
      <c r="Z758" t="str">
        <f>IFERROR(VLOOKUP(ROWS($Z$3:Z758),$X$3:$Y$992,2,0),"")</f>
        <v>Těžba železných rud</v>
      </c>
    </row>
    <row r="759" spans="13:26" ht="12.75">
      <c r="M759" s="294">
        <f>IF(ISNUMBER(SEARCH(ZAKL_DATA!$B$29,N759)),MAX($M$2:M758)+1,0)</f>
        <v>757</v>
      </c>
      <c r="N759" s="295" t="s">
        <v>2975</v>
      </c>
      <c r="O759" s="310" t="s">
        <v>2976</v>
      </c>
      <c r="Q759" s="297" t="str">
        <f>IFERROR(VLOOKUP(ROWS($Q$3:Q759),$M$3:$N$992,2,0),"")</f>
        <v>Úprava železných rud</v>
      </c>
      <c r="R759">
        <f>IF(ISNUMBER(SEARCH('1Př1'!$A$32,N759)),MAX($M$2:M758)+1,0)</f>
        <v>757</v>
      </c>
      <c r="S759" s="295" t="s">
        <v>2975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295" t="s">
        <v>2975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295" t="s">
        <v>2975</v>
      </c>
      <c r="Z759" t="str">
        <f>IFERROR(VLOOKUP(ROWS($Z$3:Z759),$X$3:$Y$992,2,0),"")</f>
        <v>Úprava železných rud</v>
      </c>
    </row>
    <row r="760" spans="13:26" ht="12.75">
      <c r="M760" s="294">
        <f>IF(ISNUMBER(SEARCH(ZAKL_DATA!$B$29,N760)),MAX($M$2:M759)+1,0)</f>
        <v>758</v>
      </c>
      <c r="N760" s="295" t="s">
        <v>2977</v>
      </c>
      <c r="O760" s="310" t="s">
        <v>2978</v>
      </c>
      <c r="Q760" s="297" t="str">
        <f>IFERROR(VLOOKUP(ROWS($Q$3:Q760),$M$3:$N$992,2,0),"")</f>
        <v>Architektonické činnosti</v>
      </c>
      <c r="R760">
        <f>IF(ISNUMBER(SEARCH('1Př1'!$A$32,N760)),MAX($M$2:M759)+1,0)</f>
        <v>758</v>
      </c>
      <c r="S760" s="295" t="s">
        <v>2977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295" t="s">
        <v>2977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295" t="s">
        <v>2977</v>
      </c>
      <c r="Z760" t="str">
        <f>IFERROR(VLOOKUP(ROWS($Z$3:Z760),$X$3:$Y$992,2,0),"")</f>
        <v>Architektonické činnosti</v>
      </c>
    </row>
    <row r="761" spans="13:26" ht="12.75">
      <c r="M761" s="294">
        <f>IF(ISNUMBER(SEARCH(ZAKL_DATA!$B$29,N761)),MAX($M$2:M760)+1,0)</f>
        <v>759</v>
      </c>
      <c r="N761" s="295" t="s">
        <v>2979</v>
      </c>
      <c r="O761" s="310" t="s">
        <v>2980</v>
      </c>
      <c r="Q761" s="297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295" t="s">
        <v>2979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295" t="s">
        <v>2979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295" t="s">
        <v>2979</v>
      </c>
      <c r="Z761" t="str">
        <f>IFERROR(VLOOKUP(ROWS($Z$3:Z761),$X$3:$Y$992,2,0),"")</f>
        <v>Inženýrské činnosti a související technické poradenství</v>
      </c>
    </row>
    <row r="762" spans="13:26" ht="12.75">
      <c r="M762" s="294">
        <f>IF(ISNUMBER(SEARCH(ZAKL_DATA!$B$29,N762)),MAX($M$2:M761)+1,0)</f>
        <v>760</v>
      </c>
      <c r="N762" s="295" t="s">
        <v>2981</v>
      </c>
      <c r="O762" s="310" t="s">
        <v>2982</v>
      </c>
      <c r="Q762" s="297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295" t="s">
        <v>2981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295" t="s">
        <v>2981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295" t="s">
        <v>2981</v>
      </c>
      <c r="Z762" t="str">
        <f>IFERROR(VLOOKUP(ROWS($Z$3:Z762),$X$3:$Y$992,2,0),"")</f>
        <v>Výzkum a vývoj v oblasti biotechnologie</v>
      </c>
    </row>
    <row r="763" spans="13:26" ht="12.75">
      <c r="M763" s="294">
        <f>IF(ISNUMBER(SEARCH(ZAKL_DATA!$B$29,N763)),MAX($M$2:M762)+1,0)</f>
        <v>761</v>
      </c>
      <c r="N763" s="295" t="s">
        <v>2983</v>
      </c>
      <c r="O763" s="310" t="s">
        <v>2984</v>
      </c>
      <c r="Q763" s="297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295" t="s">
        <v>2983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295" t="s">
        <v>2983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295" t="s">
        <v>2983</v>
      </c>
      <c r="Z763" t="str">
        <f>IFERROR(VLOOKUP(ROWS($Z$3:Z763),$X$3:$Y$992,2,0),"")</f>
        <v>Těžba uranových a thoriových rud</v>
      </c>
    </row>
    <row r="764" spans="13:26" ht="12.75">
      <c r="M764" s="294">
        <f>IF(ISNUMBER(SEARCH(ZAKL_DATA!$B$29,N764)),MAX($M$2:M763)+1,0)</f>
        <v>762</v>
      </c>
      <c r="N764" s="295" t="s">
        <v>2985</v>
      </c>
      <c r="O764" s="310" t="s">
        <v>2986</v>
      </c>
      <c r="Q764" s="297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295" t="s">
        <v>2985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295" t="s">
        <v>2985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295" t="s">
        <v>2985</v>
      </c>
      <c r="Z764" t="str">
        <f>IFERROR(VLOOKUP(ROWS($Z$3:Z764),$X$3:$Y$992,2,0),"")</f>
        <v>Úprava uranových a thoriových rud</v>
      </c>
    </row>
    <row r="765" spans="13:26" ht="12.75">
      <c r="M765" s="294">
        <f>IF(ISNUMBER(SEARCH(ZAKL_DATA!$B$29,N765)),MAX($M$2:M764)+1,0)</f>
        <v>763</v>
      </c>
      <c r="N765" s="295" t="s">
        <v>2987</v>
      </c>
      <c r="O765" s="310" t="s">
        <v>2988</v>
      </c>
      <c r="Q765" s="297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295" t="s">
        <v>2987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295" t="s">
        <v>2987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295" t="s">
        <v>2987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294">
        <f>IF(ISNUMBER(SEARCH(ZAKL_DATA!$B$29,N766)),MAX($M$2:M765)+1,0)</f>
        <v>764</v>
      </c>
      <c r="N766" s="295" t="s">
        <v>2989</v>
      </c>
      <c r="O766" s="310" t="s">
        <v>2990</v>
      </c>
      <c r="Q766" s="297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295" t="s">
        <v>2989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295" t="s">
        <v>2989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295" t="s">
        <v>2989</v>
      </c>
      <c r="Z766" t="str">
        <f>IFERROR(VLOOKUP(ROWS($Z$3:Z766),$X$3:$Y$992,2,0),"")</f>
        <v>Těžba ostatních neželezných rud</v>
      </c>
    </row>
    <row r="767" spans="13:26" ht="12.75">
      <c r="M767" s="294">
        <f>IF(ISNUMBER(SEARCH(ZAKL_DATA!$B$29,N767)),MAX($M$2:M766)+1,0)</f>
        <v>765</v>
      </c>
      <c r="N767" s="295" t="s">
        <v>2991</v>
      </c>
      <c r="O767" s="310" t="s">
        <v>2992</v>
      </c>
      <c r="Q767" s="297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295" t="s">
        <v>2991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295" t="s">
        <v>2991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295" t="s">
        <v>2991</v>
      </c>
      <c r="Z767" t="str">
        <f>IFERROR(VLOOKUP(ROWS($Z$3:Z767),$X$3:$Y$992,2,0),"")</f>
        <v>Úprava ostatních neželezných rud</v>
      </c>
    </row>
    <row r="768" spans="13:26" ht="12.75">
      <c r="M768" s="294">
        <f>IF(ISNUMBER(SEARCH(ZAKL_DATA!$B$29,N768)),MAX($M$2:M767)+1,0)</f>
        <v>766</v>
      </c>
      <c r="N768" s="295" t="s">
        <v>2993</v>
      </c>
      <c r="O768" s="310" t="s">
        <v>2994</v>
      </c>
      <c r="Q768" s="297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295" t="s">
        <v>2993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295" t="s">
        <v>2993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295" t="s">
        <v>2993</v>
      </c>
      <c r="Z768" t="str">
        <f>IFERROR(VLOOKUP(ROWS($Z$3:Z768),$X$3:$Y$992,2,0),"")</f>
        <v>Činnosti reklamních agentur</v>
      </c>
    </row>
    <row r="769" spans="13:26" ht="12.75">
      <c r="M769" s="294">
        <f>IF(ISNUMBER(SEARCH(ZAKL_DATA!$B$29,N769)),MAX($M$2:M768)+1,0)</f>
        <v>767</v>
      </c>
      <c r="N769" s="295" t="s">
        <v>2995</v>
      </c>
      <c r="O769" s="310" t="s">
        <v>2996</v>
      </c>
      <c r="Q769" s="297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295" t="s">
        <v>2995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295" t="s">
        <v>2995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295" t="s">
        <v>2995</v>
      </c>
      <c r="Z769" t="str">
        <f>IFERROR(VLOOKUP(ROWS($Z$3:Z769),$X$3:$Y$992,2,0),"")</f>
        <v>Zastupování médií při prodeji reklamního času a prostoru</v>
      </c>
    </row>
    <row r="770" spans="13:26" ht="12.75">
      <c r="M770" s="294">
        <f>IF(ISNUMBER(SEARCH(ZAKL_DATA!$B$29,N770)),MAX($M$2:M769)+1,0)</f>
        <v>768</v>
      </c>
      <c r="N770" s="295" t="s">
        <v>2997</v>
      </c>
      <c r="O770" s="310" t="s">
        <v>2998</v>
      </c>
      <c r="Q770" s="297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295" t="s">
        <v>2997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295" t="s">
        <v>2997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295" t="s">
        <v>2997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294">
        <f>IF(ISNUMBER(SEARCH(ZAKL_DATA!$B$29,N771)),MAX($M$2:M770)+1,0)</f>
        <v>769</v>
      </c>
      <c r="N771" s="295" t="s">
        <v>2999</v>
      </c>
      <c r="O771" s="310" t="s">
        <v>3000</v>
      </c>
      <c r="Q771" s="297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295" t="s">
        <v>2999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295" t="s">
        <v>2999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295" t="s">
        <v>2999</v>
      </c>
      <c r="Z771" t="str">
        <f>IFERROR(VLOOKUP(ROWS($Z$3:Z771),$X$3:$Y$992,2,0),"")</f>
        <v>Pronájem a leasing nákladních automobilů</v>
      </c>
    </row>
    <row r="772" spans="13:26" ht="12.75">
      <c r="M772" s="294">
        <f>IF(ISNUMBER(SEARCH(ZAKL_DATA!$B$29,N772)),MAX($M$2:M771)+1,0)</f>
        <v>770</v>
      </c>
      <c r="N772" s="295" t="s">
        <v>3001</v>
      </c>
      <c r="O772" s="310" t="s">
        <v>3002</v>
      </c>
      <c r="Q772" s="297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295" t="s">
        <v>3001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295" t="s">
        <v>3001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295" t="s">
        <v>3001</v>
      </c>
      <c r="Z772" t="str">
        <f>IFERROR(VLOOKUP(ROWS($Z$3:Z772),$X$3:$Y$992,2,0),"")</f>
        <v>Pronájem a leasing rekreačních a sportovních potřeb</v>
      </c>
    </row>
    <row r="773" spans="13:26" ht="12.75">
      <c r="M773" s="294">
        <f>IF(ISNUMBER(SEARCH(ZAKL_DATA!$B$29,N773)),MAX($M$2:M772)+1,0)</f>
        <v>771</v>
      </c>
      <c r="N773" s="295" t="s">
        <v>3003</v>
      </c>
      <c r="O773" s="310" t="s">
        <v>3004</v>
      </c>
      <c r="Q773" s="297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295" t="s">
        <v>3003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295" t="s">
        <v>3003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295" t="s">
        <v>3003</v>
      </c>
      <c r="Z773" t="str">
        <f>IFERROR(VLOOKUP(ROWS($Z$3:Z773),$X$3:$Y$992,2,0),"")</f>
        <v>Pronájem videokazet a disků</v>
      </c>
    </row>
    <row r="774" spans="13:26" ht="12.75">
      <c r="M774" s="294">
        <f>IF(ISNUMBER(SEARCH(ZAKL_DATA!$B$29,N774)),MAX($M$2:M773)+1,0)</f>
        <v>772</v>
      </c>
      <c r="N774" s="295" t="s">
        <v>3005</v>
      </c>
      <c r="O774" s="310" t="s">
        <v>3006</v>
      </c>
      <c r="Q774" s="297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295" t="s">
        <v>3005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295" t="s">
        <v>3005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295" t="s">
        <v>3005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294">
        <f>IF(ISNUMBER(SEARCH(ZAKL_DATA!$B$29,N775)),MAX($M$2:M774)+1,0)</f>
        <v>773</v>
      </c>
      <c r="N775" s="295" t="s">
        <v>3007</v>
      </c>
      <c r="O775" s="310" t="s">
        <v>3008</v>
      </c>
      <c r="Q775" s="297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295" t="s">
        <v>3007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295" t="s">
        <v>3007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295" t="s">
        <v>3007</v>
      </c>
      <c r="Z775" t="str">
        <f>IFERROR(VLOOKUP(ROWS($Z$3:Z775),$X$3:$Y$992,2,0),"")</f>
        <v>Pronájem a leasing zemědělských strojů a zařízení</v>
      </c>
    </row>
    <row r="776" spans="13:26" ht="12.75">
      <c r="M776" s="294">
        <f>IF(ISNUMBER(SEARCH(ZAKL_DATA!$B$29,N776)),MAX($M$2:M775)+1,0)</f>
        <v>774</v>
      </c>
      <c r="N776" s="295" t="s">
        <v>3009</v>
      </c>
      <c r="O776" s="310" t="s">
        <v>3010</v>
      </c>
      <c r="Q776" s="297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295" t="s">
        <v>3009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295" t="s">
        <v>3009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295" t="s">
        <v>3009</v>
      </c>
      <c r="Z776" t="str">
        <f>IFERROR(VLOOKUP(ROWS($Z$3:Z776),$X$3:$Y$992,2,0),"")</f>
        <v>Pronájem a leasing stavebních strojů a zařízení</v>
      </c>
    </row>
    <row r="777" spans="13:26" ht="12.75">
      <c r="M777" s="294">
        <f>IF(ISNUMBER(SEARCH(ZAKL_DATA!$B$29,N777)),MAX($M$2:M776)+1,0)</f>
        <v>775</v>
      </c>
      <c r="N777" s="295" t="s">
        <v>3011</v>
      </c>
      <c r="O777" s="310" t="s">
        <v>3012</v>
      </c>
      <c r="Q777" s="297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295" t="s">
        <v>3011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295" t="s">
        <v>3011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295" t="s">
        <v>3011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294">
        <f>IF(ISNUMBER(SEARCH(ZAKL_DATA!$B$29,N778)),MAX($M$2:M777)+1,0)</f>
        <v>776</v>
      </c>
      <c r="N778" s="295" t="s">
        <v>3013</v>
      </c>
      <c r="O778" s="310" t="s">
        <v>3014</v>
      </c>
      <c r="Q778" s="297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295" t="s">
        <v>3013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295" t="s">
        <v>3013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295" t="s">
        <v>3013</v>
      </c>
      <c r="Z778" t="str">
        <f>IFERROR(VLOOKUP(ROWS($Z$3:Z778),$X$3:$Y$992,2,0),"")</f>
        <v>Pronájem a leasing vodních dopravních prostředků</v>
      </c>
    </row>
    <row r="779" spans="13:26" ht="12.75">
      <c r="M779" s="294">
        <f>IF(ISNUMBER(SEARCH(ZAKL_DATA!$B$29,N779)),MAX($M$2:M778)+1,0)</f>
        <v>777</v>
      </c>
      <c r="N779" s="295" t="s">
        <v>3015</v>
      </c>
      <c r="O779" s="310" t="s">
        <v>3016</v>
      </c>
      <c r="Q779" s="297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295" t="s">
        <v>3015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295" t="s">
        <v>3015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295" t="s">
        <v>3015</v>
      </c>
      <c r="Z779" t="str">
        <f>IFERROR(VLOOKUP(ROWS($Z$3:Z779),$X$3:$Y$992,2,0),"")</f>
        <v>Pronájem a leasing leteckých dopravních prostředků</v>
      </c>
    </row>
    <row r="780" spans="13:26" ht="12.75">
      <c r="M780" s="294">
        <f>IF(ISNUMBER(SEARCH(ZAKL_DATA!$B$29,N780)),MAX($M$2:M779)+1,0)</f>
        <v>778</v>
      </c>
      <c r="N780" s="295" t="s">
        <v>3017</v>
      </c>
      <c r="O780" s="310" t="s">
        <v>3018</v>
      </c>
      <c r="Q780" s="297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295" t="s">
        <v>3017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295" t="s">
        <v>3017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295" t="s">
        <v>3017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294">
        <f>IF(ISNUMBER(SEARCH(ZAKL_DATA!$B$29,N781)),MAX($M$2:M780)+1,0)</f>
        <v>779</v>
      </c>
      <c r="N781" s="295" t="s">
        <v>3019</v>
      </c>
      <c r="O781" s="310" t="s">
        <v>3020</v>
      </c>
      <c r="Q781" s="297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295" t="s">
        <v>3019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295" t="s">
        <v>3019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295" t="s">
        <v>3019</v>
      </c>
      <c r="Z781" t="str">
        <f>IFERROR(VLOOKUP(ROWS($Z$3:Z781),$X$3:$Y$992,2,0),"")</f>
        <v>Činnosti cestovních agentur</v>
      </c>
    </row>
    <row r="782" spans="13:26" ht="12.75">
      <c r="M782" s="294">
        <f>IF(ISNUMBER(SEARCH(ZAKL_DATA!$B$29,N782)),MAX($M$2:M781)+1,0)</f>
        <v>780</v>
      </c>
      <c r="N782" s="295" t="s">
        <v>3021</v>
      </c>
      <c r="O782" s="310" t="s">
        <v>3022</v>
      </c>
      <c r="Q782" s="297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295" t="s">
        <v>3021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295" t="s">
        <v>3021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295" t="s">
        <v>3021</v>
      </c>
      <c r="Z782" t="str">
        <f>IFERROR(VLOOKUP(ROWS($Z$3:Z782),$X$3:$Y$992,2,0),"")</f>
        <v>Činnosti cestovních kanceláří</v>
      </c>
    </row>
    <row r="783" spans="13:26" ht="12.75">
      <c r="M783" s="294">
        <f>IF(ISNUMBER(SEARCH(ZAKL_DATA!$B$29,N783)),MAX($M$2:M782)+1,0)</f>
        <v>781</v>
      </c>
      <c r="N783" s="295" t="s">
        <v>3023</v>
      </c>
      <c r="O783" s="310" t="s">
        <v>3024</v>
      </c>
      <c r="Q783" s="297" t="str">
        <f>IFERROR(VLOOKUP(ROWS($Q$3:Q783),$M$3:$N$992,2,0),"")</f>
        <v>Všeobecný úklid budov</v>
      </c>
      <c r="R783">
        <f>IF(ISNUMBER(SEARCH('1Př1'!$A$32,N783)),MAX($M$2:M782)+1,0)</f>
        <v>781</v>
      </c>
      <c r="S783" s="295" t="s">
        <v>3023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295" t="s">
        <v>3023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295" t="s">
        <v>3023</v>
      </c>
      <c r="Z783" t="str">
        <f>IFERROR(VLOOKUP(ROWS($Z$3:Z783),$X$3:$Y$992,2,0),"")</f>
        <v>Všeobecný úklid budov</v>
      </c>
    </row>
    <row r="784" spans="13:26" ht="12.75">
      <c r="M784" s="294">
        <f>IF(ISNUMBER(SEARCH(ZAKL_DATA!$B$29,N784)),MAX($M$2:M783)+1,0)</f>
        <v>782</v>
      </c>
      <c r="N784" s="295" t="s">
        <v>3025</v>
      </c>
      <c r="O784" s="310" t="s">
        <v>3026</v>
      </c>
      <c r="Q784" s="297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295" t="s">
        <v>3025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295" t="s">
        <v>3025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295" t="s">
        <v>3025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294">
        <f>IF(ISNUMBER(SEARCH(ZAKL_DATA!$B$29,N785)),MAX($M$2:M784)+1,0)</f>
        <v>783</v>
      </c>
      <c r="N785" s="295" t="s">
        <v>3027</v>
      </c>
      <c r="O785" s="310" t="s">
        <v>3028</v>
      </c>
      <c r="Q785" s="297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295" t="s">
        <v>3027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295" t="s">
        <v>3027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295" t="s">
        <v>3027</v>
      </c>
      <c r="Z785" t="str">
        <f>IFERROR(VLOOKUP(ROWS($Z$3:Z785),$X$3:$Y$992,2,0),"")</f>
        <v>Ostatní úklidové činnosti</v>
      </c>
    </row>
    <row r="786" spans="13:26" ht="12.75">
      <c r="M786" s="294">
        <f>IF(ISNUMBER(SEARCH(ZAKL_DATA!$B$29,N786)),MAX($M$2:M785)+1,0)</f>
        <v>784</v>
      </c>
      <c r="N786" s="295" t="s">
        <v>3029</v>
      </c>
      <c r="O786" s="310" t="s">
        <v>3030</v>
      </c>
      <c r="Q786" s="297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295" t="s">
        <v>3029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295" t="s">
        <v>3029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295" t="s">
        <v>3029</v>
      </c>
      <c r="Z786" t="str">
        <f>IFERROR(VLOOKUP(ROWS($Z$3:Z786),$X$3:$Y$992,2,0),"")</f>
        <v>Univerzální administrativní činnosti</v>
      </c>
    </row>
    <row r="787" spans="13:26" ht="12.75">
      <c r="M787" s="294">
        <f>IF(ISNUMBER(SEARCH(ZAKL_DATA!$B$29,N787)),MAX($M$2:M786)+1,0)</f>
        <v>785</v>
      </c>
      <c r="N787" s="295" t="s">
        <v>3031</v>
      </c>
      <c r="O787" s="310" t="s">
        <v>3032</v>
      </c>
      <c r="Q787" s="297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295" t="s">
        <v>3031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295" t="s">
        <v>3031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295" t="s">
        <v>3031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294">
        <f>IF(ISNUMBER(SEARCH(ZAKL_DATA!$B$29,N788)),MAX($M$2:M787)+1,0)</f>
        <v>786</v>
      </c>
      <c r="N788" s="295" t="s">
        <v>3033</v>
      </c>
      <c r="O788" s="310" t="s">
        <v>3034</v>
      </c>
      <c r="Q788" s="297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295" t="s">
        <v>3033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295" t="s">
        <v>3033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295" t="s">
        <v>3033</v>
      </c>
      <c r="Z788" t="str">
        <f>IFERROR(VLOOKUP(ROWS($Z$3:Z788),$X$3:$Y$992,2,0),"")</f>
        <v>Inkasní činnosti, ověřování solventnosti zákazníka</v>
      </c>
    </row>
    <row r="789" spans="13:26" ht="12.75">
      <c r="M789" s="294">
        <f>IF(ISNUMBER(SEARCH(ZAKL_DATA!$B$29,N789)),MAX($M$2:M788)+1,0)</f>
        <v>787</v>
      </c>
      <c r="N789" s="295" t="s">
        <v>3035</v>
      </c>
      <c r="O789" s="310" t="s">
        <v>3036</v>
      </c>
      <c r="Q789" s="297" t="str">
        <f>IFERROR(VLOOKUP(ROWS($Q$3:Q789),$M$3:$N$992,2,0),"")</f>
        <v>Balicí činnosti</v>
      </c>
      <c r="R789">
        <f>IF(ISNUMBER(SEARCH('1Př1'!$A$32,N789)),MAX($M$2:M788)+1,0)</f>
        <v>787</v>
      </c>
      <c r="S789" s="295" t="s">
        <v>3035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295" t="s">
        <v>3035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295" t="s">
        <v>3035</v>
      </c>
      <c r="Z789" t="str">
        <f>IFERROR(VLOOKUP(ROWS($Z$3:Z789),$X$3:$Y$992,2,0),"")</f>
        <v>Balicí činnosti</v>
      </c>
    </row>
    <row r="790" spans="13:26" ht="12.75">
      <c r="M790" s="294">
        <f>IF(ISNUMBER(SEARCH(ZAKL_DATA!$B$29,N790)),MAX($M$2:M789)+1,0)</f>
        <v>788</v>
      </c>
      <c r="N790" s="295" t="s">
        <v>3037</v>
      </c>
      <c r="O790" s="310" t="s">
        <v>3038</v>
      </c>
      <c r="Q790" s="297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295" t="s">
        <v>3037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295" t="s">
        <v>3037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295" t="s">
        <v>3037</v>
      </c>
      <c r="Z790" t="str">
        <f>IFERROR(VLOOKUP(ROWS($Z$3:Z790),$X$3:$Y$992,2,0),"")</f>
        <v>Ostatní podpůrné činnosti pro podnikání j. n.</v>
      </c>
    </row>
    <row r="791" spans="13:26" ht="12.75">
      <c r="M791" s="294">
        <f>IF(ISNUMBER(SEARCH(ZAKL_DATA!$B$29,N791)),MAX($M$2:M790)+1,0)</f>
        <v>789</v>
      </c>
      <c r="N791" s="295" t="s">
        <v>3039</v>
      </c>
      <c r="O791" s="310" t="s">
        <v>3040</v>
      </c>
      <c r="Q791" s="297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295" t="s">
        <v>3039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295" t="s">
        <v>3039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295" t="s">
        <v>3039</v>
      </c>
      <c r="Z791" t="str">
        <f>IFERROR(VLOOKUP(ROWS($Z$3:Z791),$X$3:$Y$992,2,0),"")</f>
        <v>Všeobecné činnosti veřejné správy</v>
      </c>
    </row>
    <row r="792" spans="13:26" ht="12.75">
      <c r="M792" s="294">
        <f>IF(ISNUMBER(SEARCH(ZAKL_DATA!$B$29,N792)),MAX($M$2:M791)+1,0)</f>
        <v>790</v>
      </c>
      <c r="N792" s="295" t="s">
        <v>3041</v>
      </c>
      <c r="O792" s="310" t="s">
        <v>3042</v>
      </c>
      <c r="Q792" s="297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295" t="s">
        <v>3041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295" t="s">
        <v>3041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295" t="s">
        <v>3041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294">
        <f>IF(ISNUMBER(SEARCH(ZAKL_DATA!$B$29,N793)),MAX($M$2:M792)+1,0)</f>
        <v>791</v>
      </c>
      <c r="N793" s="295" t="s">
        <v>3043</v>
      </c>
      <c r="O793" s="310" t="s">
        <v>3044</v>
      </c>
      <c r="Q793" s="297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295" t="s">
        <v>3043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295" t="s">
        <v>3043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295" t="s">
        <v>3043</v>
      </c>
      <c r="Z793" t="str">
        <f>IFERROR(VLOOKUP(ROWS($Z$3:Z793),$X$3:$Y$992,2,0),"")</f>
        <v>Regulace a podpora podnikatelského prostředí</v>
      </c>
    </row>
    <row r="794" spans="13:26" ht="12.75">
      <c r="M794" s="294">
        <f>IF(ISNUMBER(SEARCH(ZAKL_DATA!$B$29,N794)),MAX($M$2:M793)+1,0)</f>
        <v>792</v>
      </c>
      <c r="N794" s="295" t="s">
        <v>3045</v>
      </c>
      <c r="O794" s="310" t="s">
        <v>3046</v>
      </c>
      <c r="Q794" s="297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295" t="s">
        <v>3045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295" t="s">
        <v>3045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295" t="s">
        <v>3045</v>
      </c>
      <c r="Z794" t="str">
        <f>IFERROR(VLOOKUP(ROWS($Z$3:Z794),$X$3:$Y$992,2,0),"")</f>
        <v>Činnosti v oblasti zahraničních věcí</v>
      </c>
    </row>
    <row r="795" spans="13:26" ht="12.75">
      <c r="M795" s="294">
        <f>IF(ISNUMBER(SEARCH(ZAKL_DATA!$B$29,N795)),MAX($M$2:M794)+1,0)</f>
        <v>793</v>
      </c>
      <c r="N795" s="295" t="s">
        <v>3047</v>
      </c>
      <c r="O795" s="310" t="s">
        <v>3048</v>
      </c>
      <c r="Q795" s="297" t="str">
        <f>IFERROR(VLOOKUP(ROWS($Q$3:Q795),$M$3:$N$992,2,0),"")</f>
        <v>Činnosti v oblasti obrany</v>
      </c>
      <c r="R795">
        <f>IF(ISNUMBER(SEARCH('1Př1'!$A$32,N795)),MAX($M$2:M794)+1,0)</f>
        <v>793</v>
      </c>
      <c r="S795" s="295" t="s">
        <v>3047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295" t="s">
        <v>3047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295" t="s">
        <v>3047</v>
      </c>
      <c r="Z795" t="str">
        <f>IFERROR(VLOOKUP(ROWS($Z$3:Z795),$X$3:$Y$992,2,0),"")</f>
        <v>Činnosti v oblasti obrany</v>
      </c>
    </row>
    <row r="796" spans="13:26" ht="12.75">
      <c r="M796" s="294">
        <f>IF(ISNUMBER(SEARCH(ZAKL_DATA!$B$29,N796)),MAX($M$2:M795)+1,0)</f>
        <v>794</v>
      </c>
      <c r="N796" s="295" t="s">
        <v>3049</v>
      </c>
      <c r="O796" s="310" t="s">
        <v>3050</v>
      </c>
      <c r="Q796" s="297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295" t="s">
        <v>3049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295" t="s">
        <v>3049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295" t="s">
        <v>3049</v>
      </c>
      <c r="Z796" t="str">
        <f>IFERROR(VLOOKUP(ROWS($Z$3:Z796),$X$3:$Y$992,2,0),"")</f>
        <v>Činnosti v oblasti spravedlnosti a soudnictví</v>
      </c>
    </row>
    <row r="797" spans="13:26" ht="12.75">
      <c r="M797" s="294">
        <f>IF(ISNUMBER(SEARCH(ZAKL_DATA!$B$29,N797)),MAX($M$2:M796)+1,0)</f>
        <v>795</v>
      </c>
      <c r="N797" s="295" t="s">
        <v>3051</v>
      </c>
      <c r="O797" s="310" t="s">
        <v>3052</v>
      </c>
      <c r="Q797" s="297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295" t="s">
        <v>3051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295" t="s">
        <v>3051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295" t="s">
        <v>3051</v>
      </c>
      <c r="Z797" t="str">
        <f>IFERROR(VLOOKUP(ROWS($Z$3:Z797),$X$3:$Y$992,2,0),"")</f>
        <v>Činnosti v oblasti veřejného pořádku a bezpečnosti</v>
      </c>
    </row>
    <row r="798" spans="13:26" ht="12.75">
      <c r="M798" s="294">
        <f>IF(ISNUMBER(SEARCH(ZAKL_DATA!$B$29,N798)),MAX($M$2:M797)+1,0)</f>
        <v>796</v>
      </c>
      <c r="N798" s="295" t="s">
        <v>3053</v>
      </c>
      <c r="O798" s="310" t="s">
        <v>3054</v>
      </c>
      <c r="Q798" s="297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295" t="s">
        <v>3053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295" t="s">
        <v>3053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295" t="s">
        <v>3053</v>
      </c>
      <c r="Z798" t="str">
        <f>IFERROR(VLOOKUP(ROWS($Z$3:Z798),$X$3:$Y$992,2,0),"")</f>
        <v>Činnosti v oblasti protipožární ochrany</v>
      </c>
    </row>
    <row r="799" spans="13:26" ht="12.75">
      <c r="M799" s="294">
        <f>IF(ISNUMBER(SEARCH(ZAKL_DATA!$B$29,N799)),MAX($M$2:M798)+1,0)</f>
        <v>797</v>
      </c>
      <c r="N799" s="295" t="s">
        <v>3055</v>
      </c>
      <c r="O799" s="310" t="s">
        <v>3056</v>
      </c>
      <c r="Q799" s="297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295" t="s">
        <v>3055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295" t="s">
        <v>3055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295" t="s">
        <v>3055</v>
      </c>
      <c r="Z799" t="str">
        <f>IFERROR(VLOOKUP(ROWS($Z$3:Z799),$X$3:$Y$992,2,0),"")</f>
        <v>Sekundární všeobecné vzdělávání</v>
      </c>
    </row>
    <row r="800" spans="13:26" ht="12.75">
      <c r="M800" s="294">
        <f>IF(ISNUMBER(SEARCH(ZAKL_DATA!$B$29,N800)),MAX($M$2:M799)+1,0)</f>
        <v>798</v>
      </c>
      <c r="N800" s="295" t="s">
        <v>3057</v>
      </c>
      <c r="O800" s="310" t="s">
        <v>3058</v>
      </c>
      <c r="Q800" s="297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295" t="s">
        <v>3057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295" t="s">
        <v>3057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295" t="s">
        <v>3057</v>
      </c>
      <c r="Z800" t="str">
        <f>IFERROR(VLOOKUP(ROWS($Z$3:Z800),$X$3:$Y$992,2,0),"")</f>
        <v>Sekundární odborné vzdělávání</v>
      </c>
    </row>
    <row r="801" spans="13:26" ht="12.75">
      <c r="M801" s="294">
        <f>IF(ISNUMBER(SEARCH(ZAKL_DATA!$B$29,N801)),MAX($M$2:M800)+1,0)</f>
        <v>799</v>
      </c>
      <c r="N801" s="295" t="s">
        <v>3059</v>
      </c>
      <c r="O801" s="310" t="s">
        <v>3060</v>
      </c>
      <c r="Q801" s="297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295" t="s">
        <v>3059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295" t="s">
        <v>3059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295" t="s">
        <v>3059</v>
      </c>
      <c r="Z801" t="str">
        <f>IFERROR(VLOOKUP(ROWS($Z$3:Z801),$X$3:$Y$992,2,0),"")</f>
        <v>Postsekundární nikoli terciární vzdělávání</v>
      </c>
    </row>
    <row r="802" spans="13:26" ht="12.75">
      <c r="M802" s="294">
        <f>IF(ISNUMBER(SEARCH(ZAKL_DATA!$B$29,N802)),MAX($M$2:M801)+1,0)</f>
        <v>800</v>
      </c>
      <c r="N802" s="295" t="s">
        <v>3061</v>
      </c>
      <c r="O802" s="310" t="s">
        <v>3062</v>
      </c>
      <c r="Q802" s="297" t="str">
        <f>IFERROR(VLOOKUP(ROWS($Q$3:Q802),$M$3:$N$992,2,0),"")</f>
        <v>Terciární vzdělávání</v>
      </c>
      <c r="R802">
        <f>IF(ISNUMBER(SEARCH('1Př1'!$A$32,N802)),MAX($M$2:M801)+1,0)</f>
        <v>800</v>
      </c>
      <c r="S802" s="295" t="s">
        <v>3061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295" t="s">
        <v>3061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295" t="s">
        <v>3061</v>
      </c>
      <c r="Z802" t="str">
        <f>IFERROR(VLOOKUP(ROWS($Z$3:Z802),$X$3:$Y$992,2,0),"")</f>
        <v>Terciární vzdělávání</v>
      </c>
    </row>
    <row r="803" spans="13:26" ht="12.75">
      <c r="M803" s="294">
        <f>IF(ISNUMBER(SEARCH(ZAKL_DATA!$B$29,N803)),MAX($M$2:M802)+1,0)</f>
        <v>801</v>
      </c>
      <c r="N803" s="295" t="s">
        <v>3063</v>
      </c>
      <c r="O803" s="310" t="s">
        <v>3064</v>
      </c>
      <c r="Q803" s="297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295" t="s">
        <v>3063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295" t="s">
        <v>3063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295" t="s">
        <v>3063</v>
      </c>
      <c r="Z803" t="str">
        <f>IFERROR(VLOOKUP(ROWS($Z$3:Z803),$X$3:$Y$992,2,0),"")</f>
        <v>Sportovní a rekreační vzdělávání</v>
      </c>
    </row>
    <row r="804" spans="13:26" ht="12.75">
      <c r="M804" s="294">
        <f>IF(ISNUMBER(SEARCH(ZAKL_DATA!$B$29,N804)),MAX($M$2:M803)+1,0)</f>
        <v>802</v>
      </c>
      <c r="N804" s="295" t="s">
        <v>3065</v>
      </c>
      <c r="O804" s="310" t="s">
        <v>3066</v>
      </c>
      <c r="Q804" s="297" t="str">
        <f>IFERROR(VLOOKUP(ROWS($Q$3:Q804),$M$3:$N$992,2,0),"")</f>
        <v>Umělecké vzdělávání</v>
      </c>
      <c r="R804">
        <f>IF(ISNUMBER(SEARCH('1Př1'!$A$32,N804)),MAX($M$2:M803)+1,0)</f>
        <v>802</v>
      </c>
      <c r="S804" s="295" t="s">
        <v>3065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295" t="s">
        <v>3065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295" t="s">
        <v>3065</v>
      </c>
      <c r="Z804" t="str">
        <f>IFERROR(VLOOKUP(ROWS($Z$3:Z804),$X$3:$Y$992,2,0),"")</f>
        <v>Umělecké vzdělávání</v>
      </c>
    </row>
    <row r="805" spans="13:26" ht="12.75">
      <c r="M805" s="294">
        <f>IF(ISNUMBER(SEARCH(ZAKL_DATA!$B$29,N805)),MAX($M$2:M804)+1,0)</f>
        <v>803</v>
      </c>
      <c r="N805" s="295" t="s">
        <v>3067</v>
      </c>
      <c r="O805" s="310" t="s">
        <v>3068</v>
      </c>
      <c r="Q805" s="297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295" t="s">
        <v>3067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295" t="s">
        <v>3067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295" t="s">
        <v>3067</v>
      </c>
      <c r="Z805" t="str">
        <f>IFERROR(VLOOKUP(ROWS($Z$3:Z805),$X$3:$Y$992,2,0),"")</f>
        <v>Činnosti autoškol a jiných škol řízení</v>
      </c>
    </row>
    <row r="806" spans="13:26" ht="12.75">
      <c r="M806" s="294">
        <f>IF(ISNUMBER(SEARCH(ZAKL_DATA!$B$29,N806)),MAX($M$2:M805)+1,0)</f>
        <v>804</v>
      </c>
      <c r="N806" s="295" t="s">
        <v>3069</v>
      </c>
      <c r="O806" s="310" t="s">
        <v>3070</v>
      </c>
      <c r="Q806" s="297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295" t="s">
        <v>3069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295" t="s">
        <v>3069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295" t="s">
        <v>3069</v>
      </c>
      <c r="Z806" t="str">
        <f>IFERROR(VLOOKUP(ROWS($Z$3:Z806),$X$3:$Y$992,2,0),"")</f>
        <v>Ostatní vzdělávání j. n.</v>
      </c>
    </row>
    <row r="807" spans="13:26" ht="12.75">
      <c r="M807" s="294">
        <f>IF(ISNUMBER(SEARCH(ZAKL_DATA!$B$29,N807)),MAX($M$2:M806)+1,0)</f>
        <v>805</v>
      </c>
      <c r="N807" s="295" t="s">
        <v>3071</v>
      </c>
      <c r="O807" s="310" t="s">
        <v>3072</v>
      </c>
      <c r="Q807" s="297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295" t="s">
        <v>3071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295" t="s">
        <v>3071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295" t="s">
        <v>3071</v>
      </c>
      <c r="Z807" t="str">
        <f>IFERROR(VLOOKUP(ROWS($Z$3:Z807),$X$3:$Y$992,2,0),"")</f>
        <v>Všeobecná ambulantní zdravotní péče</v>
      </c>
    </row>
    <row r="808" spans="13:26" ht="12.75">
      <c r="M808" s="294">
        <f>IF(ISNUMBER(SEARCH(ZAKL_DATA!$B$29,N808)),MAX($M$2:M807)+1,0)</f>
        <v>806</v>
      </c>
      <c r="N808" s="295" t="s">
        <v>3073</v>
      </c>
      <c r="O808" s="310" t="s">
        <v>3074</v>
      </c>
      <c r="Q808" s="297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295" t="s">
        <v>3073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295" t="s">
        <v>3073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295" t="s">
        <v>3073</v>
      </c>
      <c r="Z808" t="str">
        <f>IFERROR(VLOOKUP(ROWS($Z$3:Z808),$X$3:$Y$992,2,0),"")</f>
        <v>Specializovaná ambulantní zdravotní péče</v>
      </c>
    </row>
    <row r="809" spans="13:26" ht="12.75">
      <c r="M809" s="294">
        <f>IF(ISNUMBER(SEARCH(ZAKL_DATA!$B$29,N809)),MAX($M$2:M808)+1,0)</f>
        <v>807</v>
      </c>
      <c r="N809" s="295" t="s">
        <v>3075</v>
      </c>
      <c r="O809" s="310" t="s">
        <v>3076</v>
      </c>
      <c r="Q809" s="297" t="str">
        <f>IFERROR(VLOOKUP(ROWS($Q$3:Q809),$M$3:$N$992,2,0),"")</f>
        <v>Zubní péče</v>
      </c>
      <c r="R809">
        <f>IF(ISNUMBER(SEARCH('1Př1'!$A$32,N809)),MAX($M$2:M808)+1,0)</f>
        <v>807</v>
      </c>
      <c r="S809" s="295" t="s">
        <v>3075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295" t="s">
        <v>3075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295" t="s">
        <v>3075</v>
      </c>
      <c r="Z809" t="str">
        <f>IFERROR(VLOOKUP(ROWS($Z$3:Z809),$X$3:$Y$992,2,0),"")</f>
        <v>Zubní péče</v>
      </c>
    </row>
    <row r="810" spans="13:26" ht="12.75">
      <c r="M810" s="294">
        <f>IF(ISNUMBER(SEARCH(ZAKL_DATA!$B$29,N810)),MAX($M$2:M809)+1,0)</f>
        <v>808</v>
      </c>
      <c r="N810" s="295" t="s">
        <v>3077</v>
      </c>
      <c r="O810" s="310" t="s">
        <v>3078</v>
      </c>
      <c r="Q810" s="297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295" t="s">
        <v>3077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295" t="s">
        <v>3077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295" t="s">
        <v>3077</v>
      </c>
      <c r="Z810" t="str">
        <f>IFERROR(VLOOKUP(ROWS($Z$3:Z810),$X$3:$Y$992,2,0),"")</f>
        <v>Sociální služby poskytované dětem</v>
      </c>
    </row>
    <row r="811" spans="13:26" ht="12.75">
      <c r="M811" s="294">
        <f>IF(ISNUMBER(SEARCH(ZAKL_DATA!$B$29,N811)),MAX($M$2:M810)+1,0)</f>
        <v>809</v>
      </c>
      <c r="N811" s="295" t="s">
        <v>3079</v>
      </c>
      <c r="O811" s="310" t="s">
        <v>3080</v>
      </c>
      <c r="Q811" s="297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295" t="s">
        <v>3079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295" t="s">
        <v>3079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295" t="s">
        <v>3079</v>
      </c>
      <c r="Z811" t="str">
        <f>IFERROR(VLOOKUP(ROWS($Z$3:Z811),$X$3:$Y$992,2,0),"")</f>
        <v>Ostatní ambulantní nebo terénní sociální služby j. n.</v>
      </c>
    </row>
    <row r="812" spans="13:26" ht="12.75">
      <c r="M812" s="294">
        <f>IF(ISNUMBER(SEARCH(ZAKL_DATA!$B$29,N812)),MAX($M$2:M811)+1,0)</f>
        <v>810</v>
      </c>
      <c r="N812" s="295" t="s">
        <v>3081</v>
      </c>
      <c r="O812" s="310" t="s">
        <v>3082</v>
      </c>
      <c r="Q812" s="297" t="str">
        <f>IFERROR(VLOOKUP(ROWS($Q$3:Q812),$M$3:$N$992,2,0),"")</f>
        <v>Scénická umění</v>
      </c>
      <c r="R812">
        <f>IF(ISNUMBER(SEARCH('1Př1'!$A$32,N812)),MAX($M$2:M811)+1,0)</f>
        <v>810</v>
      </c>
      <c r="S812" s="295" t="s">
        <v>3081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295" t="s">
        <v>3081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295" t="s">
        <v>3081</v>
      </c>
      <c r="Z812" t="str">
        <f>IFERROR(VLOOKUP(ROWS($Z$3:Z812),$X$3:$Y$992,2,0),"")</f>
        <v>Scénická umění</v>
      </c>
    </row>
    <row r="813" spans="13:26" ht="12.75">
      <c r="M813" s="294">
        <f>IF(ISNUMBER(SEARCH(ZAKL_DATA!$B$29,N813)),MAX($M$2:M812)+1,0)</f>
        <v>811</v>
      </c>
      <c r="N813" s="295" t="s">
        <v>3083</v>
      </c>
      <c r="O813" s="310" t="s">
        <v>3084</v>
      </c>
      <c r="Q813" s="297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295" t="s">
        <v>3083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295" t="s">
        <v>3083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295" t="s">
        <v>3083</v>
      </c>
      <c r="Z813" t="str">
        <f>IFERROR(VLOOKUP(ROWS($Z$3:Z813),$X$3:$Y$992,2,0),"")</f>
        <v>Podpůrné činnosti pro scénická umění</v>
      </c>
    </row>
    <row r="814" spans="13:26" ht="12.75">
      <c r="M814" s="294">
        <f>IF(ISNUMBER(SEARCH(ZAKL_DATA!$B$29,N814)),MAX($M$2:M813)+1,0)</f>
        <v>812</v>
      </c>
      <c r="N814" s="295" t="s">
        <v>3085</v>
      </c>
      <c r="O814" s="310" t="s">
        <v>3086</v>
      </c>
      <c r="Q814" s="297" t="str">
        <f>IFERROR(VLOOKUP(ROWS($Q$3:Q814),$M$3:$N$992,2,0),"")</f>
        <v>Umělecká tvorba</v>
      </c>
      <c r="R814">
        <f>IF(ISNUMBER(SEARCH('1Př1'!$A$32,N814)),MAX($M$2:M813)+1,0)</f>
        <v>812</v>
      </c>
      <c r="S814" s="295" t="s">
        <v>3085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295" t="s">
        <v>3085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295" t="s">
        <v>3085</v>
      </c>
      <c r="Z814" t="str">
        <f>IFERROR(VLOOKUP(ROWS($Z$3:Z814),$X$3:$Y$992,2,0),"")</f>
        <v>Umělecká tvorba</v>
      </c>
    </row>
    <row r="815" spans="13:26" ht="12.75">
      <c r="M815" s="294">
        <f>IF(ISNUMBER(SEARCH(ZAKL_DATA!$B$29,N815)),MAX($M$2:M814)+1,0)</f>
        <v>813</v>
      </c>
      <c r="N815" s="295" t="s">
        <v>3087</v>
      </c>
      <c r="O815" s="310" t="s">
        <v>3088</v>
      </c>
      <c r="Q815" s="297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295" t="s">
        <v>3087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295" t="s">
        <v>3087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295" t="s">
        <v>3087</v>
      </c>
      <c r="Z815" t="str">
        <f>IFERROR(VLOOKUP(ROWS($Z$3:Z815),$X$3:$Y$992,2,0),"")</f>
        <v>Provozování kulturních zařízení</v>
      </c>
    </row>
    <row r="816" spans="13:26" ht="12.75">
      <c r="M816" s="294">
        <f>IF(ISNUMBER(SEARCH(ZAKL_DATA!$B$29,N816)),MAX($M$2:M815)+1,0)</f>
        <v>814</v>
      </c>
      <c r="N816" s="295" t="s">
        <v>3089</v>
      </c>
      <c r="O816" s="310" t="s">
        <v>3090</v>
      </c>
      <c r="Q816" s="297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295" t="s">
        <v>3089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295" t="s">
        <v>3089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295" t="s">
        <v>3089</v>
      </c>
      <c r="Z816" t="str">
        <f>IFERROR(VLOOKUP(ROWS($Z$3:Z816),$X$3:$Y$992,2,0),"")</f>
        <v>Činnosti knihoven a archivů</v>
      </c>
    </row>
    <row r="817" spans="13:26" ht="12.75">
      <c r="M817" s="294">
        <f>IF(ISNUMBER(SEARCH(ZAKL_DATA!$B$29,N817)),MAX($M$2:M816)+1,0)</f>
        <v>815</v>
      </c>
      <c r="N817" s="295" t="s">
        <v>3091</v>
      </c>
      <c r="O817" s="310" t="s">
        <v>3092</v>
      </c>
      <c r="Q817" s="297" t="str">
        <f>IFERROR(VLOOKUP(ROWS($Q$3:Q817),$M$3:$N$992,2,0),"")</f>
        <v>Činnosti muzeí</v>
      </c>
      <c r="R817">
        <f>IF(ISNUMBER(SEARCH('1Př1'!$A$32,N817)),MAX($M$2:M816)+1,0)</f>
        <v>815</v>
      </c>
      <c r="S817" s="295" t="s">
        <v>3091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295" t="s">
        <v>3091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295" t="s">
        <v>3091</v>
      </c>
      <c r="Z817" t="str">
        <f>IFERROR(VLOOKUP(ROWS($Z$3:Z817),$X$3:$Y$992,2,0),"")</f>
        <v>Činnosti muzeí</v>
      </c>
    </row>
    <row r="818" spans="13:26" ht="12.75">
      <c r="M818" s="294">
        <f>IF(ISNUMBER(SEARCH(ZAKL_DATA!$B$29,N818)),MAX($M$2:M817)+1,0)</f>
        <v>816</v>
      </c>
      <c r="N818" s="295" t="s">
        <v>3093</v>
      </c>
      <c r="O818" s="310" t="s">
        <v>3094</v>
      </c>
      <c r="Q818" s="297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295" t="s">
        <v>3093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295" t="s">
        <v>3093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295" t="s">
        <v>3093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294">
        <f>IF(ISNUMBER(SEARCH(ZAKL_DATA!$B$29,N819)),MAX($M$2:M818)+1,0)</f>
        <v>817</v>
      </c>
      <c r="N819" s="295" t="s">
        <v>3095</v>
      </c>
      <c r="O819" s="310" t="s">
        <v>3096</v>
      </c>
      <c r="Q819" s="297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295" t="s">
        <v>3095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295" t="s">
        <v>3095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295" t="s">
        <v>3095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294">
        <f>IF(ISNUMBER(SEARCH(ZAKL_DATA!$B$29,N820)),MAX($M$2:M819)+1,0)</f>
        <v>818</v>
      </c>
      <c r="N820" s="295" t="s">
        <v>3097</v>
      </c>
      <c r="O820" s="310" t="s">
        <v>3098</v>
      </c>
      <c r="Q820" s="297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295" t="s">
        <v>3097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295" t="s">
        <v>3097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295" t="s">
        <v>3097</v>
      </c>
      <c r="Z820" t="str">
        <f>IFERROR(VLOOKUP(ROWS($Z$3:Z820),$X$3:$Y$992,2,0),"")</f>
        <v>Provozování sportovních zařízení</v>
      </c>
    </row>
    <row r="821" spans="13:26" ht="12.75">
      <c r="M821" s="294">
        <f>IF(ISNUMBER(SEARCH(ZAKL_DATA!$B$29,N821)),MAX($M$2:M820)+1,0)</f>
        <v>819</v>
      </c>
      <c r="N821" s="295" t="s">
        <v>3099</v>
      </c>
      <c r="O821" s="310" t="s">
        <v>3100</v>
      </c>
      <c r="Q821" s="297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295" t="s">
        <v>3099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295" t="s">
        <v>3099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295" t="s">
        <v>3099</v>
      </c>
      <c r="Z821" t="str">
        <f>IFERROR(VLOOKUP(ROWS($Z$3:Z821),$X$3:$Y$992,2,0),"")</f>
        <v>Činnosti sportovních klubů</v>
      </c>
    </row>
    <row r="822" spans="13:26" ht="12.75">
      <c r="M822" s="294">
        <f>IF(ISNUMBER(SEARCH(ZAKL_DATA!$B$29,N822)),MAX($M$2:M821)+1,0)</f>
        <v>820</v>
      </c>
      <c r="N822" s="295" t="s">
        <v>3101</v>
      </c>
      <c r="O822" s="310" t="s">
        <v>3102</v>
      </c>
      <c r="Q822" s="297" t="str">
        <f>IFERROR(VLOOKUP(ROWS($Q$3:Q822),$M$3:$N$992,2,0),"")</f>
        <v>Činnosti fitcenter</v>
      </c>
      <c r="R822">
        <f>IF(ISNUMBER(SEARCH('1Př1'!$A$32,N822)),MAX($M$2:M821)+1,0)</f>
        <v>820</v>
      </c>
      <c r="S822" s="295" t="s">
        <v>3101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295" t="s">
        <v>3101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295" t="s">
        <v>3101</v>
      </c>
      <c r="Z822" t="str">
        <f>IFERROR(VLOOKUP(ROWS($Z$3:Z822),$X$3:$Y$992,2,0),"")</f>
        <v>Činnosti fitcenter</v>
      </c>
    </row>
    <row r="823" spans="13:26" ht="12.75">
      <c r="M823" s="294">
        <f>IF(ISNUMBER(SEARCH(ZAKL_DATA!$B$29,N823)),MAX($M$2:M822)+1,0)</f>
        <v>821</v>
      </c>
      <c r="N823" s="295" t="s">
        <v>3103</v>
      </c>
      <c r="O823" s="310" t="s">
        <v>3104</v>
      </c>
      <c r="Q823" s="297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295" t="s">
        <v>3103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295" t="s">
        <v>3103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295" t="s">
        <v>3103</v>
      </c>
      <c r="Z823" t="str">
        <f>IFERROR(VLOOKUP(ROWS($Z$3:Z823),$X$3:$Y$992,2,0),"")</f>
        <v>Ostatní sportovní činnosti</v>
      </c>
    </row>
    <row r="824" spans="13:26" ht="12.75">
      <c r="M824" s="294">
        <f>IF(ISNUMBER(SEARCH(ZAKL_DATA!$B$29,N824)),MAX($M$2:M823)+1,0)</f>
        <v>822</v>
      </c>
      <c r="N824" s="295" t="s">
        <v>3105</v>
      </c>
      <c r="O824" s="310" t="s">
        <v>3106</v>
      </c>
      <c r="Q824" s="297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295" t="s">
        <v>3105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295" t="s">
        <v>3105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295" t="s">
        <v>3105</v>
      </c>
      <c r="Z824" t="str">
        <f>IFERROR(VLOOKUP(ROWS($Z$3:Z824),$X$3:$Y$992,2,0),"")</f>
        <v>Činnosti lunaparků a zábavních parků</v>
      </c>
    </row>
    <row r="825" spans="13:26" ht="12.75">
      <c r="M825" s="294">
        <f>IF(ISNUMBER(SEARCH(ZAKL_DATA!$B$29,N825)),MAX($M$2:M824)+1,0)</f>
        <v>823</v>
      </c>
      <c r="N825" s="295" t="s">
        <v>3107</v>
      </c>
      <c r="O825" s="310" t="s">
        <v>3108</v>
      </c>
      <c r="Q825" s="297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295" t="s">
        <v>3107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295" t="s">
        <v>3107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295" t="s">
        <v>3107</v>
      </c>
      <c r="Z825" t="str">
        <f>IFERROR(VLOOKUP(ROWS($Z$3:Z825),$X$3:$Y$992,2,0),"")</f>
        <v>Ostatní zábavní a rekreační činnosti j. n.</v>
      </c>
    </row>
    <row r="826" spans="13:26" ht="12.75">
      <c r="M826" s="294">
        <f>IF(ISNUMBER(SEARCH(ZAKL_DATA!$B$29,N826)),MAX($M$2:M825)+1,0)</f>
        <v>824</v>
      </c>
      <c r="N826" s="295" t="s">
        <v>3109</v>
      </c>
      <c r="O826" s="310" t="s">
        <v>3110</v>
      </c>
      <c r="Q826" s="297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295" t="s">
        <v>3109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295" t="s">
        <v>3109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295" t="s">
        <v>3109</v>
      </c>
      <c r="Z826" t="str">
        <f>IFERROR(VLOOKUP(ROWS($Z$3:Z826),$X$3:$Y$992,2,0),"")</f>
        <v>Činnosti podnikatelských a zaměstnavatelských organizací</v>
      </c>
    </row>
    <row r="827" spans="13:26" ht="12.75">
      <c r="M827" s="294">
        <f>IF(ISNUMBER(SEARCH(ZAKL_DATA!$B$29,N827)),MAX($M$2:M826)+1,0)</f>
        <v>825</v>
      </c>
      <c r="N827" s="295" t="s">
        <v>3111</v>
      </c>
      <c r="O827" s="310" t="s">
        <v>3112</v>
      </c>
      <c r="Q827" s="297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295" t="s">
        <v>3111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295" t="s">
        <v>3111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295" t="s">
        <v>3111</v>
      </c>
      <c r="Z827" t="str">
        <f>IFERROR(VLOOKUP(ROWS($Z$3:Z827),$X$3:$Y$992,2,0),"")</f>
        <v>Činnosti profesních organizací</v>
      </c>
    </row>
    <row r="828" spans="13:26" ht="12.75">
      <c r="M828" s="294">
        <f>IF(ISNUMBER(SEARCH(ZAKL_DATA!$B$29,N828)),MAX($M$2:M827)+1,0)</f>
        <v>826</v>
      </c>
      <c r="N828" s="295" t="s">
        <v>3113</v>
      </c>
      <c r="O828" s="310" t="s">
        <v>3114</v>
      </c>
      <c r="Q828" s="297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295" t="s">
        <v>3113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295" t="s">
        <v>3113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295" t="s">
        <v>3113</v>
      </c>
      <c r="Z828" t="str">
        <f>IFERROR(VLOOKUP(ROWS($Z$3:Z828),$X$3:$Y$992,2,0),"")</f>
        <v>Činnosti náboženských organizací</v>
      </c>
    </row>
    <row r="829" spans="13:26" ht="12.75">
      <c r="M829" s="294">
        <f>IF(ISNUMBER(SEARCH(ZAKL_DATA!$B$29,N829)),MAX($M$2:M828)+1,0)</f>
        <v>827</v>
      </c>
      <c r="N829" s="295" t="s">
        <v>3115</v>
      </c>
      <c r="O829" s="310" t="s">
        <v>3116</v>
      </c>
      <c r="Q829" s="297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295" t="s">
        <v>3115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295" t="s">
        <v>3115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295" t="s">
        <v>3115</v>
      </c>
      <c r="Z829" t="str">
        <f>IFERROR(VLOOKUP(ROWS($Z$3:Z829),$X$3:$Y$992,2,0),"")</f>
        <v>Činnosti politických stran a organizací</v>
      </c>
    </row>
    <row r="830" spans="13:26" ht="12.75">
      <c r="M830" s="294">
        <f>IF(ISNUMBER(SEARCH(ZAKL_DATA!$B$29,N830)),MAX($M$2:M829)+1,0)</f>
        <v>828</v>
      </c>
      <c r="N830" s="295" t="s">
        <v>3117</v>
      </c>
      <c r="O830" s="310" t="s">
        <v>3118</v>
      </c>
      <c r="Q830" s="297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295" t="s">
        <v>3117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295" t="s">
        <v>3117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295" t="s">
        <v>3117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294">
        <f>IF(ISNUMBER(SEARCH(ZAKL_DATA!$B$29,N831)),MAX($M$2:M830)+1,0)</f>
        <v>829</v>
      </c>
      <c r="N831" s="295" t="s">
        <v>3119</v>
      </c>
      <c r="O831" s="310" t="s">
        <v>3120</v>
      </c>
      <c r="Q831" s="297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295" t="s">
        <v>3119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295" t="s">
        <v>3119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295" t="s">
        <v>3119</v>
      </c>
      <c r="Z831" t="str">
        <f>IFERROR(VLOOKUP(ROWS($Z$3:Z831),$X$3:$Y$992,2,0),"")</f>
        <v>Opravy počítačů a periferních zařízení</v>
      </c>
    </row>
    <row r="832" spans="13:26" ht="12.75">
      <c r="M832" s="294">
        <f>IF(ISNUMBER(SEARCH(ZAKL_DATA!$B$29,N832)),MAX($M$2:M831)+1,0)</f>
        <v>830</v>
      </c>
      <c r="N832" s="295" t="s">
        <v>3121</v>
      </c>
      <c r="O832" s="310" t="s">
        <v>3122</v>
      </c>
      <c r="Q832" s="297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295" t="s">
        <v>3121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295" t="s">
        <v>3121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295" t="s">
        <v>3121</v>
      </c>
      <c r="Z832" t="str">
        <f>IFERROR(VLOOKUP(ROWS($Z$3:Z832),$X$3:$Y$992,2,0),"")</f>
        <v>Opravy komunikačních zařízení</v>
      </c>
    </row>
    <row r="833" spans="13:26" ht="12.75">
      <c r="M833" s="294">
        <f>IF(ISNUMBER(SEARCH(ZAKL_DATA!$B$29,N833)),MAX($M$2:M832)+1,0)</f>
        <v>831</v>
      </c>
      <c r="N833" s="295" t="s">
        <v>3123</v>
      </c>
      <c r="O833" s="310" t="s">
        <v>3124</v>
      </c>
      <c r="Q833" s="297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295" t="s">
        <v>3123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295" t="s">
        <v>3123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295" t="s">
        <v>3123</v>
      </c>
      <c r="Z833" t="str">
        <f>IFERROR(VLOOKUP(ROWS($Z$3:Z833),$X$3:$Y$992,2,0),"")</f>
        <v>Opravy spotřební elektroniky</v>
      </c>
    </row>
    <row r="834" spans="13:26" ht="12.75">
      <c r="M834" s="294">
        <f>IF(ISNUMBER(SEARCH(ZAKL_DATA!$B$29,N834)),MAX($M$2:M833)+1,0)</f>
        <v>832</v>
      </c>
      <c r="N834" s="295" t="s">
        <v>3125</v>
      </c>
      <c r="O834" s="310" t="s">
        <v>3126</v>
      </c>
      <c r="Q834" s="297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295" t="s">
        <v>3125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295" t="s">
        <v>3125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295" t="s">
        <v>3125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294">
        <f>IF(ISNUMBER(SEARCH(ZAKL_DATA!$B$29,N835)),MAX($M$2:M834)+1,0)</f>
        <v>833</v>
      </c>
      <c r="N835" s="295" t="s">
        <v>3127</v>
      </c>
      <c r="O835" s="310" t="s">
        <v>3128</v>
      </c>
      <c r="Q835" s="297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295" t="s">
        <v>3127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295" t="s">
        <v>3127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295" t="s">
        <v>3127</v>
      </c>
      <c r="Z835" t="str">
        <f>IFERROR(VLOOKUP(ROWS($Z$3:Z835),$X$3:$Y$992,2,0),"")</f>
        <v>Opravy obuvi a kožených výrobků</v>
      </c>
    </row>
    <row r="836" spans="13:26" ht="12.75">
      <c r="M836" s="294">
        <f>IF(ISNUMBER(SEARCH(ZAKL_DATA!$B$29,N836)),MAX($M$2:M835)+1,0)</f>
        <v>834</v>
      </c>
      <c r="N836" s="295" t="s">
        <v>3129</v>
      </c>
      <c r="O836" s="310" t="s">
        <v>3130</v>
      </c>
      <c r="Q836" s="297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295" t="s">
        <v>3129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295" t="s">
        <v>3129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295" t="s">
        <v>3129</v>
      </c>
      <c r="Z836" t="str">
        <f>IFERROR(VLOOKUP(ROWS($Z$3:Z836),$X$3:$Y$992,2,0),"")</f>
        <v>Opravy nábytku a bytového zařízení</v>
      </c>
    </row>
    <row r="837" spans="13:26" ht="12.75">
      <c r="M837" s="294">
        <f>IF(ISNUMBER(SEARCH(ZAKL_DATA!$B$29,N837)),MAX($M$2:M836)+1,0)</f>
        <v>835</v>
      </c>
      <c r="N837" s="295" t="s">
        <v>3131</v>
      </c>
      <c r="O837" s="310" t="s">
        <v>3132</v>
      </c>
      <c r="Q837" s="297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295" t="s">
        <v>3131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295" t="s">
        <v>3131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295" t="s">
        <v>3131</v>
      </c>
      <c r="Z837" t="str">
        <f>IFERROR(VLOOKUP(ROWS($Z$3:Z837),$X$3:$Y$992,2,0),"")</f>
        <v>Opravy hodin, hodinek a klenotnických výrobků</v>
      </c>
    </row>
    <row r="838" spans="13:26" ht="12.75">
      <c r="M838" s="294">
        <f>IF(ISNUMBER(SEARCH(ZAKL_DATA!$B$29,N838)),MAX($M$2:M837)+1,0)</f>
        <v>836</v>
      </c>
      <c r="N838" s="295" t="s">
        <v>3133</v>
      </c>
      <c r="O838" s="310" t="s">
        <v>3134</v>
      </c>
      <c r="Q838" s="297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295" t="s">
        <v>3133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295" t="s">
        <v>3133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295" t="s">
        <v>3133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294">
        <f>IF(ISNUMBER(SEARCH(ZAKL_DATA!$B$29,N839)),MAX($M$2:M838)+1,0)</f>
        <v>837</v>
      </c>
      <c r="N839" s="295" t="s">
        <v>3135</v>
      </c>
      <c r="O839" s="310" t="s">
        <v>3136</v>
      </c>
      <c r="Q839" s="297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295" t="s">
        <v>3135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295" t="s">
        <v>3135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295" t="s">
        <v>3135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294">
        <f>IF(ISNUMBER(SEARCH(ZAKL_DATA!$B$29,N840)),MAX($M$2:M839)+1,0)</f>
        <v>838</v>
      </c>
      <c r="N840" s="295" t="s">
        <v>3137</v>
      </c>
      <c r="O840" s="310" t="s">
        <v>3138</v>
      </c>
      <c r="Q840" s="297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295" t="s">
        <v>3137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295" t="s">
        <v>3137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295" t="s">
        <v>3137</v>
      </c>
      <c r="Z840" t="str">
        <f>IFERROR(VLOOKUP(ROWS($Z$3:Z840),$X$3:$Y$992,2,0),"")</f>
        <v>Kadeřnické, kosmetické a podobné činnosti</v>
      </c>
    </row>
    <row r="841" spans="13:26" ht="12.75">
      <c r="M841" s="294">
        <f>IF(ISNUMBER(SEARCH(ZAKL_DATA!$B$29,N841)),MAX($M$2:M840)+1,0)</f>
        <v>839</v>
      </c>
      <c r="N841" s="295" t="s">
        <v>3139</v>
      </c>
      <c r="O841" s="310" t="s">
        <v>3140</v>
      </c>
      <c r="Q841" s="297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295" t="s">
        <v>3139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295" t="s">
        <v>3139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295" t="s">
        <v>3139</v>
      </c>
      <c r="Z841" t="str">
        <f>IFERROR(VLOOKUP(ROWS($Z$3:Z841),$X$3:$Y$992,2,0),"")</f>
        <v>Pohřební a související činnosti</v>
      </c>
    </row>
    <row r="842" spans="13:26" ht="12.75">
      <c r="M842" s="294">
        <f>IF(ISNUMBER(SEARCH(ZAKL_DATA!$B$29,N842)),MAX($M$2:M841)+1,0)</f>
        <v>840</v>
      </c>
      <c r="N842" s="295" t="s">
        <v>3141</v>
      </c>
      <c r="O842" s="310" t="s">
        <v>3142</v>
      </c>
      <c r="Q842" s="297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295" t="s">
        <v>3141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295" t="s">
        <v>3141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295" t="s">
        <v>3141</v>
      </c>
      <c r="Z842" t="str">
        <f>IFERROR(VLOOKUP(ROWS($Z$3:Z842),$X$3:$Y$992,2,0),"")</f>
        <v>Činnosti pro osobní a fyzickou pohodu</v>
      </c>
    </row>
    <row r="843" spans="13:26" ht="12.75">
      <c r="M843" s="294">
        <f>IF(ISNUMBER(SEARCH(ZAKL_DATA!$B$29,N843)),MAX($M$2:M842)+1,0)</f>
        <v>841</v>
      </c>
      <c r="N843" s="295" t="s">
        <v>3143</v>
      </c>
      <c r="O843" s="310" t="s">
        <v>3144</v>
      </c>
      <c r="Q843" s="297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295" t="s">
        <v>3143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295" t="s">
        <v>3143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295" t="s">
        <v>3143</v>
      </c>
      <c r="Z843" t="str">
        <f>IFERROR(VLOOKUP(ROWS($Z$3:Z843),$X$3:$Y$992,2,0),"")</f>
        <v>Poskytování ostatních osobních služeb j. n.</v>
      </c>
    </row>
    <row r="844" spans="13:26" ht="12.75">
      <c r="M844" s="294">
        <f>IF(ISNUMBER(SEARCH(ZAKL_DATA!$B$29,N844)),MAX($M$2:M843)+1,0)</f>
        <v>842</v>
      </c>
      <c r="N844" s="295" t="s">
        <v>3145</v>
      </c>
      <c r="O844" s="310" t="s">
        <v>2235</v>
      </c>
      <c r="Q844" s="297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295" t="s">
        <v>3145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295" t="s">
        <v>3145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295" t="s">
        <v>3145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294">
        <f>IF(ISNUMBER(SEARCH(ZAKL_DATA!$B$29,N845)),MAX($M$2:M844)+1,0)</f>
        <v>843</v>
      </c>
      <c r="N845" s="295" t="s">
        <v>3146</v>
      </c>
      <c r="O845" s="310" t="s">
        <v>3147</v>
      </c>
      <c r="Q845" s="297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295" t="s">
        <v>3146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295" t="s">
        <v>3146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295" t="s">
        <v>3146</v>
      </c>
      <c r="Z845" t="str">
        <f>IFERROR(VLOOKUP(ROWS($Z$3:Z845),$X$3:$Y$992,2,0),"")</f>
        <v>Výroba obuvi s usňovým svrškem</v>
      </c>
    </row>
    <row r="846" spans="13:26" ht="12.75">
      <c r="M846" s="294">
        <f>IF(ISNUMBER(SEARCH(ZAKL_DATA!$B$29,N846)),MAX($M$2:M845)+1,0)</f>
        <v>844</v>
      </c>
      <c r="N846" s="295" t="s">
        <v>3148</v>
      </c>
      <c r="O846" s="310" t="s">
        <v>3149</v>
      </c>
      <c r="Q846" s="297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295" t="s">
        <v>3148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295" t="s">
        <v>3148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295" t="s">
        <v>3148</v>
      </c>
      <c r="Z846" t="str">
        <f>IFERROR(VLOOKUP(ROWS($Z$3:Z846),$X$3:$Y$992,2,0),"")</f>
        <v>Výroba obuvi z ostatních materiálů</v>
      </c>
    </row>
    <row r="847" spans="13:26" ht="12.75">
      <c r="M847" s="294">
        <f>IF(ISNUMBER(SEARCH(ZAKL_DATA!$B$29,N847)),MAX($M$2:M846)+1,0)</f>
        <v>845</v>
      </c>
      <c r="N847" s="295" t="s">
        <v>3150</v>
      </c>
      <c r="O847" s="310" t="s">
        <v>3151</v>
      </c>
      <c r="Q847" s="297" t="str">
        <f>IFERROR(VLOOKUP(ROWS($Q$3:Q847),$M$3:$N$992,2,0),"")</f>
        <v>Výroba chemických buničin</v>
      </c>
      <c r="R847">
        <f>IF(ISNUMBER(SEARCH('1Př1'!$A$32,N847)),MAX($M$2:M846)+1,0)</f>
        <v>845</v>
      </c>
      <c r="S847" s="295" t="s">
        <v>3150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295" t="s">
        <v>3150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295" t="s">
        <v>3150</v>
      </c>
      <c r="Z847" t="str">
        <f>IFERROR(VLOOKUP(ROWS($Z$3:Z847),$X$3:$Y$992,2,0),"")</f>
        <v>Výroba chemických buničin</v>
      </c>
    </row>
    <row r="848" spans="13:26" ht="12.75">
      <c r="M848" s="294">
        <f>IF(ISNUMBER(SEARCH(ZAKL_DATA!$B$29,N848)),MAX($M$2:M847)+1,0)</f>
        <v>846</v>
      </c>
      <c r="N848" s="295" t="s">
        <v>3152</v>
      </c>
      <c r="O848" s="310" t="s">
        <v>3153</v>
      </c>
      <c r="Q848" s="297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295" t="s">
        <v>3152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295" t="s">
        <v>3152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295" t="s">
        <v>3152</v>
      </c>
      <c r="Z848" t="str">
        <f>IFERROR(VLOOKUP(ROWS($Z$3:Z848),$X$3:$Y$992,2,0),"")</f>
        <v>Výroba mechanických vláknin</v>
      </c>
    </row>
    <row r="849" spans="13:26" ht="12.75">
      <c r="M849" s="294">
        <f>IF(ISNUMBER(SEARCH(ZAKL_DATA!$B$29,N849)),MAX($M$2:M848)+1,0)</f>
        <v>847</v>
      </c>
      <c r="N849" s="295" t="s">
        <v>3154</v>
      </c>
      <c r="O849" s="310" t="s">
        <v>3155</v>
      </c>
      <c r="Q849" s="297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295" t="s">
        <v>3154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295" t="s">
        <v>3154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295" t="s">
        <v>3154</v>
      </c>
      <c r="Z849" t="str">
        <f>IFERROR(VLOOKUP(ROWS($Z$3:Z849),$X$3:$Y$992,2,0),"")</f>
        <v>Výroba ostatních papírenských vláknin</v>
      </c>
    </row>
    <row r="850" spans="13:26" ht="12.75">
      <c r="M850" s="294">
        <f>IF(ISNUMBER(SEARCH(ZAKL_DATA!$B$29,N850)),MAX($M$2:M849)+1,0)</f>
        <v>848</v>
      </c>
      <c r="N850" s="295" t="s">
        <v>3156</v>
      </c>
      <c r="O850" s="310" t="s">
        <v>3157</v>
      </c>
      <c r="Q850" s="297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295" t="s">
        <v>3156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295" t="s">
        <v>3156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295" t="s">
        <v>3156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294">
        <f>IF(ISNUMBER(SEARCH(ZAKL_DATA!$B$29,N851)),MAX($M$2:M850)+1,0)</f>
        <v>849</v>
      </c>
      <c r="N851" s="295" t="s">
        <v>3158</v>
      </c>
      <c r="O851" s="310" t="s">
        <v>3159</v>
      </c>
      <c r="Q851" s="297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295" t="s">
        <v>3158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295" t="s">
        <v>3158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295" t="s">
        <v>3158</v>
      </c>
      <c r="Z851" t="str">
        <f>IFERROR(VLOOKUP(ROWS($Z$3:Z851),$X$3:$Y$992,2,0),"")</f>
        <v>Výroba ostatních základních organických chemických látek</v>
      </c>
    </row>
    <row r="852" spans="13:26" ht="12.75">
      <c r="M852" s="294">
        <f>IF(ISNUMBER(SEARCH(ZAKL_DATA!$B$29,N852)),MAX($M$2:M851)+1,0)</f>
        <v>850</v>
      </c>
      <c r="N852" s="295" t="s">
        <v>3160</v>
      </c>
      <c r="O852" s="310" t="s">
        <v>3161</v>
      </c>
      <c r="Q852" s="297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295" t="s">
        <v>3160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295" t="s">
        <v>3160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295" t="s">
        <v>3160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294">
        <f>IF(ISNUMBER(SEARCH(ZAKL_DATA!$B$29,N853)),MAX($M$2:M852)+1,0)</f>
        <v>851</v>
      </c>
      <c r="N853" s="295" t="s">
        <v>3162</v>
      </c>
      <c r="O853" s="310" t="s">
        <v>3163</v>
      </c>
      <c r="Q853" s="297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295" t="s">
        <v>3162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295" t="s">
        <v>3162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295" t="s">
        <v>3162</v>
      </c>
      <c r="Z853" t="str">
        <f>IFERROR(VLOOKUP(ROWS($Z$3:Z853),$X$3:$Y$992,2,0),"")</f>
        <v>Výroba jiných chemických výrobků j. n.</v>
      </c>
    </row>
    <row r="854" spans="13:26" ht="12.75">
      <c r="M854" s="294">
        <f>IF(ISNUMBER(SEARCH(ZAKL_DATA!$B$29,N854)),MAX($M$2:M853)+1,0)</f>
        <v>852</v>
      </c>
      <c r="N854" s="295" t="s">
        <v>3164</v>
      </c>
      <c r="O854" s="310" t="s">
        <v>3165</v>
      </c>
      <c r="Q854" s="297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295" t="s">
        <v>3164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295" t="s">
        <v>3164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295" t="s">
        <v>3164</v>
      </c>
      <c r="Z854" t="str">
        <f>IFERROR(VLOOKUP(ROWS($Z$3:Z854),$X$3:$Y$992,2,0),"")</f>
        <v>Výroba surového železa, oceli a feroslitin</v>
      </c>
    </row>
    <row r="855" spans="13:26" ht="12.75">
      <c r="M855" s="294">
        <f>IF(ISNUMBER(SEARCH(ZAKL_DATA!$B$29,N855)),MAX($M$2:M854)+1,0)</f>
        <v>853</v>
      </c>
      <c r="N855" s="295" t="s">
        <v>3166</v>
      </c>
      <c r="O855" s="310" t="s">
        <v>3167</v>
      </c>
      <c r="Q855" s="297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295" t="s">
        <v>3166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295" t="s">
        <v>3166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295" t="s">
        <v>3166</v>
      </c>
      <c r="Z855" t="str">
        <f>IFERROR(VLOOKUP(ROWS($Z$3:Z855),$X$3:$Y$992,2,0),"")</f>
        <v>Výroba plochých výrobků (kromě pásky za studena)</v>
      </c>
    </row>
    <row r="856" spans="13:26" ht="12.75">
      <c r="M856" s="294">
        <f>IF(ISNUMBER(SEARCH(ZAKL_DATA!$B$29,N856)),MAX($M$2:M855)+1,0)</f>
        <v>854</v>
      </c>
      <c r="N856" s="295" t="s">
        <v>3168</v>
      </c>
      <c r="O856" s="310" t="s">
        <v>3169</v>
      </c>
      <c r="Q856" s="297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295" t="s">
        <v>3168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295" t="s">
        <v>3168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295" t="s">
        <v>3168</v>
      </c>
      <c r="Z856" t="str">
        <f>IFERROR(VLOOKUP(ROWS($Z$3:Z856),$X$3:$Y$992,2,0),"")</f>
        <v>Tváření výrobků za tepla</v>
      </c>
    </row>
    <row r="857" spans="13:26" ht="12.75">
      <c r="M857" s="294">
        <f>IF(ISNUMBER(SEARCH(ZAKL_DATA!$B$29,N857)),MAX($M$2:M856)+1,0)</f>
        <v>855</v>
      </c>
      <c r="N857" s="295" t="s">
        <v>3170</v>
      </c>
      <c r="O857" s="310" t="s">
        <v>3171</v>
      </c>
      <c r="Q857" s="297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295" t="s">
        <v>3170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295" t="s">
        <v>3170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295" t="s">
        <v>3170</v>
      </c>
      <c r="Z857" t="str">
        <f>IFERROR(VLOOKUP(ROWS($Z$3:Z857),$X$3:$Y$992,2,0),"")</f>
        <v>Výroba odlitků z litiny s lupínkovým grafitem</v>
      </c>
    </row>
    <row r="858" spans="13:26" ht="12.75">
      <c r="M858" s="294">
        <f>IF(ISNUMBER(SEARCH(ZAKL_DATA!$B$29,N858)),MAX($M$2:M857)+1,0)</f>
        <v>856</v>
      </c>
      <c r="N858" s="295" t="s">
        <v>3172</v>
      </c>
      <c r="O858" s="310" t="s">
        <v>3173</v>
      </c>
      <c r="Q858" s="297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295" t="s">
        <v>3172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295" t="s">
        <v>3172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295" t="s">
        <v>3172</v>
      </c>
      <c r="Z858" t="str">
        <f>IFERROR(VLOOKUP(ROWS($Z$3:Z858),$X$3:$Y$992,2,0),"")</f>
        <v>Výroba odlitků z litiny s kuličkovým grafitem</v>
      </c>
    </row>
    <row r="859" spans="13:26" ht="12.75">
      <c r="M859" s="294">
        <f>IF(ISNUMBER(SEARCH(ZAKL_DATA!$B$29,N859)),MAX($M$2:M858)+1,0)</f>
        <v>857</v>
      </c>
      <c r="N859" s="295" t="s">
        <v>3174</v>
      </c>
      <c r="O859" s="310" t="s">
        <v>3175</v>
      </c>
      <c r="Q859" s="297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295" t="s">
        <v>3174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295" t="s">
        <v>3174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295" t="s">
        <v>3174</v>
      </c>
      <c r="Z859" t="str">
        <f>IFERROR(VLOOKUP(ROWS($Z$3:Z859),$X$3:$Y$992,2,0),"")</f>
        <v>Výroba ostatních odlitků z litiny</v>
      </c>
    </row>
    <row r="860" spans="13:26" ht="12.75">
      <c r="M860" s="294">
        <f>IF(ISNUMBER(SEARCH(ZAKL_DATA!$B$29,N860)),MAX($M$2:M859)+1,0)</f>
        <v>858</v>
      </c>
      <c r="N860" s="295" t="s">
        <v>3176</v>
      </c>
      <c r="O860" s="310" t="s">
        <v>3177</v>
      </c>
      <c r="Q860" s="297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295" t="s">
        <v>3176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295" t="s">
        <v>3176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295" t="s">
        <v>3176</v>
      </c>
      <c r="Z860" t="str">
        <f>IFERROR(VLOOKUP(ROWS($Z$3:Z860),$X$3:$Y$992,2,0),"")</f>
        <v>Výroba odlitků z uhlíkatých ocelí</v>
      </c>
    </row>
    <row r="861" spans="13:26" ht="12.75">
      <c r="M861" s="294">
        <f>IF(ISNUMBER(SEARCH(ZAKL_DATA!$B$29,N861)),MAX($M$2:M860)+1,0)</f>
        <v>859</v>
      </c>
      <c r="N861" s="295" t="s">
        <v>3178</v>
      </c>
      <c r="O861" s="310" t="s">
        <v>3179</v>
      </c>
      <c r="Q861" s="297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295" t="s">
        <v>3178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295" t="s">
        <v>3178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295" t="s">
        <v>3178</v>
      </c>
      <c r="Z861" t="str">
        <f>IFERROR(VLOOKUP(ROWS($Z$3:Z861),$X$3:$Y$992,2,0),"")</f>
        <v>Výroba odlitků z legovaných ocelí</v>
      </c>
    </row>
    <row r="862" spans="13:26" ht="12.75">
      <c r="M862" s="294">
        <f>IF(ISNUMBER(SEARCH(ZAKL_DATA!$B$29,N862)),MAX($M$2:M861)+1,0)</f>
        <v>860</v>
      </c>
      <c r="N862" s="295" t="s">
        <v>3180</v>
      </c>
      <c r="O862" s="310" t="s">
        <v>3181</v>
      </c>
      <c r="Q862" s="297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295" t="s">
        <v>3180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295" t="s">
        <v>3180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295" t="s">
        <v>3180</v>
      </c>
      <c r="Z862" t="str">
        <f>IFERROR(VLOOKUP(ROWS($Z$3:Z862),$X$3:$Y$992,2,0),"")</f>
        <v>Opravy a údržba kolejových vozidel</v>
      </c>
    </row>
    <row r="863" spans="13:26" ht="12.75">
      <c r="M863" s="294">
        <f>IF(ISNUMBER(SEARCH(ZAKL_DATA!$B$29,N863)),MAX($M$2:M862)+1,0)</f>
        <v>861</v>
      </c>
      <c r="N863" s="295" t="s">
        <v>3182</v>
      </c>
      <c r="O863" s="310" t="s">
        <v>3183</v>
      </c>
      <c r="Q863" s="297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295" t="s">
        <v>3182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295" t="s">
        <v>3182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295" t="s">
        <v>3182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294">
        <f>IF(ISNUMBER(SEARCH(ZAKL_DATA!$B$29,N864)),MAX($M$2:M863)+1,0)</f>
        <v>862</v>
      </c>
      <c r="N864" s="295" t="s">
        <v>3184</v>
      </c>
      <c r="O864" s="310" t="s">
        <v>1915</v>
      </c>
      <c r="Q864" s="297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295" t="s">
        <v>3184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295" t="s">
        <v>3184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295" t="s">
        <v>3184</v>
      </c>
      <c r="Z864" t="str">
        <f>IFERROR(VLOOKUP(ROWS($Z$3:Z864),$X$3:$Y$992,2,0),"")</f>
        <v>Výroba a rozvod tepla a klimatizovaného vzduchu,výroba ledu</v>
      </c>
    </row>
    <row r="865" spans="13:26" ht="12.75">
      <c r="M865" s="294">
        <f>IF(ISNUMBER(SEARCH(ZAKL_DATA!$B$29,N865)),MAX($M$2:M864)+1,0)</f>
        <v>863</v>
      </c>
      <c r="N865" s="295" t="s">
        <v>3185</v>
      </c>
      <c r="O865" s="310" t="s">
        <v>3186</v>
      </c>
      <c r="Q865" s="297" t="str">
        <f>IFERROR(VLOOKUP(ROWS($Q$3:Q865),$M$3:$N$992,2,0),"")</f>
        <v>Výroba tepla</v>
      </c>
      <c r="R865">
        <f>IF(ISNUMBER(SEARCH('1Př1'!$A$32,N865)),MAX($M$2:M864)+1,0)</f>
        <v>863</v>
      </c>
      <c r="S865" s="295" t="s">
        <v>3185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295" t="s">
        <v>3185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295" t="s">
        <v>3185</v>
      </c>
      <c r="Z865" t="str">
        <f>IFERROR(VLOOKUP(ROWS($Z$3:Z865),$X$3:$Y$992,2,0),"")</f>
        <v>Výroba tepla</v>
      </c>
    </row>
    <row r="866" spans="13:26" ht="12.75">
      <c r="M866" s="294">
        <f>IF(ISNUMBER(SEARCH(ZAKL_DATA!$B$29,N866)),MAX($M$2:M865)+1,0)</f>
        <v>864</v>
      </c>
      <c r="N866" s="295" t="s">
        <v>3187</v>
      </c>
      <c r="O866" s="310" t="s">
        <v>3188</v>
      </c>
      <c r="Q866" s="297" t="str">
        <f>IFERROR(VLOOKUP(ROWS($Q$3:Q866),$M$3:$N$992,2,0),"")</f>
        <v>Rozvod tepla</v>
      </c>
      <c r="R866">
        <f>IF(ISNUMBER(SEARCH('1Př1'!$A$32,N866)),MAX($M$2:M865)+1,0)</f>
        <v>864</v>
      </c>
      <c r="S866" s="295" t="s">
        <v>3187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295" t="s">
        <v>3187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295" t="s">
        <v>3187</v>
      </c>
      <c r="Z866" t="str">
        <f>IFERROR(VLOOKUP(ROWS($Z$3:Z866),$X$3:$Y$992,2,0),"")</f>
        <v>Rozvod tepla</v>
      </c>
    </row>
    <row r="867" spans="13:26" ht="12.75">
      <c r="M867" s="294">
        <f>IF(ISNUMBER(SEARCH(ZAKL_DATA!$B$29,N867)),MAX($M$2:M866)+1,0)</f>
        <v>865</v>
      </c>
      <c r="N867" s="295" t="s">
        <v>3189</v>
      </c>
      <c r="O867" s="310" t="s">
        <v>3190</v>
      </c>
      <c r="Q867" s="297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295" t="s">
        <v>3189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295" t="s">
        <v>3189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295" t="s">
        <v>3189</v>
      </c>
      <c r="Z867" t="str">
        <f>IFERROR(VLOOKUP(ROWS($Z$3:Z867),$X$3:$Y$992,2,0),"")</f>
        <v>Výroba klimatizovaného vzduchu</v>
      </c>
    </row>
    <row r="868" spans="13:26" ht="12.75">
      <c r="M868" s="294">
        <f>IF(ISNUMBER(SEARCH(ZAKL_DATA!$B$29,N868)),MAX($M$2:M867)+1,0)</f>
        <v>866</v>
      </c>
      <c r="N868" s="295" t="s">
        <v>3191</v>
      </c>
      <c r="O868" s="310" t="s">
        <v>3192</v>
      </c>
      <c r="Q868" s="297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295" t="s">
        <v>3191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295" t="s">
        <v>3191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295" t="s">
        <v>3191</v>
      </c>
      <c r="Z868" t="str">
        <f>IFERROR(VLOOKUP(ROWS($Z$3:Z868),$X$3:$Y$992,2,0),"")</f>
        <v>Rozvod klimatizovaného vzduchu</v>
      </c>
    </row>
    <row r="869" spans="13:26" ht="12.75">
      <c r="M869" s="294">
        <f>IF(ISNUMBER(SEARCH(ZAKL_DATA!$B$29,N869)),MAX($M$2:M868)+1,0)</f>
        <v>867</v>
      </c>
      <c r="N869" s="295" t="s">
        <v>3193</v>
      </c>
      <c r="O869" s="310" t="s">
        <v>3194</v>
      </c>
      <c r="Q869" s="297" t="str">
        <f>IFERROR(VLOOKUP(ROWS($Q$3:Q869),$M$3:$N$992,2,0),"")</f>
        <v>Výroba chladicí vody</v>
      </c>
      <c r="R869">
        <f>IF(ISNUMBER(SEARCH('1Př1'!$A$32,N869)),MAX($M$2:M868)+1,0)</f>
        <v>867</v>
      </c>
      <c r="S869" s="295" t="s">
        <v>3193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295" t="s">
        <v>3193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295" t="s">
        <v>3193</v>
      </c>
      <c r="Z869" t="str">
        <f>IFERROR(VLOOKUP(ROWS($Z$3:Z869),$X$3:$Y$992,2,0),"")</f>
        <v>Výroba chladicí vody</v>
      </c>
    </row>
    <row r="870" spans="13:26" ht="12.75">
      <c r="M870" s="294">
        <f>IF(ISNUMBER(SEARCH(ZAKL_DATA!$B$29,N870)),MAX($M$2:M869)+1,0)</f>
        <v>868</v>
      </c>
      <c r="N870" s="295" t="s">
        <v>3195</v>
      </c>
      <c r="O870" s="310" t="s">
        <v>3196</v>
      </c>
      <c r="Q870" s="297" t="str">
        <f>IFERROR(VLOOKUP(ROWS($Q$3:Q870),$M$3:$N$992,2,0),"")</f>
        <v>Rozvod chladicí vody</v>
      </c>
      <c r="R870">
        <f>IF(ISNUMBER(SEARCH('1Př1'!$A$32,N870)),MAX($M$2:M869)+1,0)</f>
        <v>868</v>
      </c>
      <c r="S870" s="295" t="s">
        <v>3195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295" t="s">
        <v>3195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295" t="s">
        <v>3195</v>
      </c>
      <c r="Z870" t="str">
        <f>IFERROR(VLOOKUP(ROWS($Z$3:Z870),$X$3:$Y$992,2,0),"")</f>
        <v>Rozvod chladicí vody</v>
      </c>
    </row>
    <row r="871" spans="13:26" ht="12.75">
      <c r="M871" s="294">
        <f>IF(ISNUMBER(SEARCH(ZAKL_DATA!$B$29,N871)),MAX($M$2:M870)+1,0)</f>
        <v>869</v>
      </c>
      <c r="N871" s="295" t="s">
        <v>3197</v>
      </c>
      <c r="O871" s="310" t="s">
        <v>3198</v>
      </c>
      <c r="Q871" s="297" t="str">
        <f>IFERROR(VLOOKUP(ROWS($Q$3:Q871),$M$3:$N$992,2,0),"")</f>
        <v>Výroba ledu</v>
      </c>
      <c r="R871">
        <f>IF(ISNUMBER(SEARCH('1Př1'!$A$32,N871)),MAX($M$2:M870)+1,0)</f>
        <v>869</v>
      </c>
      <c r="S871" s="295" t="s">
        <v>3197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295" t="s">
        <v>3197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295" t="s">
        <v>3197</v>
      </c>
      <c r="Z871" t="str">
        <f>IFERROR(VLOOKUP(ROWS($Z$3:Z871),$X$3:$Y$992,2,0),"")</f>
        <v>Výroba ledu</v>
      </c>
    </row>
    <row r="872" spans="13:26" ht="12.75">
      <c r="M872" s="294">
        <f>IF(ISNUMBER(SEARCH(ZAKL_DATA!$B$29,N872)),MAX($M$2:M871)+1,0)</f>
        <v>870</v>
      </c>
      <c r="N872" s="295" t="s">
        <v>3199</v>
      </c>
      <c r="O872" s="310" t="s">
        <v>3200</v>
      </c>
      <c r="Q872" s="297" t="str">
        <f>IFERROR(VLOOKUP(ROWS($Q$3:Q872),$M$3:$N$992,2,0),"")</f>
        <v>Výstavba nebytových budov</v>
      </c>
      <c r="R872">
        <f>IF(ISNUMBER(SEARCH('1Př1'!$A$32,N872)),MAX($M$2:M871)+1,0)</f>
        <v>870</v>
      </c>
      <c r="S872" s="295" t="s">
        <v>3199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295" t="s">
        <v>3199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295" t="s">
        <v>3199</v>
      </c>
      <c r="Z872" t="str">
        <f>IFERROR(VLOOKUP(ROWS($Z$3:Z872),$X$3:$Y$992,2,0),"")</f>
        <v>Výstavba nebytových budov</v>
      </c>
    </row>
    <row r="873" spans="13:26" ht="12.75">
      <c r="M873" s="294">
        <f>IF(ISNUMBER(SEARCH(ZAKL_DATA!$B$29,N873)),MAX($M$2:M872)+1,0)</f>
        <v>871</v>
      </c>
      <c r="N873" s="295" t="s">
        <v>3201</v>
      </c>
      <c r="O873" s="310" t="s">
        <v>3202</v>
      </c>
      <c r="Q873" s="297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295" t="s">
        <v>3201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295" t="s">
        <v>3201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295" t="s">
        <v>3201</v>
      </c>
      <c r="Z873" t="str">
        <f>IFERROR(VLOOKUP(ROWS($Z$3:Z873),$X$3:$Y$992,2,0),"")</f>
        <v>Výstavba inženýrských sítí pro kapaliny</v>
      </c>
    </row>
    <row r="874" spans="13:26" ht="12.75">
      <c r="M874" s="294">
        <f>IF(ISNUMBER(SEARCH(ZAKL_DATA!$B$29,N874)),MAX($M$2:M873)+1,0)</f>
        <v>872</v>
      </c>
      <c r="N874" s="295" t="s">
        <v>3203</v>
      </c>
      <c r="O874" s="310" t="s">
        <v>3204</v>
      </c>
      <c r="Q874" s="297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295" t="s">
        <v>3203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295" t="s">
        <v>3203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295" t="s">
        <v>3203</v>
      </c>
      <c r="Z874" t="str">
        <f>IFERROR(VLOOKUP(ROWS($Z$3:Z874),$X$3:$Y$992,2,0),"")</f>
        <v>Výstavba inženýrských sítí pro plyny</v>
      </c>
    </row>
    <row r="875" spans="13:26" ht="12.75">
      <c r="M875" s="294">
        <f>IF(ISNUMBER(SEARCH(ZAKL_DATA!$B$29,N875)),MAX($M$2:M874)+1,0)</f>
        <v>873</v>
      </c>
      <c r="N875" s="295" t="s">
        <v>3205</v>
      </c>
      <c r="O875" s="310" t="s">
        <v>3206</v>
      </c>
      <c r="Q875" s="297" t="str">
        <f>IFERROR(VLOOKUP(ROWS($Q$3:Q875),$M$3:$N$992,2,0),"")</f>
        <v>Sklenářské práce</v>
      </c>
      <c r="R875">
        <f>IF(ISNUMBER(SEARCH('1Př1'!$A$32,N875)),MAX($M$2:M874)+1,0)</f>
        <v>873</v>
      </c>
      <c r="S875" s="295" t="s">
        <v>3205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295" t="s">
        <v>3205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295" t="s">
        <v>3205</v>
      </c>
      <c r="Z875" t="str">
        <f>IFERROR(VLOOKUP(ROWS($Z$3:Z875),$X$3:$Y$992,2,0),"")</f>
        <v>Sklenářské práce</v>
      </c>
    </row>
    <row r="876" spans="13:26" ht="12.75">
      <c r="M876" s="294">
        <f>IF(ISNUMBER(SEARCH(ZAKL_DATA!$B$29,N876)),MAX($M$2:M875)+1,0)</f>
        <v>874</v>
      </c>
      <c r="N876" s="295" t="s">
        <v>3207</v>
      </c>
      <c r="O876" s="310" t="s">
        <v>3208</v>
      </c>
      <c r="Q876" s="297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295" t="s">
        <v>3207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295" t="s">
        <v>3207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295" t="s">
        <v>3207</v>
      </c>
      <c r="Z876" t="str">
        <f>IFERROR(VLOOKUP(ROWS($Z$3:Z876),$X$3:$Y$992,2,0),"")</f>
        <v>Malířské a natěračské práce</v>
      </c>
    </row>
    <row r="877" spans="13:26" ht="12.75">
      <c r="M877" s="294">
        <f>IF(ISNUMBER(SEARCH(ZAKL_DATA!$B$29,N877)),MAX($M$2:M876)+1,0)</f>
        <v>875</v>
      </c>
      <c r="N877" s="295" t="s">
        <v>3209</v>
      </c>
      <c r="O877" s="310" t="s">
        <v>3210</v>
      </c>
      <c r="Q877" s="297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295" t="s">
        <v>3209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295" t="s">
        <v>3209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295" t="s">
        <v>3209</v>
      </c>
      <c r="Z877" t="str">
        <f>IFERROR(VLOOKUP(ROWS($Z$3:Z877),$X$3:$Y$992,2,0),"")</f>
        <v>Montáž a demontáž lešení a bednění</v>
      </c>
    </row>
    <row r="878" spans="13:26" ht="12.75">
      <c r="M878" s="294">
        <f>IF(ISNUMBER(SEARCH(ZAKL_DATA!$B$29,N878)),MAX($M$2:M877)+1,0)</f>
        <v>876</v>
      </c>
      <c r="N878" s="295" t="s">
        <v>3211</v>
      </c>
      <c r="O878" s="310" t="s">
        <v>3212</v>
      </c>
      <c r="Q878" s="297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295" t="s">
        <v>3211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295" t="s">
        <v>3211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295" t="s">
        <v>3211</v>
      </c>
      <c r="Z878" t="str">
        <f>IFERROR(VLOOKUP(ROWS($Z$3:Z878),$X$3:$Y$992,2,0),"")</f>
        <v>Jiné specializované stavební činnosti j. n.</v>
      </c>
    </row>
    <row r="879" spans="13:26" ht="12.75">
      <c r="M879" s="294">
        <f>IF(ISNUMBER(SEARCH(ZAKL_DATA!$B$29,N879)),MAX($M$2:M878)+1,0)</f>
        <v>877</v>
      </c>
      <c r="N879" s="295" t="s">
        <v>3213</v>
      </c>
      <c r="O879" s="310" t="s">
        <v>3214</v>
      </c>
      <c r="Q879" s="297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295" t="s">
        <v>3213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295" t="s">
        <v>3213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295" t="s">
        <v>3213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294">
        <f>IF(ISNUMBER(SEARCH(ZAKL_DATA!$B$29,N880)),MAX($M$2:M879)+1,0)</f>
        <v>878</v>
      </c>
      <c r="N880" s="295" t="s">
        <v>3215</v>
      </c>
      <c r="O880" s="310" t="s">
        <v>3216</v>
      </c>
      <c r="Q880" s="297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295" t="s">
        <v>3215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295" t="s">
        <v>3215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295" t="s">
        <v>3215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294">
        <f>IF(ISNUMBER(SEARCH(ZAKL_DATA!$B$29,N881)),MAX($M$2:M880)+1,0)</f>
        <v>879</v>
      </c>
      <c r="N881" s="295" t="s">
        <v>3217</v>
      </c>
      <c r="O881" s="310" t="s">
        <v>3218</v>
      </c>
      <c r="Q881" s="297" t="str">
        <f>IFERROR(VLOOKUP(ROWS($Q$3:Q881),$M$3:$N$992,2,0),"")</f>
        <v>Velkoobchod s oděvy</v>
      </c>
      <c r="R881">
        <f>IF(ISNUMBER(SEARCH('1Př1'!$A$32,N881)),MAX($M$2:M880)+1,0)</f>
        <v>879</v>
      </c>
      <c r="S881" s="295" t="s">
        <v>3217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295" t="s">
        <v>3217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295" t="s">
        <v>3217</v>
      </c>
      <c r="Z881" t="str">
        <f>IFERROR(VLOOKUP(ROWS($Z$3:Z881),$X$3:$Y$992,2,0),"")</f>
        <v>Velkoobchod s oděvy</v>
      </c>
    </row>
    <row r="882" spans="13:26" ht="12.75">
      <c r="M882" s="294">
        <f>IF(ISNUMBER(SEARCH(ZAKL_DATA!$B$29,N882)),MAX($M$2:M881)+1,0)</f>
        <v>880</v>
      </c>
      <c r="N882" s="295" t="s">
        <v>3219</v>
      </c>
      <c r="O882" s="310" t="s">
        <v>3220</v>
      </c>
      <c r="Q882" s="297" t="str">
        <f>IFERROR(VLOOKUP(ROWS($Q$3:Q882),$M$3:$N$992,2,0),"")</f>
        <v>Velkoobchod s obuví</v>
      </c>
      <c r="R882">
        <f>IF(ISNUMBER(SEARCH('1Př1'!$A$32,N882)),MAX($M$2:M881)+1,0)</f>
        <v>880</v>
      </c>
      <c r="S882" s="295" t="s">
        <v>3219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295" t="s">
        <v>3219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295" t="s">
        <v>3219</v>
      </c>
      <c r="Z882" t="str">
        <f>IFERROR(VLOOKUP(ROWS($Z$3:Z882),$X$3:$Y$992,2,0),"")</f>
        <v>Velkoobchod s obuví</v>
      </c>
    </row>
    <row r="883" spans="13:26" ht="12.75">
      <c r="M883" s="294">
        <f>IF(ISNUMBER(SEARCH(ZAKL_DATA!$B$29,N883)),MAX($M$2:M882)+1,0)</f>
        <v>881</v>
      </c>
      <c r="N883" s="295" t="s">
        <v>3221</v>
      </c>
      <c r="O883" s="310" t="s">
        <v>3222</v>
      </c>
      <c r="Q883" s="297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295" t="s">
        <v>3221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295" t="s">
        <v>3221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295" t="s">
        <v>3221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294">
        <f>IF(ISNUMBER(SEARCH(ZAKL_DATA!$B$29,N884)),MAX($M$2:M883)+1,0)</f>
        <v>882</v>
      </c>
      <c r="N884" s="295" t="s">
        <v>3223</v>
      </c>
      <c r="O884" s="310" t="s">
        <v>3224</v>
      </c>
      <c r="Q884" s="297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295" t="s">
        <v>3223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295" t="s">
        <v>3223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295" t="s">
        <v>3223</v>
      </c>
      <c r="Z884" t="str">
        <f>IFERROR(VLOOKUP(ROWS($Z$3:Z884),$X$3:$Y$992,2,0),"")</f>
        <v>Velkoobchod s pracími a čisticími prostředky</v>
      </c>
    </row>
    <row r="885" spans="13:26" ht="12.75">
      <c r="M885" s="294">
        <f>IF(ISNUMBER(SEARCH(ZAKL_DATA!$B$29,N885)),MAX($M$2:M884)+1,0)</f>
        <v>883</v>
      </c>
      <c r="N885" s="295" t="s">
        <v>3225</v>
      </c>
      <c r="O885" s="310" t="s">
        <v>3226</v>
      </c>
      <c r="Q885" s="297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295" t="s">
        <v>3225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295" t="s">
        <v>3225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295" t="s">
        <v>3225</v>
      </c>
      <c r="Z885" t="str">
        <f>IFERROR(VLOOKUP(ROWS($Z$3:Z885),$X$3:$Y$992,2,0),"")</f>
        <v>Velkoobchod s pevnými palivy a příbuznými výrobky</v>
      </c>
    </row>
    <row r="886" spans="13:26" ht="12.75">
      <c r="M886" s="294">
        <f>IF(ISNUMBER(SEARCH(ZAKL_DATA!$B$29,N886)),MAX($M$2:M885)+1,0)</f>
        <v>884</v>
      </c>
      <c r="N886" s="295" t="s">
        <v>3227</v>
      </c>
      <c r="O886" s="310" t="s">
        <v>3228</v>
      </c>
      <c r="Q886" s="297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295" t="s">
        <v>3227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295" t="s">
        <v>3227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295" t="s">
        <v>3227</v>
      </c>
      <c r="Z886" t="str">
        <f>IFERROR(VLOOKUP(ROWS($Z$3:Z886),$X$3:$Y$992,2,0),"")</f>
        <v>Velkoobchod s kapalnými palivy a příbuznými výrobky</v>
      </c>
    </row>
    <row r="887" spans="13:26" ht="12.75">
      <c r="M887" s="294">
        <f>IF(ISNUMBER(SEARCH(ZAKL_DATA!$B$29,N887)),MAX($M$2:M886)+1,0)</f>
        <v>885</v>
      </c>
      <c r="N887" s="295" t="s">
        <v>3229</v>
      </c>
      <c r="O887" s="310" t="s">
        <v>3230</v>
      </c>
      <c r="Q887" s="297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295" t="s">
        <v>3229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295" t="s">
        <v>3229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295" t="s">
        <v>3229</v>
      </c>
      <c r="Z887" t="str">
        <f>IFERROR(VLOOKUP(ROWS($Z$3:Z887),$X$3:$Y$992,2,0),"")</f>
        <v>Velkoobchod s plynnými palivy a příbuznými výrobky</v>
      </c>
    </row>
    <row r="888" spans="13:26" ht="12.75">
      <c r="M888" s="294">
        <f>IF(ISNUMBER(SEARCH(ZAKL_DATA!$B$29,N888)),MAX($M$2:M887)+1,0)</f>
        <v>886</v>
      </c>
      <c r="N888" s="295" t="s">
        <v>3231</v>
      </c>
      <c r="O888" s="310" t="s">
        <v>3232</v>
      </c>
      <c r="Q888" s="297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295" t="s">
        <v>3231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295" t="s">
        <v>3231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295" t="s">
        <v>3231</v>
      </c>
      <c r="Z888" t="str">
        <f>IFERROR(VLOOKUP(ROWS($Z$3:Z888),$X$3:$Y$992,2,0),"")</f>
        <v>Velkoobchod s papírenskými meziprodukty</v>
      </c>
    </row>
    <row r="889" spans="13:26" ht="12.75">
      <c r="M889" s="294">
        <f>IF(ISNUMBER(SEARCH(ZAKL_DATA!$B$29,N889)),MAX($M$2:M888)+1,0)</f>
        <v>887</v>
      </c>
      <c r="N889" s="295" t="s">
        <v>3233</v>
      </c>
      <c r="O889" s="310" t="s">
        <v>3234</v>
      </c>
      <c r="Q889" s="297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295" t="s">
        <v>3233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295" t="s">
        <v>3233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295" t="s">
        <v>3233</v>
      </c>
      <c r="Z889" t="str">
        <f>IFERROR(VLOOKUP(ROWS($Z$3:Z889),$X$3:$Y$992,2,0),"")</f>
        <v>Velkoobchod s ostatními meziprodukty j. n.</v>
      </c>
    </row>
    <row r="890" spans="13:26" ht="12.75">
      <c r="M890" s="294">
        <f>IF(ISNUMBER(SEARCH(ZAKL_DATA!$B$29,N890)),MAX($M$2:M889)+1,0)</f>
        <v>888</v>
      </c>
      <c r="N890" s="295" t="s">
        <v>3235</v>
      </c>
      <c r="O890" s="310" t="s">
        <v>3236</v>
      </c>
      <c r="Q890" s="297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295" t="s">
        <v>3235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295" t="s">
        <v>3235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295" t="s">
        <v>3235</v>
      </c>
      <c r="Z890" t="str">
        <f>IFERROR(VLOOKUP(ROWS($Z$3:Z890),$X$3:$Y$992,2,0),"")</f>
        <v>Maloobchod s fotografickým a optickým zařízením a potřebami</v>
      </c>
    </row>
    <row r="891" spans="13:26" ht="12.75">
      <c r="M891" s="294">
        <f>IF(ISNUMBER(SEARCH(ZAKL_DATA!$B$29,N891)),MAX($M$2:M890)+1,0)</f>
        <v>889</v>
      </c>
      <c r="N891" s="295" t="s">
        <v>3237</v>
      </c>
      <c r="O891" s="310" t="s">
        <v>3238</v>
      </c>
      <c r="Q891" s="297" t="str">
        <f>IFERROR(VLOOKUP(ROWS($Q$3:Q891),$M$3:$N$992,2,0),"")</f>
        <v>Maloobchod s pevnými palivy</v>
      </c>
      <c r="R891">
        <f>IF(ISNUMBER(SEARCH('1Př1'!$A$32,N891)),MAX($M$2:M890)+1,0)</f>
        <v>889</v>
      </c>
      <c r="S891" s="295" t="s">
        <v>3237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295" t="s">
        <v>3237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295" t="s">
        <v>3237</v>
      </c>
      <c r="Z891" t="str">
        <f>IFERROR(VLOOKUP(ROWS($Z$3:Z891),$X$3:$Y$992,2,0),"")</f>
        <v>Maloobchod s pevnými palivy</v>
      </c>
    </row>
    <row r="892" spans="13:26" ht="12.75">
      <c r="M892" s="294">
        <f>IF(ISNUMBER(SEARCH(ZAKL_DATA!$B$29,N892)),MAX($M$2:M891)+1,0)</f>
        <v>890</v>
      </c>
      <c r="N892" s="295" t="s">
        <v>3239</v>
      </c>
      <c r="O892" s="310" t="s">
        <v>3240</v>
      </c>
      <c r="Q892" s="297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295" t="s">
        <v>3239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295" t="s">
        <v>3239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295" t="s">
        <v>3239</v>
      </c>
      <c r="Z892" t="str">
        <f>IFERROR(VLOOKUP(ROWS($Z$3:Z892),$X$3:$Y$992,2,0),"")</f>
        <v>Maloobchod s kapalnými palivy (kromě pohonných hmot)</v>
      </c>
    </row>
    <row r="893" spans="13:26" ht="12.75">
      <c r="M893" s="294">
        <f>IF(ISNUMBER(SEARCH(ZAKL_DATA!$B$29,N893)),MAX($M$2:M892)+1,0)</f>
        <v>891</v>
      </c>
      <c r="N893" s="295" t="s">
        <v>3241</v>
      </c>
      <c r="O893" s="310" t="s">
        <v>3242</v>
      </c>
      <c r="Q893" s="297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295" t="s">
        <v>3241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295" t="s">
        <v>3241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295" t="s">
        <v>3241</v>
      </c>
      <c r="Z893" t="str">
        <f>IFERROR(VLOOKUP(ROWS($Z$3:Z893),$X$3:$Y$992,2,0),"")</f>
        <v>Maloobchod s plynnými palivy (kromě pohonných hmot)</v>
      </c>
    </row>
    <row r="894" spans="13:26" ht="12.75">
      <c r="M894" s="294">
        <f>IF(ISNUMBER(SEARCH(ZAKL_DATA!$B$29,N894)),MAX($M$2:M893)+1,0)</f>
        <v>892</v>
      </c>
      <c r="N894" s="295" t="s">
        <v>3243</v>
      </c>
      <c r="O894" s="310" t="s">
        <v>3244</v>
      </c>
      <c r="Q894" s="297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295" t="s">
        <v>3243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295" t="s">
        <v>3243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295" t="s">
        <v>3243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294">
        <f>IF(ISNUMBER(SEARCH(ZAKL_DATA!$B$29,N895)),MAX($M$2:M894)+1,0)</f>
        <v>893</v>
      </c>
      <c r="N895" s="295" t="s">
        <v>3245</v>
      </c>
      <c r="O895" s="310" t="s">
        <v>3246</v>
      </c>
      <c r="Q895" s="297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295" t="s">
        <v>3245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295" t="s">
        <v>3245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295" t="s">
        <v>3245</v>
      </c>
      <c r="Z895" t="str">
        <f>IFERROR(VLOOKUP(ROWS($Z$3:Z895),$X$3:$Y$992,2,0),"")</f>
        <v>Maloobchod prostřednictvím internetu</v>
      </c>
    </row>
    <row r="896" spans="13:26" ht="12.75">
      <c r="M896" s="294">
        <f>IF(ISNUMBER(SEARCH(ZAKL_DATA!$B$29,N896)),MAX($M$2:M895)+1,0)</f>
        <v>894</v>
      </c>
      <c r="N896" s="295" t="s">
        <v>3247</v>
      </c>
      <c r="O896" s="310" t="s">
        <v>3248</v>
      </c>
      <c r="Q896" s="297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295" t="s">
        <v>3247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295" t="s">
        <v>3247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295" t="s">
        <v>3247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294">
        <f>IF(ISNUMBER(SEARCH(ZAKL_DATA!$B$29,N897)),MAX($M$2:M896)+1,0)</f>
        <v>895</v>
      </c>
      <c r="N897" s="295" t="s">
        <v>3249</v>
      </c>
      <c r="O897" s="310" t="s">
        <v>3250</v>
      </c>
      <c r="Q897" s="297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295" t="s">
        <v>3249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295" t="s">
        <v>3249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295" t="s">
        <v>3249</v>
      </c>
      <c r="Z897" t="str">
        <f>IFERROR(VLOOKUP(ROWS($Z$3:Z897),$X$3:$Y$992,2,0),"")</f>
        <v>Meziměstská pravidelná pozemní osobní doprava</v>
      </c>
    </row>
    <row r="898" spans="13:26" ht="12.75">
      <c r="M898" s="294">
        <f>IF(ISNUMBER(SEARCH(ZAKL_DATA!$B$29,N898)),MAX($M$2:M897)+1,0)</f>
        <v>896</v>
      </c>
      <c r="N898" s="295" t="s">
        <v>3251</v>
      </c>
      <c r="O898" s="310" t="s">
        <v>3252</v>
      </c>
      <c r="Q898" s="297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295" t="s">
        <v>3251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295" t="s">
        <v>3251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295" t="s">
        <v>3251</v>
      </c>
      <c r="Z898" t="str">
        <f>IFERROR(VLOOKUP(ROWS($Z$3:Z898),$X$3:$Y$992,2,0),"")</f>
        <v>Osobní doprava lanovkou nebo vlekem</v>
      </c>
    </row>
    <row r="899" spans="13:26" ht="12.75">
      <c r="M899" s="294">
        <f>IF(ISNUMBER(SEARCH(ZAKL_DATA!$B$29,N899)),MAX($M$2:M898)+1,0)</f>
        <v>897</v>
      </c>
      <c r="N899" s="295" t="s">
        <v>3253</v>
      </c>
      <c r="O899" s="310" t="s">
        <v>3254</v>
      </c>
      <c r="Q899" s="297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295" t="s">
        <v>3253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295" t="s">
        <v>3253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295" t="s">
        <v>3253</v>
      </c>
      <c r="Z899" t="str">
        <f>IFERROR(VLOOKUP(ROWS($Z$3:Z899),$X$3:$Y$992,2,0),"")</f>
        <v>Nepravidelná pozemní osobní doprava</v>
      </c>
    </row>
    <row r="900" spans="13:26" ht="12.75">
      <c r="M900" s="294">
        <f>IF(ISNUMBER(SEARCH(ZAKL_DATA!$B$29,N900)),MAX($M$2:M899)+1,0)</f>
        <v>898</v>
      </c>
      <c r="N900" s="295" t="s">
        <v>3255</v>
      </c>
      <c r="O900" s="310" t="s">
        <v>3256</v>
      </c>
      <c r="Q900" s="297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295" t="s">
        <v>3255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295" t="s">
        <v>3255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295" t="s">
        <v>3255</v>
      </c>
      <c r="Z900" t="str">
        <f>IFERROR(VLOOKUP(ROWS($Z$3:Z900),$X$3:$Y$992,2,0),"")</f>
        <v>Jiná pozemní osobní doprava j. n.</v>
      </c>
    </row>
    <row r="901" spans="13:26" ht="12.75">
      <c r="M901" s="294">
        <f>IF(ISNUMBER(SEARCH(ZAKL_DATA!$B$29,N901)),MAX($M$2:M900)+1,0)</f>
        <v>899</v>
      </c>
      <c r="N901" s="295" t="s">
        <v>3257</v>
      </c>
      <c r="O901" s="310" t="s">
        <v>3258</v>
      </c>
      <c r="Q901" s="297" t="str">
        <f>IFERROR(VLOOKUP(ROWS($Q$3:Q901),$M$3:$N$992,2,0),"")</f>
        <v>Potrubní doprava ropovodem</v>
      </c>
      <c r="R901">
        <f>IF(ISNUMBER(SEARCH('1Př1'!$A$32,N901)),MAX($M$2:M900)+1,0)</f>
        <v>899</v>
      </c>
      <c r="S901" s="295" t="s">
        <v>3257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295" t="s">
        <v>3257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295" t="s">
        <v>3257</v>
      </c>
      <c r="Z901" t="str">
        <f>IFERROR(VLOOKUP(ROWS($Z$3:Z901),$X$3:$Y$992,2,0),"")</f>
        <v>Potrubní doprava ropovodem</v>
      </c>
    </row>
    <row r="902" spans="13:26" ht="12.75">
      <c r="M902" s="294">
        <f>IF(ISNUMBER(SEARCH(ZAKL_DATA!$B$29,N902)),MAX($M$2:M901)+1,0)</f>
        <v>900</v>
      </c>
      <c r="N902" s="295" t="s">
        <v>3259</v>
      </c>
      <c r="O902" s="310" t="s">
        <v>3260</v>
      </c>
      <c r="Q902" s="297" t="str">
        <f>IFERROR(VLOOKUP(ROWS($Q$3:Q902),$M$3:$N$992,2,0),"")</f>
        <v>Potrubní doprava plynovodem</v>
      </c>
      <c r="R902">
        <f>IF(ISNUMBER(SEARCH('1Př1'!$A$32,N902)),MAX($M$2:M901)+1,0)</f>
        <v>900</v>
      </c>
      <c r="S902" s="295" t="s">
        <v>3259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295" t="s">
        <v>3259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295" t="s">
        <v>3259</v>
      </c>
      <c r="Z902" t="str">
        <f>IFERROR(VLOOKUP(ROWS($Z$3:Z902),$X$3:$Y$992,2,0),"")</f>
        <v>Potrubní doprava plynovodem</v>
      </c>
    </row>
    <row r="903" spans="13:26" ht="12.75">
      <c r="M903" s="294">
        <f>IF(ISNUMBER(SEARCH(ZAKL_DATA!$B$29,N903)),MAX($M$2:M902)+1,0)</f>
        <v>901</v>
      </c>
      <c r="N903" s="295" t="s">
        <v>3261</v>
      </c>
      <c r="O903" s="310" t="s">
        <v>3262</v>
      </c>
      <c r="Q903" s="297" t="str">
        <f>IFERROR(VLOOKUP(ROWS($Q$3:Q903),$M$3:$N$992,2,0),"")</f>
        <v>Potrubní doprava ostatní</v>
      </c>
      <c r="R903">
        <f>IF(ISNUMBER(SEARCH('1Př1'!$A$32,N903)),MAX($M$2:M902)+1,0)</f>
        <v>901</v>
      </c>
      <c r="S903" s="295" t="s">
        <v>3261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295" t="s">
        <v>3261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295" t="s">
        <v>3261</v>
      </c>
      <c r="Z903" t="str">
        <f>IFERROR(VLOOKUP(ROWS($Z$3:Z903),$X$3:$Y$992,2,0),"")</f>
        <v>Potrubní doprava ostatní</v>
      </c>
    </row>
    <row r="904" spans="13:26" ht="12.75">
      <c r="M904" s="294">
        <f>IF(ISNUMBER(SEARCH(ZAKL_DATA!$B$29,N904)),MAX($M$2:M903)+1,0)</f>
        <v>902</v>
      </c>
      <c r="N904" s="295" t="s">
        <v>3263</v>
      </c>
      <c r="O904" s="310" t="s">
        <v>3264</v>
      </c>
      <c r="Q904" s="297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295" t="s">
        <v>3263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295" t="s">
        <v>3263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295" t="s">
        <v>3263</v>
      </c>
      <c r="Z904" t="str">
        <f>IFERROR(VLOOKUP(ROWS($Z$3:Z904),$X$3:$Y$992,2,0),"")</f>
        <v>Vnitrostátní pravidelná letecká osobní doprava</v>
      </c>
    </row>
    <row r="905" spans="13:26" ht="12.75">
      <c r="M905" s="294">
        <f>IF(ISNUMBER(SEARCH(ZAKL_DATA!$B$29,N905)),MAX($M$2:M904)+1,0)</f>
        <v>903</v>
      </c>
      <c r="N905" s="295" t="s">
        <v>3265</v>
      </c>
      <c r="O905" s="310" t="s">
        <v>3266</v>
      </c>
      <c r="Q905" s="297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295" t="s">
        <v>3265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295" t="s">
        <v>3265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295" t="s">
        <v>3265</v>
      </c>
      <c r="Z905" t="str">
        <f>IFERROR(VLOOKUP(ROWS($Z$3:Z905),$X$3:$Y$992,2,0),"")</f>
        <v>Vnitrostátní nepravidelná letecká osobní doprava</v>
      </c>
    </row>
    <row r="906" spans="13:26" ht="12.75">
      <c r="M906" s="294">
        <f>IF(ISNUMBER(SEARCH(ZAKL_DATA!$B$29,N906)),MAX($M$2:M905)+1,0)</f>
        <v>904</v>
      </c>
      <c r="N906" s="295" t="s">
        <v>3267</v>
      </c>
      <c r="O906" s="310" t="s">
        <v>3268</v>
      </c>
      <c r="Q906" s="297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295" t="s">
        <v>3267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295" t="s">
        <v>3267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295" t="s">
        <v>3267</v>
      </c>
      <c r="Z906" t="str">
        <f>IFERROR(VLOOKUP(ROWS($Z$3:Z906),$X$3:$Y$992,2,0),"")</f>
        <v>Mezinárodní pravidelná letecká osobní doprava</v>
      </c>
    </row>
    <row r="907" spans="13:26" ht="12.75">
      <c r="M907" s="294">
        <f>IF(ISNUMBER(SEARCH(ZAKL_DATA!$B$29,N907)),MAX($M$2:M906)+1,0)</f>
        <v>905</v>
      </c>
      <c r="N907" s="295" t="s">
        <v>3269</v>
      </c>
      <c r="O907" s="310" t="s">
        <v>3270</v>
      </c>
      <c r="Q907" s="297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295" t="s">
        <v>3269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295" t="s">
        <v>3269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295" t="s">
        <v>3269</v>
      </c>
      <c r="Z907" t="str">
        <f>IFERROR(VLOOKUP(ROWS($Z$3:Z907),$X$3:$Y$992,2,0),"")</f>
        <v>Mezinárodní nepravidelná letecká osobní doprava</v>
      </c>
    </row>
    <row r="908" spans="13:26" ht="12.75">
      <c r="M908" s="294">
        <f>IF(ISNUMBER(SEARCH(ZAKL_DATA!$B$29,N908)),MAX($M$2:M907)+1,0)</f>
        <v>906</v>
      </c>
      <c r="N908" s="295" t="s">
        <v>3271</v>
      </c>
      <c r="O908" s="310" t="s">
        <v>3272</v>
      </c>
      <c r="Q908" s="297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295" t="s">
        <v>3271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295" t="s">
        <v>3271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295" t="s">
        <v>3271</v>
      </c>
      <c r="Z908" t="str">
        <f>IFERROR(VLOOKUP(ROWS($Z$3:Z908),$X$3:$Y$992,2,0),"")</f>
        <v>Ostatní letecká osobní doprava</v>
      </c>
    </row>
    <row r="909" spans="13:26" ht="12.75">
      <c r="M909" s="294">
        <f>IF(ISNUMBER(SEARCH(ZAKL_DATA!$B$29,N909)),MAX($M$2:M908)+1,0)</f>
        <v>907</v>
      </c>
      <c r="N909" s="295" t="s">
        <v>3273</v>
      </c>
      <c r="O909" s="310" t="s">
        <v>3274</v>
      </c>
      <c r="Q909" s="297" t="str">
        <f>IFERROR(VLOOKUP(ROWS($Q$3:Q909),$M$3:$N$992,2,0),"")</f>
        <v>Hotely</v>
      </c>
      <c r="R909">
        <f>IF(ISNUMBER(SEARCH('1Př1'!$A$32,N909)),MAX($M$2:M908)+1,0)</f>
        <v>907</v>
      </c>
      <c r="S909" s="295" t="s">
        <v>3273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295" t="s">
        <v>3273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295" t="s">
        <v>3273</v>
      </c>
      <c r="Z909" t="str">
        <f>IFERROR(VLOOKUP(ROWS($Z$3:Z909),$X$3:$Y$992,2,0),"")</f>
        <v>Hotely</v>
      </c>
    </row>
    <row r="910" spans="13:26" ht="12.75">
      <c r="M910" s="294">
        <f>IF(ISNUMBER(SEARCH(ZAKL_DATA!$B$29,N910)),MAX($M$2:M909)+1,0)</f>
        <v>908</v>
      </c>
      <c r="N910" s="295" t="s">
        <v>3275</v>
      </c>
      <c r="O910" s="310" t="s">
        <v>3276</v>
      </c>
      <c r="Q910" s="297" t="str">
        <f>IFERROR(VLOOKUP(ROWS($Q$3:Q910),$M$3:$N$992,2,0),"")</f>
        <v>Motely, botely</v>
      </c>
      <c r="R910">
        <f>IF(ISNUMBER(SEARCH('1Př1'!$A$32,N910)),MAX($M$2:M909)+1,0)</f>
        <v>908</v>
      </c>
      <c r="S910" s="295" t="s">
        <v>3275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295" t="s">
        <v>3275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295" t="s">
        <v>3275</v>
      </c>
      <c r="Z910" t="str">
        <f>IFERROR(VLOOKUP(ROWS($Z$3:Z910),$X$3:$Y$992,2,0),"")</f>
        <v>Motely, botely</v>
      </c>
    </row>
    <row r="911" spans="13:26" ht="12.75">
      <c r="M911" s="294">
        <f>IF(ISNUMBER(SEARCH(ZAKL_DATA!$B$29,N911)),MAX($M$2:M910)+1,0)</f>
        <v>909</v>
      </c>
      <c r="N911" s="295" t="s">
        <v>3277</v>
      </c>
      <c r="O911" s="310" t="s">
        <v>3278</v>
      </c>
      <c r="Q911" s="297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295" t="s">
        <v>3277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295" t="s">
        <v>3277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295" t="s">
        <v>3277</v>
      </c>
      <c r="Z911" t="str">
        <f>IFERROR(VLOOKUP(ROWS($Z$3:Z911),$X$3:$Y$992,2,0),"")</f>
        <v>Ostatní podobná ubytovací zařízení</v>
      </c>
    </row>
    <row r="912" spans="13:26" ht="12.75">
      <c r="M912" s="294">
        <f>IF(ISNUMBER(SEARCH(ZAKL_DATA!$B$29,N912)),MAX($M$2:M911)+1,0)</f>
        <v>910</v>
      </c>
      <c r="N912" s="295" t="s">
        <v>3279</v>
      </c>
      <c r="O912" s="310" t="s">
        <v>3280</v>
      </c>
      <c r="Q912" s="297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295" t="s">
        <v>3279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295" t="s">
        <v>3279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295" t="s">
        <v>3279</v>
      </c>
      <c r="Z912" t="str">
        <f>IFERROR(VLOOKUP(ROWS($Z$3:Z912),$X$3:$Y$992,2,0),"")</f>
        <v>Ubytování v zařízených pronájmech</v>
      </c>
    </row>
    <row r="913" spans="13:26" ht="12.75">
      <c r="M913" s="294">
        <f>IF(ISNUMBER(SEARCH(ZAKL_DATA!$B$29,N913)),MAX($M$2:M912)+1,0)</f>
        <v>911</v>
      </c>
      <c r="N913" s="295" t="s">
        <v>3281</v>
      </c>
      <c r="O913" s="310" t="s">
        <v>3282</v>
      </c>
      <c r="Q913" s="297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295" t="s">
        <v>3281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295" t="s">
        <v>3281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295" t="s">
        <v>3281</v>
      </c>
      <c r="Z913" t="str">
        <f>IFERROR(VLOOKUP(ROWS($Z$3:Z913),$X$3:$Y$992,2,0),"")</f>
        <v>Ubytování ve vysokoškolských kolejích, domovech mládeže</v>
      </c>
    </row>
    <row r="914" spans="13:26" ht="12.75">
      <c r="M914" s="294">
        <f>IF(ISNUMBER(SEARCH(ZAKL_DATA!$B$29,N914)),MAX($M$2:M913)+1,0)</f>
        <v>912</v>
      </c>
      <c r="N914" s="295" t="s">
        <v>3283</v>
      </c>
      <c r="O914" s="310" t="s">
        <v>3284</v>
      </c>
      <c r="Q914" s="297" t="str">
        <f>IFERROR(VLOOKUP(ROWS($Q$3:Q914),$M$3:$N$992,2,0),"")</f>
        <v>Ostatní ubytování j. n.</v>
      </c>
      <c r="R914">
        <f>IF(ISNUMBER(SEARCH('1Př1'!$A$32,N914)),MAX($M$2:M913)+1,0)</f>
        <v>912</v>
      </c>
      <c r="S914" s="295" t="s">
        <v>3283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295" t="s">
        <v>3283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295" t="s">
        <v>3283</v>
      </c>
      <c r="Z914" t="str">
        <f>IFERROR(VLOOKUP(ROWS($Z$3:Z914),$X$3:$Y$992,2,0),"")</f>
        <v>Ostatní ubytování j. n.</v>
      </c>
    </row>
    <row r="915" spans="13:26" ht="12.75">
      <c r="M915" s="294">
        <f>IF(ISNUMBER(SEARCH(ZAKL_DATA!$B$29,N915)),MAX($M$2:M914)+1,0)</f>
        <v>913</v>
      </c>
      <c r="N915" s="295" t="s">
        <v>3285</v>
      </c>
      <c r="O915" s="310" t="s">
        <v>3286</v>
      </c>
      <c r="Q915" s="297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295" t="s">
        <v>3285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295" t="s">
        <v>3285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295" t="s">
        <v>3285</v>
      </c>
      <c r="Z915" t="str">
        <f>IFERROR(VLOOKUP(ROWS($Z$3:Z915),$X$3:$Y$992,2,0),"")</f>
        <v>Stravování v závodních kuchyních</v>
      </c>
    </row>
    <row r="916" spans="13:26" ht="12.75">
      <c r="M916" s="294">
        <f>IF(ISNUMBER(SEARCH(ZAKL_DATA!$B$29,N916)),MAX($M$2:M915)+1,0)</f>
        <v>914</v>
      </c>
      <c r="N916" s="295" t="s">
        <v>3287</v>
      </c>
      <c r="O916" s="310" t="s">
        <v>3288</v>
      </c>
      <c r="Q916" s="297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295" t="s">
        <v>3287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295" t="s">
        <v>3287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295" t="s">
        <v>3287</v>
      </c>
      <c r="Z916" t="str">
        <f>IFERROR(VLOOKUP(ROWS($Z$3:Z916),$X$3:$Y$992,2,0),"")</f>
        <v>Stravování ve školních zařízeních, menzách</v>
      </c>
    </row>
    <row r="917" spans="13:26" ht="12.75">
      <c r="M917" s="294">
        <f>IF(ISNUMBER(SEARCH(ZAKL_DATA!$B$29,N917)),MAX($M$2:M916)+1,0)</f>
        <v>915</v>
      </c>
      <c r="N917" s="295" t="s">
        <v>3289</v>
      </c>
      <c r="O917" s="310" t="s">
        <v>3290</v>
      </c>
      <c r="Q917" s="297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295" t="s">
        <v>3289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295" t="s">
        <v>3289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295" t="s">
        <v>3289</v>
      </c>
      <c r="Z917" t="str">
        <f>IFERROR(VLOOKUP(ROWS($Z$3:Z917),$X$3:$Y$992,2,0),"")</f>
        <v>Poskytování jiných stravovacích služeb j. n.</v>
      </c>
    </row>
    <row r="918" spans="13:26" ht="12.75">
      <c r="M918" s="294">
        <f>IF(ISNUMBER(SEARCH(ZAKL_DATA!$B$29,N918)),MAX($M$2:M917)+1,0)</f>
        <v>916</v>
      </c>
      <c r="N918" s="295" t="s">
        <v>3291</v>
      </c>
      <c r="O918" s="310" t="s">
        <v>3292</v>
      </c>
      <c r="Q918" s="297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295" t="s">
        <v>3291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295" t="s">
        <v>3291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295" t="s">
        <v>3291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294">
        <f>IF(ISNUMBER(SEARCH(ZAKL_DATA!$B$29,N919)),MAX($M$2:M918)+1,0)</f>
        <v>917</v>
      </c>
      <c r="N919" s="295" t="s">
        <v>3293</v>
      </c>
      <c r="O919" s="310" t="s">
        <v>3294</v>
      </c>
      <c r="Q919" s="297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295" t="s">
        <v>3293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295" t="s">
        <v>3293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295" t="s">
        <v>3293</v>
      </c>
      <c r="Z919" t="str">
        <f>IFERROR(VLOOKUP(ROWS($Z$3:Z919),$X$3:$Y$992,2,0),"")</f>
        <v>Pronájem pevné telekomunikační sítě</v>
      </c>
    </row>
    <row r="920" spans="13:26" ht="12.75">
      <c r="M920" s="294">
        <f>IF(ISNUMBER(SEARCH(ZAKL_DATA!$B$29,N920)),MAX($M$2:M919)+1,0)</f>
        <v>918</v>
      </c>
      <c r="N920" s="295" t="s">
        <v>3295</v>
      </c>
      <c r="O920" s="310" t="s">
        <v>3296</v>
      </c>
      <c r="Q920" s="297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295" t="s">
        <v>3295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295" t="s">
        <v>3295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295" t="s">
        <v>3295</v>
      </c>
      <c r="Z920" t="str">
        <f>IFERROR(VLOOKUP(ROWS($Z$3:Z920),$X$3:$Y$992,2,0),"")</f>
        <v>Přenos dat přes pevnou telekomunikační síť</v>
      </c>
    </row>
    <row r="921" spans="13:26" ht="12.75">
      <c r="M921" s="294">
        <f>IF(ISNUMBER(SEARCH(ZAKL_DATA!$B$29,N921)),MAX($M$2:M920)+1,0)</f>
        <v>919</v>
      </c>
      <c r="N921" s="295" t="s">
        <v>3297</v>
      </c>
      <c r="O921" s="310" t="s">
        <v>3298</v>
      </c>
      <c r="Q921" s="297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295" t="s">
        <v>3297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295" t="s">
        <v>3297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295" t="s">
        <v>3297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294">
        <f>IF(ISNUMBER(SEARCH(ZAKL_DATA!$B$29,N922)),MAX($M$2:M921)+1,0)</f>
        <v>920</v>
      </c>
      <c r="N922" s="295" t="s">
        <v>3299</v>
      </c>
      <c r="O922" s="310" t="s">
        <v>3300</v>
      </c>
      <c r="Q922" s="297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295" t="s">
        <v>3299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295" t="s">
        <v>3299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295" t="s">
        <v>3299</v>
      </c>
      <c r="Z922" t="str">
        <f>IFERROR(VLOOKUP(ROWS($Z$3:Z922),$X$3:$Y$992,2,0),"")</f>
        <v>Ostatní činnosti související s pevnou telekomunikační sítí</v>
      </c>
    </row>
    <row r="923" spans="13:26" ht="12.75">
      <c r="M923" s="294">
        <f>IF(ISNUMBER(SEARCH(ZAKL_DATA!$B$29,N923)),MAX($M$2:M922)+1,0)</f>
        <v>921</v>
      </c>
      <c r="N923" s="295" t="s">
        <v>3301</v>
      </c>
      <c r="O923" s="310" t="s">
        <v>3302</v>
      </c>
      <c r="Q923" s="297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295" t="s">
        <v>3301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295" t="s">
        <v>3301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295" t="s">
        <v>3301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294">
        <f>IF(ISNUMBER(SEARCH(ZAKL_DATA!$B$29,N924)),MAX($M$2:M923)+1,0)</f>
        <v>922</v>
      </c>
      <c r="N924" s="295" t="s">
        <v>3303</v>
      </c>
      <c r="O924" s="310" t="s">
        <v>3304</v>
      </c>
      <c r="Q924" s="297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295" t="s">
        <v>3303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295" t="s">
        <v>3303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295" t="s">
        <v>3303</v>
      </c>
      <c r="Z924" t="str">
        <f>IFERROR(VLOOKUP(ROWS($Z$3:Z924),$X$3:$Y$992,2,0),"")</f>
        <v>Pronájem bezdrátové telekomunikační sítě</v>
      </c>
    </row>
    <row r="925" spans="13:26" ht="12.75">
      <c r="M925" s="294">
        <f>IF(ISNUMBER(SEARCH(ZAKL_DATA!$B$29,N925)),MAX($M$2:M924)+1,0)</f>
        <v>923</v>
      </c>
      <c r="N925" s="295" t="s">
        <v>3305</v>
      </c>
      <c r="O925" s="310" t="s">
        <v>3306</v>
      </c>
      <c r="Q925" s="297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295" t="s">
        <v>3305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295" t="s">
        <v>3305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295" t="s">
        <v>3305</v>
      </c>
      <c r="Z925" t="str">
        <f>IFERROR(VLOOKUP(ROWS($Z$3:Z925),$X$3:$Y$992,2,0),"")</f>
        <v>Přenos dat přes bezdrátovou telekomunikační síť</v>
      </c>
    </row>
    <row r="926" spans="13:26" ht="12.75">
      <c r="M926" s="294">
        <f>IF(ISNUMBER(SEARCH(ZAKL_DATA!$B$29,N926)),MAX($M$2:M925)+1,0)</f>
        <v>924</v>
      </c>
      <c r="N926" s="295" t="s">
        <v>3307</v>
      </c>
      <c r="O926" s="310" t="s">
        <v>3308</v>
      </c>
      <c r="Q926" s="297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295" t="s">
        <v>3307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295" t="s">
        <v>3307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295" t="s">
        <v>3307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294">
        <f>IF(ISNUMBER(SEARCH(ZAKL_DATA!$B$29,N927)),MAX($M$2:M926)+1,0)</f>
        <v>925</v>
      </c>
      <c r="N927" s="295" t="s">
        <v>3309</v>
      </c>
      <c r="O927" s="310" t="s">
        <v>3310</v>
      </c>
      <c r="Q927" s="297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295" t="s">
        <v>3309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295" t="s">
        <v>3309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295" t="s">
        <v>3309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294">
        <f>IF(ISNUMBER(SEARCH(ZAKL_DATA!$B$29,N928)),MAX($M$2:M927)+1,0)</f>
        <v>926</v>
      </c>
      <c r="N928" s="295" t="s">
        <v>3311</v>
      </c>
      <c r="O928" s="310" t="s">
        <v>3312</v>
      </c>
      <c r="Q928" s="297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295" t="s">
        <v>3311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295" t="s">
        <v>3311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295" t="s">
        <v>3311</v>
      </c>
      <c r="Z928" t="str">
        <f>IFERROR(VLOOKUP(ROWS($Z$3:Z928),$X$3:$Y$992,2,0),"")</f>
        <v>Poskytování úvěrů společnostmi, které nepřijímají vklady</v>
      </c>
    </row>
    <row r="929" spans="13:26" ht="12.75">
      <c r="M929" s="294">
        <f>IF(ISNUMBER(SEARCH(ZAKL_DATA!$B$29,N929)),MAX($M$2:M928)+1,0)</f>
        <v>927</v>
      </c>
      <c r="N929" s="295" t="s">
        <v>3313</v>
      </c>
      <c r="O929" s="310" t="s">
        <v>3314</v>
      </c>
      <c r="Q929" s="297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295" t="s">
        <v>3313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295" t="s">
        <v>3313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295" t="s">
        <v>3313</v>
      </c>
      <c r="Z929" t="str">
        <f>IFERROR(VLOOKUP(ROWS($Z$3:Z929),$X$3:$Y$992,2,0),"")</f>
        <v>Poskytování obchodních úvěrů</v>
      </c>
    </row>
    <row r="930" spans="13:26" ht="12.75">
      <c r="M930" s="294">
        <f>IF(ISNUMBER(SEARCH(ZAKL_DATA!$B$29,N930)),MAX($M$2:M929)+1,0)</f>
        <v>928</v>
      </c>
      <c r="N930" s="295" t="s">
        <v>3315</v>
      </c>
      <c r="O930" s="310" t="s">
        <v>3316</v>
      </c>
      <c r="Q930" s="297" t="str">
        <f>IFERROR(VLOOKUP(ROWS($Q$3:Q930),$M$3:$N$992,2,0),"")</f>
        <v>Činnosti zastaváren</v>
      </c>
      <c r="R930">
        <f>IF(ISNUMBER(SEARCH('1Př1'!$A$32,N930)),MAX($M$2:M929)+1,0)</f>
        <v>928</v>
      </c>
      <c r="S930" s="295" t="s">
        <v>3315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295" t="s">
        <v>3315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295" t="s">
        <v>3315</v>
      </c>
      <c r="Z930" t="str">
        <f>IFERROR(VLOOKUP(ROWS($Z$3:Z930),$X$3:$Y$992,2,0),"")</f>
        <v>Činnosti zastaváren</v>
      </c>
    </row>
    <row r="931" spans="13:26" ht="12.75">
      <c r="M931" s="294">
        <f>IF(ISNUMBER(SEARCH(ZAKL_DATA!$B$29,N931)),MAX($M$2:M930)+1,0)</f>
        <v>929</v>
      </c>
      <c r="N931" s="295" t="s">
        <v>3317</v>
      </c>
      <c r="O931" s="310" t="s">
        <v>3318</v>
      </c>
      <c r="Q931" s="297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295" t="s">
        <v>3317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295" t="s">
        <v>3317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295" t="s">
        <v>3317</v>
      </c>
      <c r="Z931" t="str">
        <f>IFERROR(VLOOKUP(ROWS($Z$3:Z931),$X$3:$Y$992,2,0),"")</f>
        <v>Ostatní poskytování úvěrů j. n.</v>
      </c>
    </row>
    <row r="932" spans="13:26" ht="12.75">
      <c r="M932" s="294">
        <f>IF(ISNUMBER(SEARCH(ZAKL_DATA!$B$29,N932)),MAX($M$2:M931)+1,0)</f>
        <v>930</v>
      </c>
      <c r="N932" s="295" t="s">
        <v>3319</v>
      </c>
      <c r="O932" s="310" t="s">
        <v>3320</v>
      </c>
      <c r="Q932" s="297" t="str">
        <f>IFERROR(VLOOKUP(ROWS($Q$3:Q932),$M$3:$N$992,2,0),"")</f>
        <v>Faktoringové činnosti</v>
      </c>
      <c r="R932">
        <f>IF(ISNUMBER(SEARCH('1Př1'!$A$32,N932)),MAX($M$2:M931)+1,0)</f>
        <v>930</v>
      </c>
      <c r="S932" s="295" t="s">
        <v>3319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295" t="s">
        <v>3319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295" t="s">
        <v>3319</v>
      </c>
      <c r="Z932" t="str">
        <f>IFERROR(VLOOKUP(ROWS($Z$3:Z932),$X$3:$Y$992,2,0),"")</f>
        <v>Faktoringové činnosti</v>
      </c>
    </row>
    <row r="933" spans="13:26" ht="12.75">
      <c r="M933" s="294">
        <f>IF(ISNUMBER(SEARCH(ZAKL_DATA!$B$29,N933)),MAX($M$2:M932)+1,0)</f>
        <v>931</v>
      </c>
      <c r="N933" s="295" t="s">
        <v>3321</v>
      </c>
      <c r="O933" s="310" t="s">
        <v>3322</v>
      </c>
      <c r="Q933" s="297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295" t="s">
        <v>3321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295" t="s">
        <v>3321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295" t="s">
        <v>3321</v>
      </c>
      <c r="Z933" t="str">
        <f>IFERROR(VLOOKUP(ROWS($Z$3:Z933),$X$3:$Y$992,2,0),"")</f>
        <v>Obchodování s cennými papíry na vlastní účet</v>
      </c>
    </row>
    <row r="934" spans="13:26" ht="12.75">
      <c r="M934" s="294">
        <f>IF(ISNUMBER(SEARCH(ZAKL_DATA!$B$29,N934)),MAX($M$2:M933)+1,0)</f>
        <v>932</v>
      </c>
      <c r="N934" s="295" t="s">
        <v>3323</v>
      </c>
      <c r="O934" s="310" t="s">
        <v>3324</v>
      </c>
      <c r="Q934" s="297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295" t="s">
        <v>3323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295" t="s">
        <v>3323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295" t="s">
        <v>3323</v>
      </c>
      <c r="Z934" t="str">
        <f>IFERROR(VLOOKUP(ROWS($Z$3:Z934),$X$3:$Y$992,2,0),"")</f>
        <v>Jiné finanční zprostředkování j. n.</v>
      </c>
    </row>
    <row r="935" spans="13:26" ht="12.75">
      <c r="M935" s="294">
        <f>IF(ISNUMBER(SEARCH(ZAKL_DATA!$B$29,N935)),MAX($M$2:M934)+1,0)</f>
        <v>933</v>
      </c>
      <c r="N935" s="295" t="s">
        <v>3325</v>
      </c>
      <c r="O935" s="310" t="s">
        <v>3326</v>
      </c>
      <c r="Q935" s="297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295" t="s">
        <v>3325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295" t="s">
        <v>3325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295" t="s">
        <v>3325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294">
        <f>IF(ISNUMBER(SEARCH(ZAKL_DATA!$B$29,N936)),MAX($M$2:M935)+1,0)</f>
        <v>934</v>
      </c>
      <c r="N936" s="295" t="s">
        <v>3327</v>
      </c>
      <c r="O936" s="310" t="s">
        <v>3328</v>
      </c>
      <c r="Q936" s="297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295" t="s">
        <v>3327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295" t="s">
        <v>3327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295" t="s">
        <v>3327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294">
        <f>IF(ISNUMBER(SEARCH(ZAKL_DATA!$B$29,N937)),MAX($M$2:M936)+1,0)</f>
        <v>935</v>
      </c>
      <c r="N937" s="295" t="s">
        <v>3329</v>
      </c>
      <c r="O937" s="310" t="s">
        <v>3330</v>
      </c>
      <c r="Q937" s="297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295" t="s">
        <v>3329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295" t="s">
        <v>3329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295" t="s">
        <v>3329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294">
        <f>IF(ISNUMBER(SEARCH(ZAKL_DATA!$B$29,N938)),MAX($M$2:M937)+1,0)</f>
        <v>936</v>
      </c>
      <c r="N938" s="295" t="s">
        <v>3331</v>
      </c>
      <c r="O938" s="310" t="s">
        <v>3332</v>
      </c>
      <c r="Q938" s="297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295" t="s">
        <v>3331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295" t="s">
        <v>3331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295" t="s">
        <v>3331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294">
        <f>IF(ISNUMBER(SEARCH(ZAKL_DATA!$B$29,N939)),MAX($M$2:M938)+1,0)</f>
        <v>937</v>
      </c>
      <c r="N939" s="295" t="s">
        <v>3333</v>
      </c>
      <c r="O939" s="310" t="s">
        <v>3334</v>
      </c>
      <c r="Q939" s="297" t="str">
        <f>IFERROR(VLOOKUP(ROWS($Q$3:Q939),$M$3:$N$992,2,0),"")</f>
        <v>Geologický průzkum</v>
      </c>
      <c r="R939">
        <f>IF(ISNUMBER(SEARCH('1Př1'!$A$32,N939)),MAX($M$2:M938)+1,0)</f>
        <v>937</v>
      </c>
      <c r="S939" s="295" t="s">
        <v>3333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295" t="s">
        <v>3333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295" t="s">
        <v>3333</v>
      </c>
      <c r="Z939" t="str">
        <f>IFERROR(VLOOKUP(ROWS($Z$3:Z939),$X$3:$Y$992,2,0),"")</f>
        <v>Geologický průzkum</v>
      </c>
    </row>
    <row r="940" spans="13:26" ht="12.75">
      <c r="M940" s="294">
        <f>IF(ISNUMBER(SEARCH(ZAKL_DATA!$B$29,N940)),MAX($M$2:M939)+1,0)</f>
        <v>938</v>
      </c>
      <c r="N940" s="295" t="s">
        <v>3335</v>
      </c>
      <c r="O940" s="310" t="s">
        <v>3336</v>
      </c>
      <c r="Q940" s="297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295" t="s">
        <v>3335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295" t="s">
        <v>3335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295" t="s">
        <v>3335</v>
      </c>
      <c r="Z940" t="str">
        <f>IFERROR(VLOOKUP(ROWS($Z$3:Z940),$X$3:$Y$992,2,0),"")</f>
        <v>Zeměměřické a kartografické činnosti</v>
      </c>
    </row>
    <row r="941" spans="13:26" ht="12.75">
      <c r="M941" s="294">
        <f>IF(ISNUMBER(SEARCH(ZAKL_DATA!$B$29,N941)),MAX($M$2:M940)+1,0)</f>
        <v>939</v>
      </c>
      <c r="N941" s="295" t="s">
        <v>3337</v>
      </c>
      <c r="O941" s="310" t="s">
        <v>3338</v>
      </c>
      <c r="Q941" s="297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295" t="s">
        <v>3337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295" t="s">
        <v>3337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295" t="s">
        <v>3337</v>
      </c>
      <c r="Z941" t="str">
        <f>IFERROR(VLOOKUP(ROWS($Z$3:Z941),$X$3:$Y$992,2,0),"")</f>
        <v>Hydrometeorologické a meteorologické činnosti</v>
      </c>
    </row>
    <row r="942" spans="13:26" ht="12.75">
      <c r="M942" s="294">
        <f>IF(ISNUMBER(SEARCH(ZAKL_DATA!$B$29,N942)),MAX($M$2:M941)+1,0)</f>
        <v>940</v>
      </c>
      <c r="N942" s="295" t="s">
        <v>3339</v>
      </c>
      <c r="O942" s="310" t="s">
        <v>3340</v>
      </c>
      <c r="Q942" s="297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295" t="s">
        <v>3339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295" t="s">
        <v>3339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295" t="s">
        <v>3339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294">
        <f>IF(ISNUMBER(SEARCH(ZAKL_DATA!$B$29,N943)),MAX($M$2:M942)+1,0)</f>
        <v>941</v>
      </c>
      <c r="N943" s="295" t="s">
        <v>3341</v>
      </c>
      <c r="O943" s="310" t="s">
        <v>3342</v>
      </c>
      <c r="Q943" s="297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295" t="s">
        <v>3341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295" t="s">
        <v>3341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295" t="s">
        <v>3341</v>
      </c>
      <c r="Z943" t="str">
        <f>IFERROR(VLOOKUP(ROWS($Z$3:Z943),$X$3:$Y$992,2,0),"")</f>
        <v>Zkoušky a analýzy vyhrazených technických zařízení</v>
      </c>
    </row>
    <row r="944" spans="13:26" ht="12.75">
      <c r="M944" s="294">
        <f>IF(ISNUMBER(SEARCH(ZAKL_DATA!$B$29,N944)),MAX($M$2:M943)+1,0)</f>
        <v>942</v>
      </c>
      <c r="N944" s="295" t="s">
        <v>3343</v>
      </c>
      <c r="O944" s="310" t="s">
        <v>3344</v>
      </c>
      <c r="Q944" s="297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295" t="s">
        <v>3343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295" t="s">
        <v>3343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295" t="s">
        <v>3343</v>
      </c>
      <c r="Z944" t="str">
        <f>IFERROR(VLOOKUP(ROWS($Z$3:Z944),$X$3:$Y$992,2,0),"")</f>
        <v>Ostatní technické zkouky a analýzy</v>
      </c>
    </row>
    <row r="945" spans="13:26" ht="12.75">
      <c r="M945" s="294">
        <f>IF(ISNUMBER(SEARCH(ZAKL_DATA!$B$29,N945)),MAX($M$2:M944)+1,0)</f>
        <v>943</v>
      </c>
      <c r="N945" s="295" t="s">
        <v>3345</v>
      </c>
      <c r="O945" s="310" t="s">
        <v>2988</v>
      </c>
      <c r="Q945" s="297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295" t="s">
        <v>3345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295" t="s">
        <v>3345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295" t="s">
        <v>3345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294">
        <f>IF(ISNUMBER(SEARCH(ZAKL_DATA!$B$29,N946)),MAX($M$2:M945)+1,0)</f>
        <v>944</v>
      </c>
      <c r="N946" s="295" t="s">
        <v>3346</v>
      </c>
      <c r="O946" s="310" t="s">
        <v>3347</v>
      </c>
      <c r="Q946" s="297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295" t="s">
        <v>3346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295" t="s">
        <v>3346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295" t="s">
        <v>3346</v>
      </c>
      <c r="Z946" t="str">
        <f>IFERROR(VLOOKUP(ROWS($Z$3:Z946),$X$3:$Y$992,2,0),"")</f>
        <v>Výzkum a vývoj v oblasti lékařských věd</v>
      </c>
    </row>
    <row r="947" spans="13:26" ht="12.75">
      <c r="M947" s="294">
        <f>IF(ISNUMBER(SEARCH(ZAKL_DATA!$B$29,N947)),MAX($M$2:M946)+1,0)</f>
        <v>945</v>
      </c>
      <c r="N947" s="295" t="s">
        <v>3348</v>
      </c>
      <c r="O947" s="310" t="s">
        <v>3349</v>
      </c>
      <c r="Q947" s="297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295" t="s">
        <v>3348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295" t="s">
        <v>3348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295" t="s">
        <v>3348</v>
      </c>
      <c r="Z947" t="str">
        <f>IFERROR(VLOOKUP(ROWS($Z$3:Z947),$X$3:$Y$992,2,0),"")</f>
        <v>Výzkum a vývoj v oblasti technických věd</v>
      </c>
    </row>
    <row r="948" spans="13:26" ht="12.75">
      <c r="M948" s="294">
        <f>IF(ISNUMBER(SEARCH(ZAKL_DATA!$B$29,N948)),MAX($M$2:M947)+1,0)</f>
        <v>946</v>
      </c>
      <c r="N948" s="295" t="s">
        <v>3350</v>
      </c>
      <c r="O948" s="310" t="s">
        <v>3351</v>
      </c>
      <c r="Q948" s="297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295" t="s">
        <v>3350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295" t="s">
        <v>3350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295" t="s">
        <v>3350</v>
      </c>
      <c r="Z948" t="str">
        <f>IFERROR(VLOOKUP(ROWS($Z$3:Z948),$X$3:$Y$992,2,0),"")</f>
        <v>Výzkum a vývoj v oblasti jiných přírodních věd</v>
      </c>
    </row>
    <row r="949" spans="13:26" ht="12.75">
      <c r="M949" s="294">
        <f>IF(ISNUMBER(SEARCH(ZAKL_DATA!$B$29,N949)),MAX($M$2:M948)+1,0)</f>
        <v>947</v>
      </c>
      <c r="N949" s="295" t="s">
        <v>3352</v>
      </c>
      <c r="O949" s="310" t="s">
        <v>2132</v>
      </c>
      <c r="Q949" s="297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295" t="s">
        <v>3352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295" t="s">
        <v>3352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295" t="s">
        <v>3352</v>
      </c>
      <c r="Z949" t="str">
        <f>IFERROR(VLOOKUP(ROWS($Z$3:Z949),$X$3:$Y$992,2,0),"")</f>
        <v>Ostatní profesní,vědecké a technické činnosti j.n.</v>
      </c>
    </row>
    <row r="950" spans="13:26" ht="12.75">
      <c r="M950" s="294">
        <f>IF(ISNUMBER(SEARCH(ZAKL_DATA!$B$29,N950)),MAX($M$2:M949)+1,0)</f>
        <v>948</v>
      </c>
      <c r="N950" s="295" t="s">
        <v>3353</v>
      </c>
      <c r="O950" s="310" t="s">
        <v>3354</v>
      </c>
      <c r="Q950" s="297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295" t="s">
        <v>3353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295" t="s">
        <v>3353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295" t="s">
        <v>3353</v>
      </c>
      <c r="Z950" t="str">
        <f>IFERROR(VLOOKUP(ROWS($Z$3:Z950),$X$3:$Y$992,2,0),"")</f>
        <v>Poradenství v oblasti bezpečnosti a ochrany zdraví při práci</v>
      </c>
    </row>
    <row r="951" spans="13:26" ht="12.75">
      <c r="M951" s="294">
        <f>IF(ISNUMBER(SEARCH(ZAKL_DATA!$B$29,N951)),MAX($M$2:M950)+1,0)</f>
        <v>949</v>
      </c>
      <c r="N951" s="295" t="s">
        <v>3355</v>
      </c>
      <c r="O951" s="310" t="s">
        <v>3356</v>
      </c>
      <c r="Q951" s="297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295" t="s">
        <v>3355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295" t="s">
        <v>3355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295" t="s">
        <v>3355</v>
      </c>
      <c r="Z951" t="str">
        <f>IFERROR(VLOOKUP(ROWS($Z$3:Z951),$X$3:$Y$992,2,0),"")</f>
        <v>Poradenství v oblasti požární ochrany</v>
      </c>
    </row>
    <row r="952" spans="13:26" ht="12.75">
      <c r="M952" s="294">
        <f>IF(ISNUMBER(SEARCH(ZAKL_DATA!$B$29,N952)),MAX($M$2:M951)+1,0)</f>
        <v>950</v>
      </c>
      <c r="N952" s="295" t="s">
        <v>3357</v>
      </c>
      <c r="O952" s="310" t="s">
        <v>3358</v>
      </c>
      <c r="Q952" s="297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295" t="s">
        <v>3357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295" t="s">
        <v>3357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295" t="s">
        <v>3357</v>
      </c>
      <c r="Z952" t="str">
        <f>IFERROR(VLOOKUP(ROWS($Z$3:Z952),$X$3:$Y$992,2,0),"")</f>
        <v>Jiné profesní, vědecké a technické činnosti j. n.</v>
      </c>
    </row>
    <row r="953" spans="13:26" ht="12.75">
      <c r="M953" s="294">
        <f>IF(ISNUMBER(SEARCH(ZAKL_DATA!$B$29,N953)),MAX($M$2:M952)+1,0)</f>
        <v>951</v>
      </c>
      <c r="N953" s="295" t="s">
        <v>3359</v>
      </c>
      <c r="O953" s="310" t="s">
        <v>3360</v>
      </c>
      <c r="Q953" s="297" t="str">
        <f>IFERROR(VLOOKUP(ROWS($Q$3:Q953),$M$3:$N$992,2,0),"")</f>
        <v>Průvodcovské činnosti</v>
      </c>
      <c r="R953">
        <f>IF(ISNUMBER(SEARCH('1Př1'!$A$32,N953)),MAX($M$2:M952)+1,0)</f>
        <v>951</v>
      </c>
      <c r="S953" s="295" t="s">
        <v>3359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295" t="s">
        <v>3359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295" t="s">
        <v>3359</v>
      </c>
      <c r="Z953" t="str">
        <f>IFERROR(VLOOKUP(ROWS($Z$3:Z953),$X$3:$Y$992,2,0),"")</f>
        <v>Průvodcovské činnosti</v>
      </c>
    </row>
    <row r="954" spans="13:26" ht="12.75">
      <c r="M954" s="294">
        <f>IF(ISNUMBER(SEARCH(ZAKL_DATA!$B$29,N954)),MAX($M$2:M953)+1,0)</f>
        <v>952</v>
      </c>
      <c r="N954" s="295" t="s">
        <v>3361</v>
      </c>
      <c r="O954" s="310" t="s">
        <v>3362</v>
      </c>
      <c r="Q954" s="297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295" t="s">
        <v>3361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295" t="s">
        <v>3361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295" t="s">
        <v>3361</v>
      </c>
      <c r="Z954" t="str">
        <f>IFERROR(VLOOKUP(ROWS($Z$3:Z954),$X$3:$Y$992,2,0),"")</f>
        <v>Ostatní rezervační a související činnosti j. n.</v>
      </c>
    </row>
    <row r="955" spans="13:26" ht="12.75">
      <c r="M955" s="294">
        <f>IF(ISNUMBER(SEARCH(ZAKL_DATA!$B$29,N955)),MAX($M$2:M954)+1,0)</f>
        <v>953</v>
      </c>
      <c r="N955" s="295" t="s">
        <v>3363</v>
      </c>
      <c r="O955" s="310" t="s">
        <v>3364</v>
      </c>
      <c r="Q955" s="297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295" t="s">
        <v>3363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295" t="s">
        <v>3363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295" t="s">
        <v>3363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294">
        <f>IF(ISNUMBER(SEARCH(ZAKL_DATA!$B$29,N956)),MAX($M$2:M955)+1,0)</f>
        <v>954</v>
      </c>
      <c r="N956" s="295" t="s">
        <v>3365</v>
      </c>
      <c r="O956" s="310" t="s">
        <v>3366</v>
      </c>
      <c r="Q956" s="297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295" t="s">
        <v>3365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295" t="s">
        <v>3365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295" t="s">
        <v>3365</v>
      </c>
      <c r="Z956" t="str">
        <f>IFERROR(VLOOKUP(ROWS($Z$3:Z956),$X$3:$Y$992,2,0),"")</f>
        <v>Rozvíjení vzájemného přátelství a porozumění mezi národy</v>
      </c>
    </row>
    <row r="957" spans="13:26" ht="12.75">
      <c r="M957" s="294">
        <f>IF(ISNUMBER(SEARCH(ZAKL_DATA!$B$29,N957)),MAX($M$2:M956)+1,0)</f>
        <v>955</v>
      </c>
      <c r="N957" s="295" t="s">
        <v>3367</v>
      </c>
      <c r="O957" s="310" t="s">
        <v>3368</v>
      </c>
      <c r="Q957" s="297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295" t="s">
        <v>3367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295" t="s">
        <v>3367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295" t="s">
        <v>3367</v>
      </c>
      <c r="Z957" t="str">
        <f>IFERROR(VLOOKUP(ROWS($Z$3:Z957),$X$3:$Y$992,2,0),"")</f>
        <v>Ostatní činnosti v oblasti zahraničních věcí</v>
      </c>
    </row>
    <row r="958" spans="13:26" ht="12.75">
      <c r="M958" s="294">
        <f>IF(ISNUMBER(SEARCH(ZAKL_DATA!$B$29,N958)),MAX($M$2:M957)+1,0)</f>
        <v>956</v>
      </c>
      <c r="N958" s="295" t="s">
        <v>3369</v>
      </c>
      <c r="O958" s="310" t="s">
        <v>3370</v>
      </c>
      <c r="Q958" s="297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295" t="s">
        <v>3369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295" t="s">
        <v>3369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295" t="s">
        <v>3369</v>
      </c>
      <c r="Z958" t="str">
        <f>IFERROR(VLOOKUP(ROWS($Z$3:Z958),$X$3:$Y$992,2,0),"")</f>
        <v>Základní vzdělávání na druhém stupni základních škol</v>
      </c>
    </row>
    <row r="959" spans="13:26" ht="12.75">
      <c r="M959" s="294">
        <f>IF(ISNUMBER(SEARCH(ZAKL_DATA!$B$29,N959)),MAX($M$2:M958)+1,0)</f>
        <v>957</v>
      </c>
      <c r="N959" s="295" t="s">
        <v>3371</v>
      </c>
      <c r="O959" s="310" t="s">
        <v>3372</v>
      </c>
      <c r="Q959" s="297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295" t="s">
        <v>3371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295" t="s">
        <v>3371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295" t="s">
        <v>3371</v>
      </c>
      <c r="Z959" t="str">
        <f>IFERROR(VLOOKUP(ROWS($Z$3:Z959),$X$3:$Y$992,2,0),"")</f>
        <v>Střední všeobecné vzdělávání</v>
      </c>
    </row>
    <row r="960" spans="13:26" ht="12.75">
      <c r="M960" s="294">
        <f>IF(ISNUMBER(SEARCH(ZAKL_DATA!$B$29,N960)),MAX($M$2:M959)+1,0)</f>
        <v>958</v>
      </c>
      <c r="N960" s="295" t="s">
        <v>3373</v>
      </c>
      <c r="O960" s="310" t="s">
        <v>3374</v>
      </c>
      <c r="Q960" s="297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295" t="s">
        <v>3373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295" t="s">
        <v>3373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295" t="s">
        <v>3373</v>
      </c>
      <c r="Z960" t="str">
        <f>IFERROR(VLOOKUP(ROWS($Z$3:Z960),$X$3:$Y$992,2,0),"")</f>
        <v>Střední odborné vzdělávání na učilištích</v>
      </c>
    </row>
    <row r="961" spans="13:26" ht="12.75">
      <c r="M961" s="294">
        <f>IF(ISNUMBER(SEARCH(ZAKL_DATA!$B$29,N961)),MAX($M$2:M960)+1,0)</f>
        <v>959</v>
      </c>
      <c r="N961" s="295" t="s">
        <v>3375</v>
      </c>
      <c r="O961" s="310" t="s">
        <v>3376</v>
      </c>
      <c r="Q961" s="297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295" t="s">
        <v>3375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295" t="s">
        <v>3375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295" t="s">
        <v>3375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294">
        <f>IF(ISNUMBER(SEARCH(ZAKL_DATA!$B$29,N962)),MAX($M$2:M961)+1,0)</f>
        <v>960</v>
      </c>
      <c r="N962" s="295" t="s">
        <v>3377</v>
      </c>
      <c r="O962" s="310" t="s">
        <v>3378</v>
      </c>
      <c r="Q962" s="297" t="str">
        <f>IFERROR(VLOOKUP(ROWS($Q$3:Q962),$M$3:$N$992,2,0),"")</f>
        <v>Činnosti autoškol</v>
      </c>
      <c r="R962">
        <f>IF(ISNUMBER(SEARCH('1Př1'!$A$32,N962)),MAX($M$2:M961)+1,0)</f>
        <v>960</v>
      </c>
      <c r="S962" s="295" t="s">
        <v>3377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295" t="s">
        <v>3377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295" t="s">
        <v>3377</v>
      </c>
      <c r="Z962" t="str">
        <f>IFERROR(VLOOKUP(ROWS($Z$3:Z962),$X$3:$Y$992,2,0),"")</f>
        <v>Činnosti autoškol</v>
      </c>
    </row>
    <row r="963" spans="13:26" ht="12.75">
      <c r="M963" s="294">
        <f>IF(ISNUMBER(SEARCH(ZAKL_DATA!$B$29,N963)),MAX($M$2:M962)+1,0)</f>
        <v>961</v>
      </c>
      <c r="N963" s="295" t="s">
        <v>3379</v>
      </c>
      <c r="O963" s="310" t="s">
        <v>3380</v>
      </c>
      <c r="Q963" s="297" t="str">
        <f>IFERROR(VLOOKUP(ROWS($Q$3:Q963),$M$3:$N$992,2,0),"")</f>
        <v>Činnosti leteckých škol</v>
      </c>
      <c r="R963">
        <f>IF(ISNUMBER(SEARCH('1Př1'!$A$32,N963)),MAX($M$2:M962)+1,0)</f>
        <v>961</v>
      </c>
      <c r="S963" s="295" t="s">
        <v>3379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295" t="s">
        <v>3379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295" t="s">
        <v>3379</v>
      </c>
      <c r="Z963" t="str">
        <f>IFERROR(VLOOKUP(ROWS($Z$3:Z963),$X$3:$Y$992,2,0),"")</f>
        <v>Činnosti leteckých škol</v>
      </c>
    </row>
    <row r="964" spans="13:26" ht="12.75">
      <c r="M964" s="294">
        <f>IF(ISNUMBER(SEARCH(ZAKL_DATA!$B$29,N964)),MAX($M$2:M963)+1,0)</f>
        <v>962</v>
      </c>
      <c r="N964" s="295" t="s">
        <v>3381</v>
      </c>
      <c r="O964" s="310" t="s">
        <v>3382</v>
      </c>
      <c r="Q964" s="297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295" t="s">
        <v>3381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295" t="s">
        <v>3381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295" t="s">
        <v>3381</v>
      </c>
      <c r="Z964" t="str">
        <f>IFERROR(VLOOKUP(ROWS($Z$3:Z964),$X$3:$Y$992,2,0),"")</f>
        <v>Činnosti ostatních škol řízení</v>
      </c>
    </row>
    <row r="965" spans="13:26" ht="12.75">
      <c r="M965" s="294">
        <f>IF(ISNUMBER(SEARCH(ZAKL_DATA!$B$29,N965)),MAX($M$2:M964)+1,0)</f>
        <v>963</v>
      </c>
      <c r="N965" s="295" t="s">
        <v>3383</v>
      </c>
      <c r="O965" s="310" t="s">
        <v>3384</v>
      </c>
      <c r="Q965" s="297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295" t="s">
        <v>3383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295" t="s">
        <v>3383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295" t="s">
        <v>3383</v>
      </c>
      <c r="Z965" t="str">
        <f>IFERROR(VLOOKUP(ROWS($Z$3:Z965),$X$3:$Y$992,2,0),"")</f>
        <v>Vzdělávání v jazykových školách</v>
      </c>
    </row>
    <row r="966" spans="13:26" ht="12.75">
      <c r="M966" s="294">
        <f>IF(ISNUMBER(SEARCH(ZAKL_DATA!$B$29,N966)),MAX($M$2:M965)+1,0)</f>
        <v>964</v>
      </c>
      <c r="N966" s="295" t="s">
        <v>3385</v>
      </c>
      <c r="O966" s="310" t="s">
        <v>3386</v>
      </c>
      <c r="Q966" s="297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295" t="s">
        <v>3385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295" t="s">
        <v>3385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295" t="s">
        <v>3385</v>
      </c>
      <c r="Z966" t="str">
        <f>IFERROR(VLOOKUP(ROWS($Z$3:Z966),$X$3:$Y$992,2,0),"")</f>
        <v>Environmentální vzdělávání</v>
      </c>
    </row>
    <row r="967" spans="13:26" ht="12.75">
      <c r="M967" s="294">
        <f>IF(ISNUMBER(SEARCH(ZAKL_DATA!$B$29,N967)),MAX($M$2:M966)+1,0)</f>
        <v>965</v>
      </c>
      <c r="N967" s="295" t="s">
        <v>3387</v>
      </c>
      <c r="O967" s="310" t="s">
        <v>3388</v>
      </c>
      <c r="Q967" s="297" t="str">
        <f>IFERROR(VLOOKUP(ROWS($Q$3:Q967),$M$3:$N$992,2,0),"")</f>
        <v>Inovační vzdělávání</v>
      </c>
      <c r="R967">
        <f>IF(ISNUMBER(SEARCH('1Př1'!$A$32,N967)),MAX($M$2:M966)+1,0)</f>
        <v>965</v>
      </c>
      <c r="S967" s="295" t="s">
        <v>3387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295" t="s">
        <v>3387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295" t="s">
        <v>3387</v>
      </c>
      <c r="Z967" t="str">
        <f>IFERROR(VLOOKUP(ROWS($Z$3:Z967),$X$3:$Y$992,2,0),"")</f>
        <v>Inovační vzdělávání</v>
      </c>
    </row>
    <row r="968" spans="13:26" ht="12.75">
      <c r="M968" s="294">
        <f>IF(ISNUMBER(SEARCH(ZAKL_DATA!$B$29,N968)),MAX($M$2:M967)+1,0)</f>
        <v>966</v>
      </c>
      <c r="N968" s="295" t="s">
        <v>3389</v>
      </c>
      <c r="O968" s="310" t="s">
        <v>3390</v>
      </c>
      <c r="Q968" s="297" t="str">
        <f>IFERROR(VLOOKUP(ROWS($Q$3:Q968),$M$3:$N$992,2,0),"")</f>
        <v>Jiné vzdělávání j. n.</v>
      </c>
      <c r="R968">
        <f>IF(ISNUMBER(SEARCH('1Př1'!$A$32,N968)),MAX($M$2:M967)+1,0)</f>
        <v>966</v>
      </c>
      <c r="S968" s="295" t="s">
        <v>3389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295" t="s">
        <v>3389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295" t="s">
        <v>3389</v>
      </c>
      <c r="Z968" t="str">
        <f>IFERROR(VLOOKUP(ROWS($Z$3:Z968),$X$3:$Y$992,2,0),"")</f>
        <v>Jiné vzdělávání j. n.</v>
      </c>
    </row>
    <row r="969" spans="13:26" ht="12.75">
      <c r="M969" s="294">
        <f>IF(ISNUMBER(SEARCH(ZAKL_DATA!$B$29,N969)),MAX($M$2:M968)+1,0)</f>
        <v>967</v>
      </c>
      <c r="N969" s="295" t="s">
        <v>3391</v>
      </c>
      <c r="O969" s="310" t="s">
        <v>3392</v>
      </c>
      <c r="Q969" s="297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295" t="s">
        <v>3391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295" t="s">
        <v>3391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295" t="s">
        <v>3391</v>
      </c>
      <c r="Z969" t="str">
        <f>IFERROR(VLOOKUP(ROWS($Z$3:Z969),$X$3:$Y$992,2,0),"")</f>
        <v>Činnosti související s ochranou veřejného zdraví</v>
      </c>
    </row>
    <row r="970" spans="13:26" ht="12.75">
      <c r="M970" s="294">
        <f>IF(ISNUMBER(SEARCH(ZAKL_DATA!$B$29,N970)),MAX($M$2:M969)+1,0)</f>
        <v>968</v>
      </c>
      <c r="N970" s="295" t="s">
        <v>3393</v>
      </c>
      <c r="O970" s="310" t="s">
        <v>3394</v>
      </c>
      <c r="Q970" s="297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295" t="s">
        <v>3393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295" t="s">
        <v>3393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295" t="s">
        <v>3393</v>
      </c>
      <c r="Z970" t="str">
        <f>IFERROR(VLOOKUP(ROWS($Z$3:Z970),$X$3:$Y$992,2,0),"")</f>
        <v>Ostatní činnosti související se zdravotní péčí j. n.</v>
      </c>
    </row>
    <row r="971" spans="13:26" ht="12.75">
      <c r="M971" s="294">
        <f>IF(ISNUMBER(SEARCH(ZAKL_DATA!$B$29,N971)),MAX($M$2:M970)+1,0)</f>
        <v>969</v>
      </c>
      <c r="N971" s="295" t="s">
        <v>3395</v>
      </c>
      <c r="O971" s="310" t="s">
        <v>3396</v>
      </c>
      <c r="Q971" s="297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295" t="s">
        <v>3395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295" t="s">
        <v>3395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295" t="s">
        <v>3395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294">
        <f>IF(ISNUMBER(SEARCH(ZAKL_DATA!$B$29,N972)),MAX($M$2:M971)+1,0)</f>
        <v>970</v>
      </c>
      <c r="N972" s="295" t="s">
        <v>3397</v>
      </c>
      <c r="O972" s="310" t="s">
        <v>3398</v>
      </c>
      <c r="Q972" s="297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295" t="s">
        <v>3397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295" t="s">
        <v>3397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295" t="s">
        <v>3397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294">
        <f>IF(ISNUMBER(SEARCH(ZAKL_DATA!$B$29,N973)),MAX($M$2:M972)+1,0)</f>
        <v>971</v>
      </c>
      <c r="N973" s="295" t="s">
        <v>3399</v>
      </c>
      <c r="O973" s="310" t="s">
        <v>3400</v>
      </c>
      <c r="Q973" s="297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295" t="s">
        <v>3399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295" t="s">
        <v>3399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295" t="s">
        <v>3399</v>
      </c>
      <c r="Z973" t="str">
        <f>IFERROR(VLOOKUP(ROWS($Z$3:Z973),$X$3:$Y$992,2,0),"")</f>
        <v>Sociální péče v domovech pro seniory</v>
      </c>
    </row>
    <row r="974" spans="13:26" ht="12.75">
      <c r="M974" s="294">
        <f>IF(ISNUMBER(SEARCH(ZAKL_DATA!$B$29,N974)),MAX($M$2:M973)+1,0)</f>
        <v>972</v>
      </c>
      <c r="N974" s="295" t="s">
        <v>3401</v>
      </c>
      <c r="O974" s="310" t="s">
        <v>3402</v>
      </c>
      <c r="Q974" s="297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295" t="s">
        <v>3401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295" t="s">
        <v>3401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295" t="s">
        <v>3401</v>
      </c>
      <c r="Z974" t="str">
        <f>IFERROR(VLOOKUP(ROWS($Z$3:Z974),$X$3:$Y$992,2,0),"")</f>
        <v>Sociální péče v domovech pro osoby se zdravotním postižením</v>
      </c>
    </row>
    <row r="975" spans="13:26" ht="12.75">
      <c r="M975" s="294">
        <f>IF(ISNUMBER(SEARCH(ZAKL_DATA!$B$29,N975)),MAX($M$2:M974)+1,0)</f>
        <v>973</v>
      </c>
      <c r="N975" s="295" t="s">
        <v>3403</v>
      </c>
      <c r="O975" s="310" t="s">
        <v>2209</v>
      </c>
      <c r="Q975" s="297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295" t="s">
        <v>3403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295" t="s">
        <v>3403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295" t="s">
        <v>3403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294">
        <f>IF(ISNUMBER(SEARCH(ZAKL_DATA!$B$29,N976)),MAX($M$2:M975)+1,0)</f>
        <v>974</v>
      </c>
      <c r="N976" s="295" t="s">
        <v>3404</v>
      </c>
      <c r="O976" s="310" t="s">
        <v>3405</v>
      </c>
      <c r="Q976" s="297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295" t="s">
        <v>3404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295" t="s">
        <v>3404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295" t="s">
        <v>3404</v>
      </c>
      <c r="Z976" t="str">
        <f>IFERROR(VLOOKUP(ROWS($Z$3:Z976),$X$3:$Y$992,2,0),"")</f>
        <v>Ambulantní nebo terénní sociální služby pro seniory</v>
      </c>
    </row>
    <row r="977" spans="13:26" ht="12.75">
      <c r="M977" s="294">
        <f>IF(ISNUMBER(SEARCH(ZAKL_DATA!$B$29,N977)),MAX($M$2:M976)+1,0)</f>
        <v>975</v>
      </c>
      <c r="N977" s="295" t="s">
        <v>3406</v>
      </c>
      <c r="O977" s="310" t="s">
        <v>3407</v>
      </c>
      <c r="Q977" s="297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295" t="s">
        <v>3406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295" t="s">
        <v>3406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295" t="s">
        <v>3406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294">
        <f>IF(ISNUMBER(SEARCH(ZAKL_DATA!$B$29,N978)),MAX($M$2:M977)+1,0)</f>
        <v>976</v>
      </c>
      <c r="N978" s="295" t="s">
        <v>3408</v>
      </c>
      <c r="O978" s="310" t="s">
        <v>3409</v>
      </c>
      <c r="Q978" s="297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295" t="s">
        <v>3408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295" t="s">
        <v>3408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295" t="s">
        <v>3408</v>
      </c>
      <c r="Z978" t="str">
        <f>IFERROR(VLOOKUP(ROWS($Z$3:Z978),$X$3:$Y$992,2,0),"")</f>
        <v>Sociální služby pro uprchlíky, oběti katastrof</v>
      </c>
    </row>
    <row r="979" spans="13:26" ht="12.75">
      <c r="M979" s="294">
        <f>IF(ISNUMBER(SEARCH(ZAKL_DATA!$B$29,N979)),MAX($M$2:M978)+1,0)</f>
        <v>977</v>
      </c>
      <c r="N979" s="295" t="s">
        <v>3410</v>
      </c>
      <c r="O979" s="310" t="s">
        <v>3411</v>
      </c>
      <c r="Q979" s="297" t="str">
        <f>IFERROR(VLOOKUP(ROWS($Q$3:Q979),$M$3:$N$992,2,0),"")</f>
        <v>Sociální prevence</v>
      </c>
      <c r="R979">
        <f>IF(ISNUMBER(SEARCH('1Př1'!$A$32,N979)),MAX($M$2:M978)+1,0)</f>
        <v>977</v>
      </c>
      <c r="S979" s="295" t="s">
        <v>3410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295" t="s">
        <v>3410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295" t="s">
        <v>3410</v>
      </c>
      <c r="Z979" t="str">
        <f>IFERROR(VLOOKUP(ROWS($Z$3:Z979),$X$3:$Y$992,2,0),"")</f>
        <v>Sociální prevence</v>
      </c>
    </row>
    <row r="980" spans="13:26" ht="12.75">
      <c r="M980" s="294">
        <f>IF(ISNUMBER(SEARCH(ZAKL_DATA!$B$29,N980)),MAX($M$2:M979)+1,0)</f>
        <v>978</v>
      </c>
      <c r="N980" s="295" t="s">
        <v>3412</v>
      </c>
      <c r="O980" s="310" t="s">
        <v>3413</v>
      </c>
      <c r="Q980" s="297" t="str">
        <f>IFERROR(VLOOKUP(ROWS($Q$3:Q980),$M$3:$N$992,2,0),"")</f>
        <v>Sociální rehabilitace</v>
      </c>
      <c r="R980">
        <f>IF(ISNUMBER(SEARCH('1Př1'!$A$32,N980)),MAX($M$2:M979)+1,0)</f>
        <v>978</v>
      </c>
      <c r="S980" s="295" t="s">
        <v>3412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295" t="s">
        <v>3412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295" t="s">
        <v>3412</v>
      </c>
      <c r="Z980" t="str">
        <f>IFERROR(VLOOKUP(ROWS($Z$3:Z980),$X$3:$Y$992,2,0),"")</f>
        <v>Sociální rehabilitace</v>
      </c>
    </row>
    <row r="981" spans="13:26" ht="12.75">
      <c r="M981" s="294">
        <f>IF(ISNUMBER(SEARCH(ZAKL_DATA!$B$29,N981)),MAX($M$2:M980)+1,0)</f>
        <v>979</v>
      </c>
      <c r="N981" s="295" t="s">
        <v>3414</v>
      </c>
      <c r="O981" s="310" t="s">
        <v>3415</v>
      </c>
      <c r="Q981" s="297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295" t="s">
        <v>3414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295" t="s">
        <v>3414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295" t="s">
        <v>3414</v>
      </c>
      <c r="Z981" t="str">
        <f>IFERROR(VLOOKUP(ROWS($Z$3:Z981),$X$3:$Y$992,2,0),"")</f>
        <v>Jiné ambulantní nebo terénní sociální služby j. n.</v>
      </c>
    </row>
    <row r="982" spans="13:26" ht="12.75">
      <c r="M982" s="294">
        <f>IF(ISNUMBER(SEARCH(ZAKL_DATA!$B$29,N982)),MAX($M$2:M981)+1,0)</f>
        <v>980</v>
      </c>
      <c r="N982" s="295" t="s">
        <v>3416</v>
      </c>
      <c r="O982" s="310" t="s">
        <v>3096</v>
      </c>
      <c r="Q982" s="297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295" t="s">
        <v>3416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295" t="s">
        <v>3416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295" t="s">
        <v>3416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294">
        <f>IF(ISNUMBER(SEARCH(ZAKL_DATA!$B$29,N983)),MAX($M$2:M982)+1,0)</f>
        <v>981</v>
      </c>
      <c r="N983" s="295" t="s">
        <v>3417</v>
      </c>
      <c r="O983" s="310" t="s">
        <v>3418</v>
      </c>
      <c r="Q983" s="297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295" t="s">
        <v>3417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295" t="s">
        <v>3417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295" t="s">
        <v>3417</v>
      </c>
      <c r="Z983" t="str">
        <f>IFERROR(VLOOKUP(ROWS($Z$3:Z983),$X$3:$Y$992,2,0),"")</f>
        <v>Činnosti botanických a zoologických zahrad</v>
      </c>
    </row>
    <row r="984" spans="13:26" ht="12.75">
      <c r="M984" s="294">
        <f>IF(ISNUMBER(SEARCH(ZAKL_DATA!$B$29,N984)),MAX($M$2:M983)+1,0)</f>
        <v>982</v>
      </c>
      <c r="N984" s="295" t="s">
        <v>3419</v>
      </c>
      <c r="O984" s="310" t="s">
        <v>3420</v>
      </c>
      <c r="Q984" s="297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295" t="s">
        <v>3419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295" t="s">
        <v>3419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295" t="s">
        <v>3419</v>
      </c>
      <c r="Z984" t="str">
        <f>IFERROR(VLOOKUP(ROWS($Z$3:Z984),$X$3:$Y$992,2,0),"")</f>
        <v>Činnosti přírodních rezervací a národních parků</v>
      </c>
    </row>
    <row r="985" spans="13:26" ht="12.75">
      <c r="M985" s="294">
        <f>IF(ISNUMBER(SEARCH(ZAKL_DATA!$B$29,N985)),MAX($M$2:M984)+1,0)</f>
        <v>983</v>
      </c>
      <c r="N985" s="295" t="s">
        <v>3421</v>
      </c>
      <c r="O985" s="310" t="s">
        <v>3422</v>
      </c>
      <c r="Q985" s="297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295" t="s">
        <v>3421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295" t="s">
        <v>3421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295" t="s">
        <v>3421</v>
      </c>
      <c r="Z985" t="str">
        <f>IFERROR(VLOOKUP(ROWS($Z$3:Z985),$X$3:$Y$992,2,0),"")</f>
        <v>Činnosti organizací dětí a mládeže</v>
      </c>
    </row>
    <row r="986" spans="13:26" ht="12.75">
      <c r="M986" s="294">
        <f>IF(ISNUMBER(SEARCH(ZAKL_DATA!$B$29,N986)),MAX($M$2:M985)+1,0)</f>
        <v>984</v>
      </c>
      <c r="N986" s="295" t="s">
        <v>3423</v>
      </c>
      <c r="O986" s="310" t="s">
        <v>3424</v>
      </c>
      <c r="Q986" s="297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295" t="s">
        <v>3423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295" t="s">
        <v>3423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295" t="s">
        <v>3423</v>
      </c>
      <c r="Z986" t="str">
        <f>IFERROR(VLOOKUP(ROWS($Z$3:Z986),$X$3:$Y$992,2,0),"")</f>
        <v>Činnosti organizací na podporu kulturní činnosti</v>
      </c>
    </row>
    <row r="987" spans="13:26" ht="12.75">
      <c r="M987" s="294">
        <f>IF(ISNUMBER(SEARCH(ZAKL_DATA!$B$29,N987)),MAX($M$2:M986)+1,0)</f>
        <v>985</v>
      </c>
      <c r="N987" s="295" t="s">
        <v>3425</v>
      </c>
      <c r="O987" s="310" t="s">
        <v>3426</v>
      </c>
      <c r="Q987" s="297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295" t="s">
        <v>3425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295" t="s">
        <v>3425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295" t="s">
        <v>3425</v>
      </c>
      <c r="Z987" t="str">
        <f>IFERROR(VLOOKUP(ROWS($Z$3:Z987),$X$3:$Y$992,2,0),"")</f>
        <v>Činnosti organizací na podporu rekreační a zájmové činnosti</v>
      </c>
    </row>
    <row r="988" spans="13:26" ht="12.75">
      <c r="M988" s="294">
        <f>IF(ISNUMBER(SEARCH(ZAKL_DATA!$B$29,N988)),MAX($M$2:M987)+1,0)</f>
        <v>986</v>
      </c>
      <c r="N988" s="295" t="s">
        <v>3427</v>
      </c>
      <c r="O988" s="310" t="s">
        <v>3428</v>
      </c>
      <c r="Q988" s="297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295" t="s">
        <v>3427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295" t="s">
        <v>3427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295" t="s">
        <v>3427</v>
      </c>
      <c r="Z988" t="str">
        <f>IFERROR(VLOOKUP(ROWS($Z$3:Z988),$X$3:$Y$992,2,0),"")</f>
        <v>Činnosti spotřebitelských organizací</v>
      </c>
    </row>
    <row r="989" spans="13:26" ht="12.75">
      <c r="M989" s="294">
        <f>IF(ISNUMBER(SEARCH(ZAKL_DATA!$B$29,N989)),MAX($M$2:M988)+1,0)</f>
        <v>987</v>
      </c>
      <c r="N989" s="295" t="s">
        <v>3429</v>
      </c>
      <c r="O989" s="310" t="s">
        <v>3430</v>
      </c>
      <c r="Q989" s="297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295" t="s">
        <v>3429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295" t="s">
        <v>3429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295" t="s">
        <v>3429</v>
      </c>
      <c r="Z989" t="str">
        <f>IFERROR(VLOOKUP(ROWS($Z$3:Z989),$X$3:$Y$992,2,0),"")</f>
        <v>Činnosti environmentálních a ekologických hnutí</v>
      </c>
    </row>
    <row r="990" spans="13:26" ht="12.75">
      <c r="M990" s="294">
        <f>IF(ISNUMBER(SEARCH(ZAKL_DATA!$B$29,N990)),MAX($M$2:M989)+1,0)</f>
        <v>988</v>
      </c>
      <c r="N990" s="295" t="s">
        <v>3431</v>
      </c>
      <c r="O990" s="310" t="s">
        <v>3432</v>
      </c>
      <c r="Q990" s="297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295" t="s">
        <v>3431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295" t="s">
        <v>3431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295" t="s">
        <v>3431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294">
        <f>IF(ISNUMBER(SEARCH(ZAKL_DATA!$B$29,N991)),MAX($M$2:M990)+1,0)</f>
        <v>989</v>
      </c>
      <c r="N991" s="295" t="s">
        <v>3433</v>
      </c>
      <c r="O991" s="310" t="s">
        <v>3434</v>
      </c>
      <c r="Q991" s="297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295" t="s">
        <v>3433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295" t="s">
        <v>3433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295" t="s">
        <v>3433</v>
      </c>
      <c r="Z991" t="str">
        <f>IFERROR(VLOOKUP(ROWS($Z$3:Z991),$X$3:$Y$992,2,0),"")</f>
        <v>Činnosti občanských iniciativ, protestních hnutí</v>
      </c>
    </row>
    <row r="992" spans="13:26" ht="13.5" thickBot="1">
      <c r="M992" s="294">
        <f>IF(ISNUMBER(SEARCH(ZAKL_DATA!$B$29,N992)),MAX($M$2:M991)+1,0)</f>
        <v>990</v>
      </c>
      <c r="N992" s="318" t="s">
        <v>3435</v>
      </c>
      <c r="O992" s="319" t="s">
        <v>3436</v>
      </c>
      <c r="Q992" s="320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18" t="s">
        <v>3435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18" t="s">
        <v>3435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18" t="s">
        <v>3435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2"/>
  <sheetViews>
    <sheetView showZeros="0" workbookViewId="0" topLeftCell="A1">
      <selection pane="topLeft" activeCell="A14" sqref="A14:K14"/>
    </sheetView>
  </sheetViews>
  <sheetFormatPr defaultColWidth="9.14428571428571" defaultRowHeight="12.75"/>
  <cols>
    <col min="1" max="1" width="11.1428571428571" style="3" customWidth="1"/>
    <col min="2" max="2" width="20.4285714285714" style="3" customWidth="1"/>
    <col min="3" max="3" width="14.1428571428571" style="3" customWidth="1"/>
    <col min="4" max="4" width="4.85714285714286" style="3" customWidth="1"/>
    <col min="5" max="5" width="11.8571428571429" style="3" customWidth="1"/>
    <col min="6" max="6" width="11" style="3" customWidth="1"/>
    <col min="7" max="7" width="3.14285714285714" style="3" customWidth="1"/>
    <col min="8" max="8" width="6.71428571428571" style="3" customWidth="1"/>
    <col min="9" max="9" width="10.2857142857143" style="3" customWidth="1"/>
    <col min="10" max="11" width="6.71428571428571" style="3" customWidth="1"/>
    <col min="12" max="16384" width="9.14285714285714" style="2"/>
  </cols>
  <sheetData>
    <row r="1" spans="1:11" ht="12.75">
      <c r="A1" s="1119" t="s">
        <v>3486</v>
      </c>
      <c r="B1" s="1120"/>
      <c r="C1" s="1120"/>
      <c r="D1" s="1120"/>
      <c r="E1" s="1120"/>
      <c r="F1" s="1120"/>
      <c r="G1" s="1120"/>
      <c r="H1" s="1120"/>
      <c r="I1" s="1120"/>
      <c r="J1" s="1120"/>
      <c r="K1" s="1120"/>
    </row>
    <row r="2" spans="1:11" ht="14.1" customHeight="1" thickBot="1">
      <c r="A2" s="1121" t="s">
        <v>3487</v>
      </c>
      <c r="B2" s="1122"/>
      <c r="C2" s="1122"/>
      <c r="D2" s="1122"/>
      <c r="E2" s="1122"/>
      <c r="F2" s="1122"/>
      <c r="G2" s="1122"/>
      <c r="H2" s="1122"/>
      <c r="I2" s="1122"/>
      <c r="J2" s="1122"/>
      <c r="K2" s="1122"/>
    </row>
    <row r="3" spans="1:11" ht="15" customHeight="1">
      <c r="A3" s="1123" t="s">
        <v>135</v>
      </c>
      <c r="B3" s="1124"/>
      <c r="C3" s="1124"/>
      <c r="D3" s="1124"/>
      <c r="E3" s="1124"/>
      <c r="F3" s="1124"/>
      <c r="G3" s="1124"/>
      <c r="H3" s="1124"/>
      <c r="I3" s="1124"/>
      <c r="J3" s="1125"/>
      <c r="K3" s="205"/>
    </row>
    <row r="4" spans="1:11" ht="15" customHeight="1">
      <c r="A4" s="1092" t="s">
        <v>3489</v>
      </c>
      <c r="B4" s="1093"/>
      <c r="C4" s="1093"/>
      <c r="D4" s="1093"/>
      <c r="E4" s="1093"/>
      <c r="F4" s="1093"/>
      <c r="G4" s="1093"/>
      <c r="H4" s="1093"/>
      <c r="I4" s="1094"/>
      <c r="J4" s="1095"/>
      <c r="K4" s="203"/>
    </row>
    <row r="5" spans="1:11" ht="15" customHeight="1">
      <c r="A5" s="1092" t="s">
        <v>3616</v>
      </c>
      <c r="B5" s="1093"/>
      <c r="C5" s="1093"/>
      <c r="D5" s="1093"/>
      <c r="E5" s="1093"/>
      <c r="F5" s="1093"/>
      <c r="G5" s="1093"/>
      <c r="H5" s="1093"/>
      <c r="I5" s="1094"/>
      <c r="J5" s="1095"/>
      <c r="K5" s="203"/>
    </row>
    <row r="6" spans="1:11" ht="15" customHeight="1">
      <c r="A6" s="1092" t="s">
        <v>3488</v>
      </c>
      <c r="B6" s="1093"/>
      <c r="C6" s="1093"/>
      <c r="D6" s="1093"/>
      <c r="E6" s="1093"/>
      <c r="F6" s="1093"/>
      <c r="G6" s="1093"/>
      <c r="H6" s="1093"/>
      <c r="I6" s="1094"/>
      <c r="J6" s="1095"/>
      <c r="K6" s="203"/>
    </row>
    <row r="7" spans="1:11" ht="15" customHeight="1">
      <c r="A7" s="1092" t="s">
        <v>3827</v>
      </c>
      <c r="B7" s="1143"/>
      <c r="C7" s="1143"/>
      <c r="D7" s="1143"/>
      <c r="E7" s="1143"/>
      <c r="F7" s="1143"/>
      <c r="G7" s="1143"/>
      <c r="H7" s="1143"/>
      <c r="I7" s="1144"/>
      <c r="J7" s="1145"/>
      <c r="K7" s="203"/>
    </row>
    <row r="8" spans="1:11" ht="15" customHeight="1">
      <c r="A8" s="1092" t="s">
        <v>241</v>
      </c>
      <c r="B8" s="1093"/>
      <c r="C8" s="1093"/>
      <c r="D8" s="1093"/>
      <c r="E8" s="1093"/>
      <c r="F8" s="1093"/>
      <c r="G8" s="1093"/>
      <c r="H8" s="1093"/>
      <c r="I8" s="1094"/>
      <c r="J8" s="1095"/>
      <c r="K8" s="203"/>
    </row>
    <row r="9" spans="1:11" ht="24" customHeight="1">
      <c r="A9" s="1092" t="s">
        <v>3490</v>
      </c>
      <c r="B9" s="1093"/>
      <c r="C9" s="1093"/>
      <c r="D9" s="1093"/>
      <c r="E9" s="1093"/>
      <c r="F9" s="1093"/>
      <c r="G9" s="1093"/>
      <c r="H9" s="1093"/>
      <c r="I9" s="1094"/>
      <c r="J9" s="1095"/>
      <c r="K9" s="203"/>
    </row>
    <row r="10" spans="1:11" ht="15" customHeight="1">
      <c r="A10" s="1092" t="s">
        <v>74</v>
      </c>
      <c r="B10" s="1093"/>
      <c r="C10" s="1093"/>
      <c r="D10" s="1093"/>
      <c r="E10" s="1093"/>
      <c r="F10" s="1093"/>
      <c r="G10" s="1093"/>
      <c r="H10" s="1093"/>
      <c r="I10" s="1094"/>
      <c r="J10" s="1095"/>
      <c r="K10" s="203"/>
    </row>
    <row r="11" spans="1:11" ht="15" customHeight="1">
      <c r="A11" s="1092" t="s">
        <v>3617</v>
      </c>
      <c r="B11" s="1093"/>
      <c r="C11" s="1093"/>
      <c r="D11" s="1093"/>
      <c r="E11" s="1093"/>
      <c r="F11" s="1093"/>
      <c r="G11" s="1093"/>
      <c r="H11" s="1093"/>
      <c r="I11" s="1094"/>
      <c r="J11" s="1095"/>
      <c r="K11" s="203"/>
    </row>
    <row r="12" spans="1:11" ht="15" customHeight="1">
      <c r="A12" s="1092" t="s">
        <v>3618</v>
      </c>
      <c r="B12" s="1093"/>
      <c r="C12" s="1093"/>
      <c r="D12" s="1093"/>
      <c r="E12" s="1093"/>
      <c r="F12" s="1093"/>
      <c r="G12" s="1093"/>
      <c r="H12" s="1093"/>
      <c r="I12" s="1094"/>
      <c r="J12" s="1095"/>
      <c r="K12" s="203"/>
    </row>
    <row r="13" spans="1:11" ht="15" customHeight="1">
      <c r="A13" s="1092" t="s">
        <v>3619</v>
      </c>
      <c r="B13" s="1093"/>
      <c r="C13" s="1093"/>
      <c r="D13" s="1093"/>
      <c r="E13" s="1093"/>
      <c r="F13" s="1093"/>
      <c r="G13" s="1093"/>
      <c r="H13" s="1093"/>
      <c r="I13" s="1094"/>
      <c r="J13" s="1095"/>
      <c r="K13" s="203"/>
    </row>
    <row r="14" spans="1:11" ht="15" customHeight="1">
      <c r="A14" s="1092" t="s">
        <v>3935</v>
      </c>
      <c r="B14" s="1143"/>
      <c r="C14" s="1143"/>
      <c r="D14" s="1143"/>
      <c r="E14" s="1143"/>
      <c r="F14" s="1143"/>
      <c r="G14" s="1143"/>
      <c r="H14" s="1143"/>
      <c r="I14" s="1144"/>
      <c r="J14" s="1145"/>
      <c r="K14" s="203">
        <v>0</v>
      </c>
    </row>
    <row r="15" spans="1:11" ht="15" customHeight="1">
      <c r="A15" s="1092" t="s">
        <v>3620</v>
      </c>
      <c r="B15" s="1093"/>
      <c r="C15" s="1093"/>
      <c r="D15" s="1093"/>
      <c r="E15" s="1093"/>
      <c r="F15" s="1093"/>
      <c r="G15" s="1093"/>
      <c r="H15" s="1093"/>
      <c r="I15" s="1094"/>
      <c r="J15" s="1095"/>
      <c r="K15" s="203"/>
    </row>
    <row r="16" spans="1:11" ht="15" customHeight="1">
      <c r="A16" s="1092" t="s">
        <v>3621</v>
      </c>
      <c r="B16" s="1093"/>
      <c r="C16" s="1093"/>
      <c r="D16" s="1093"/>
      <c r="E16" s="1093"/>
      <c r="F16" s="1093"/>
      <c r="G16" s="1093"/>
      <c r="H16" s="1093"/>
      <c r="I16" s="1094"/>
      <c r="J16" s="1095"/>
      <c r="K16" s="203"/>
    </row>
    <row r="17" spans="1:11" ht="15" customHeight="1">
      <c r="A17" s="1092" t="s">
        <v>3569</v>
      </c>
      <c r="B17" s="1093"/>
      <c r="C17" s="1093"/>
      <c r="D17" s="1093"/>
      <c r="E17" s="1093"/>
      <c r="F17" s="1093"/>
      <c r="G17" s="1093"/>
      <c r="H17" s="1093"/>
      <c r="I17" s="1094"/>
      <c r="J17" s="1095"/>
      <c r="K17" s="203"/>
    </row>
    <row r="18" spans="1:11" ht="15" customHeight="1">
      <c r="A18" s="1092" t="s">
        <v>212</v>
      </c>
      <c r="B18" s="1093"/>
      <c r="C18" s="1093"/>
      <c r="D18" s="1093"/>
      <c r="E18" s="1093"/>
      <c r="F18" s="1093"/>
      <c r="G18" s="1093"/>
      <c r="H18" s="1093"/>
      <c r="I18" s="1094"/>
      <c r="J18" s="1095"/>
      <c r="K18" s="203"/>
    </row>
    <row r="19" spans="1:11" ht="15" customHeight="1">
      <c r="A19" s="1092" t="s">
        <v>3720</v>
      </c>
      <c r="B19" s="1093"/>
      <c r="C19" s="1093"/>
      <c r="D19" s="1093"/>
      <c r="E19" s="1093"/>
      <c r="F19" s="1093"/>
      <c r="G19" s="1093"/>
      <c r="H19" s="1093"/>
      <c r="I19" s="1094"/>
      <c r="J19" s="1095"/>
      <c r="K19" s="203"/>
    </row>
    <row r="20" spans="1:11" ht="15" customHeight="1">
      <c r="A20" s="1092" t="s">
        <v>75</v>
      </c>
      <c r="B20" s="1093"/>
      <c r="C20" s="1093"/>
      <c r="D20" s="1093"/>
      <c r="E20" s="1093"/>
      <c r="F20" s="1093"/>
      <c r="G20" s="1093"/>
      <c r="H20" s="1093"/>
      <c r="I20" s="1094"/>
      <c r="J20" s="1095"/>
      <c r="K20" s="203"/>
    </row>
    <row r="21" spans="1:11" ht="15" customHeight="1">
      <c r="A21" s="1092" t="s">
        <v>76</v>
      </c>
      <c r="B21" s="1093"/>
      <c r="C21" s="1093"/>
      <c r="D21" s="1093"/>
      <c r="E21" s="1093"/>
      <c r="F21" s="1093"/>
      <c r="G21" s="1093"/>
      <c r="H21" s="1093"/>
      <c r="I21" s="1094"/>
      <c r="J21" s="1095"/>
      <c r="K21" s="203"/>
    </row>
    <row r="22" spans="1:11" ht="15" customHeight="1">
      <c r="A22" s="1092" t="s">
        <v>291</v>
      </c>
      <c r="B22" s="1093"/>
      <c r="C22" s="1093"/>
      <c r="D22" s="1093"/>
      <c r="E22" s="1093"/>
      <c r="F22" s="1093"/>
      <c r="G22" s="1093"/>
      <c r="H22" s="1093"/>
      <c r="I22" s="1094"/>
      <c r="J22" s="1095"/>
      <c r="K22" s="203"/>
    </row>
    <row r="23" spans="1:11" ht="15" customHeight="1">
      <c r="A23" s="1092" t="s">
        <v>3778</v>
      </c>
      <c r="B23" s="1093"/>
      <c r="C23" s="1093"/>
      <c r="D23" s="1093"/>
      <c r="E23" s="1093"/>
      <c r="F23" s="1093"/>
      <c r="G23" s="1093"/>
      <c r="H23" s="1093"/>
      <c r="I23" s="1094"/>
      <c r="J23" s="1095"/>
      <c r="K23" s="203"/>
    </row>
    <row r="24" spans="1:11" ht="24" customHeight="1">
      <c r="A24" s="1092" t="s">
        <v>3779</v>
      </c>
      <c r="B24" s="1093"/>
      <c r="C24" s="1093"/>
      <c r="D24" s="1093"/>
      <c r="E24" s="1093"/>
      <c r="F24" s="1093"/>
      <c r="G24" s="1093"/>
      <c r="H24" s="1093"/>
      <c r="I24" s="1094"/>
      <c r="J24" s="1095"/>
      <c r="K24" s="203"/>
    </row>
    <row r="25" spans="1:11" ht="15" customHeight="1">
      <c r="A25" s="1092" t="s">
        <v>139</v>
      </c>
      <c r="B25" s="1093"/>
      <c r="C25" s="1093"/>
      <c r="D25" s="1093"/>
      <c r="E25" s="1093"/>
      <c r="F25" s="1093"/>
      <c r="G25" s="1093"/>
      <c r="H25" s="1093"/>
      <c r="I25" s="1094"/>
      <c r="J25" s="1095"/>
      <c r="K25" s="203"/>
    </row>
    <row r="26" spans="1:11" ht="15" customHeight="1" thickBot="1">
      <c r="A26" s="1139" t="s">
        <v>77</v>
      </c>
      <c r="B26" s="1140"/>
      <c r="C26" s="1140"/>
      <c r="D26" s="1140"/>
      <c r="E26" s="1140"/>
      <c r="F26" s="1140"/>
      <c r="G26" s="1140"/>
      <c r="H26" s="1140"/>
      <c r="I26" s="1141"/>
      <c r="J26" s="1142"/>
      <c r="K26" s="204">
        <f>SUM(K4:K25)</f>
        <v>0</v>
      </c>
    </row>
    <row r="27" spans="1:11" ht="12" customHeight="1" thickBot="1">
      <c r="A27" s="1178"/>
      <c r="B27" s="1178"/>
      <c r="C27" s="1178"/>
      <c r="D27" s="1178"/>
      <c r="E27" s="1178"/>
      <c r="F27" s="1178"/>
      <c r="G27" s="1178"/>
      <c r="H27" s="1178"/>
      <c r="I27" s="1178"/>
      <c r="J27" s="1178"/>
      <c r="K27" s="1178"/>
    </row>
    <row r="28" spans="1:11" ht="12" customHeight="1" thickBot="1">
      <c r="A28" s="1179"/>
      <c r="B28" s="733"/>
      <c r="C28" s="733"/>
      <c r="D28" s="733"/>
      <c r="E28" s="733"/>
      <c r="F28" s="733"/>
      <c r="G28" s="733"/>
      <c r="H28" s="733"/>
      <c r="I28" s="733"/>
      <c r="J28" s="733"/>
      <c r="K28" s="733"/>
    </row>
    <row r="29" spans="1:11" ht="14.1" customHeight="1">
      <c r="A29" s="1138" t="s">
        <v>3492</v>
      </c>
      <c r="B29" s="986"/>
      <c r="C29" s="1180" t="s">
        <v>3491</v>
      </c>
      <c r="D29" s="1180"/>
      <c r="E29" s="1103"/>
      <c r="F29" s="1103"/>
      <c r="G29" s="1103"/>
      <c r="H29" s="1103"/>
      <c r="I29" s="1103"/>
      <c r="J29" s="1103"/>
      <c r="K29" s="1104"/>
    </row>
    <row r="30" spans="1:11" ht="18" customHeight="1">
      <c r="A30" s="1135"/>
      <c r="B30" s="1136"/>
      <c r="C30" s="1181"/>
      <c r="D30" s="1182"/>
      <c r="E30" s="782"/>
      <c r="F30" s="782"/>
      <c r="G30" s="782"/>
      <c r="H30" s="782"/>
      <c r="I30" s="782"/>
      <c r="J30" s="782"/>
      <c r="K30" s="1137"/>
    </row>
    <row r="31" spans="1:11" ht="14.1" customHeight="1">
      <c r="A31" s="1129" t="s">
        <v>292</v>
      </c>
      <c r="B31" s="1111"/>
      <c r="C31" s="1111"/>
      <c r="D31" s="1111"/>
      <c r="E31" s="1111"/>
      <c r="F31" s="1111"/>
      <c r="G31" s="1111"/>
      <c r="H31" s="1111"/>
      <c r="I31" s="1111"/>
      <c r="J31" s="1111"/>
      <c r="K31" s="1130"/>
    </row>
    <row r="32" spans="1:11" ht="18" customHeight="1">
      <c r="A32" s="1131" t="str">
        <f>+CONCATENATE(ZAKL_DATA!D21," ",ZAKL_DATA!D20," ",ZAKL_DATA!D22)</f>
        <v xml:space="preserve">  </v>
      </c>
      <c r="B32" s="1132"/>
      <c r="C32" s="1132"/>
      <c r="D32" s="1132"/>
      <c r="E32" s="1132"/>
      <c r="F32" s="1132"/>
      <c r="G32" s="1132"/>
      <c r="H32" s="1132"/>
      <c r="I32" s="1132"/>
      <c r="J32" s="1132"/>
      <c r="K32" s="1133"/>
    </row>
    <row r="33" spans="1:11" ht="14.1" customHeight="1">
      <c r="A33" s="1129" t="s">
        <v>34</v>
      </c>
      <c r="B33" s="1111"/>
      <c r="C33" s="1111"/>
      <c r="D33" s="1111"/>
      <c r="E33" s="1111"/>
      <c r="F33" s="1111"/>
      <c r="G33" s="1111"/>
      <c r="H33" s="1111"/>
      <c r="I33" s="1111"/>
      <c r="J33" s="1111"/>
      <c r="K33" s="1130"/>
    </row>
    <row r="34" spans="1:11" ht="18" customHeight="1">
      <c r="A34" s="1131"/>
      <c r="B34" s="1132"/>
      <c r="C34" s="1132"/>
      <c r="D34" s="1132"/>
      <c r="E34" s="1132"/>
      <c r="F34" s="1132"/>
      <c r="G34" s="1132"/>
      <c r="H34" s="1132"/>
      <c r="I34" s="1132"/>
      <c r="J34" s="1132"/>
      <c r="K34" s="1133"/>
    </row>
    <row r="35" spans="1:11" ht="14.1" customHeight="1">
      <c r="A35" s="1134" t="s">
        <v>3721</v>
      </c>
      <c r="B35" s="1111"/>
      <c r="C35" s="1111"/>
      <c r="D35" s="1111"/>
      <c r="E35" s="1111"/>
      <c r="F35" s="1111"/>
      <c r="G35" s="1111"/>
      <c r="H35" s="1111"/>
      <c r="I35" s="1111"/>
      <c r="J35" s="1111"/>
      <c r="K35" s="1130"/>
    </row>
    <row r="36" spans="1:11" ht="14.1" customHeight="1">
      <c r="A36" s="1134" t="s">
        <v>3493</v>
      </c>
      <c r="B36" s="1111"/>
      <c r="C36" s="1111"/>
      <c r="D36" s="1111"/>
      <c r="E36" s="1111"/>
      <c r="F36" s="1111"/>
      <c r="G36" s="1111"/>
      <c r="H36" s="1111"/>
      <c r="I36" s="1111"/>
      <c r="J36" s="1111"/>
      <c r="K36" s="1130"/>
    </row>
    <row r="37" spans="1:11" ht="14.1" customHeight="1">
      <c r="A37" s="1129" t="s">
        <v>293</v>
      </c>
      <c r="B37" s="1111"/>
      <c r="C37" s="1111"/>
      <c r="D37" s="1111"/>
      <c r="E37" s="1111"/>
      <c r="F37" s="1111"/>
      <c r="G37" s="1111"/>
      <c r="H37" s="1111"/>
      <c r="I37" s="1111"/>
      <c r="J37" s="1111"/>
      <c r="K37" s="1130"/>
    </row>
    <row r="38" spans="1:11" ht="18" customHeight="1">
      <c r="A38" s="1131" t="str">
        <f>+CONCATENATE(ZAKL_DATA!D21," ",ZAKL_DATA!D20," ",ZAKL_DATA!D22)</f>
        <v xml:space="preserve">  </v>
      </c>
      <c r="B38" s="1132"/>
      <c r="C38" s="1132"/>
      <c r="D38" s="1132"/>
      <c r="E38" s="1132"/>
      <c r="F38" s="1132"/>
      <c r="G38" s="1132"/>
      <c r="H38" s="1132"/>
      <c r="I38" s="1132"/>
      <c r="J38" s="1132"/>
      <c r="K38" s="1133"/>
    </row>
    <row r="39" spans="1:11" ht="5.1" customHeight="1" thickBot="1">
      <c r="A39" s="1126"/>
      <c r="B39" s="1127"/>
      <c r="C39" s="1127"/>
      <c r="D39" s="1127"/>
      <c r="E39" s="1127"/>
      <c r="F39" s="1127"/>
      <c r="G39" s="1127"/>
      <c r="H39" s="1127"/>
      <c r="I39" s="1127"/>
      <c r="J39" s="1127"/>
      <c r="K39" s="1128"/>
    </row>
    <row r="40" spans="1:11" ht="5.1" customHeight="1" thickBot="1">
      <c r="A40" s="1110"/>
      <c r="B40" s="1111"/>
      <c r="C40" s="1111"/>
      <c r="D40" s="1111"/>
      <c r="E40" s="1111"/>
      <c r="F40" s="1111"/>
      <c r="G40" s="1111"/>
      <c r="H40" s="1111"/>
      <c r="I40" s="1111"/>
      <c r="J40" s="1111"/>
      <c r="K40" s="1111"/>
    </row>
    <row r="41" spans="1:11" ht="18" customHeight="1">
      <c r="A41" s="1112" t="s">
        <v>213</v>
      </c>
      <c r="B41" s="1113"/>
      <c r="C41" s="1113"/>
      <c r="D41" s="1113"/>
      <c r="E41" s="1113"/>
      <c r="F41" s="1113"/>
      <c r="G41" s="1113"/>
      <c r="H41" s="1113"/>
      <c r="I41" s="1113"/>
      <c r="J41" s="1113"/>
      <c r="K41" s="1114"/>
    </row>
    <row r="42" spans="1:11" ht="21.75" customHeight="1">
      <c r="A42" s="1108" t="s">
        <v>360</v>
      </c>
      <c r="B42" s="1109"/>
      <c r="C42" s="1152" t="s">
        <v>3494</v>
      </c>
      <c r="D42" s="1152"/>
      <c r="E42" s="1152"/>
      <c r="F42" s="1152"/>
      <c r="G42" s="1105" t="s">
        <v>295</v>
      </c>
      <c r="H42" s="1106"/>
      <c r="I42" s="1106"/>
      <c r="J42" s="1106"/>
      <c r="K42" s="1107"/>
    </row>
    <row r="43" spans="1:11" ht="18" customHeight="1">
      <c r="A43" s="1117">
        <f ca="1">+TODAY()</f>
        <v>44994</v>
      </c>
      <c r="B43" s="1118"/>
      <c r="C43" s="1152"/>
      <c r="D43" s="1152"/>
      <c r="E43" s="1152"/>
      <c r="F43" s="1152"/>
      <c r="G43" s="1146"/>
      <c r="H43" s="1147"/>
      <c r="I43" s="1147"/>
      <c r="J43" s="1147"/>
      <c r="K43" s="1148"/>
    </row>
    <row r="44" spans="1:11" ht="18" customHeight="1">
      <c r="A44" s="1115"/>
      <c r="B44" s="1116"/>
      <c r="C44" s="1152"/>
      <c r="D44" s="1152"/>
      <c r="E44" s="1152"/>
      <c r="F44" s="1152"/>
      <c r="G44" s="1149"/>
      <c r="H44" s="1150"/>
      <c r="I44" s="1150"/>
      <c r="J44" s="1150"/>
      <c r="K44" s="1151"/>
    </row>
    <row r="45" spans="1:11" ht="5.1" customHeight="1" thickBot="1">
      <c r="A45" s="1159"/>
      <c r="B45" s="796"/>
      <c r="C45" s="796"/>
      <c r="D45" s="796"/>
      <c r="E45" s="796"/>
      <c r="F45" s="796"/>
      <c r="G45" s="796"/>
      <c r="H45" s="796"/>
      <c r="I45" s="796"/>
      <c r="J45" s="796"/>
      <c r="K45" s="1160"/>
    </row>
    <row r="46" spans="1:11" ht="5.1" customHeight="1">
      <c r="A46" s="764"/>
      <c r="B46" s="761"/>
      <c r="C46" s="761"/>
      <c r="D46" s="761"/>
      <c r="E46" s="761"/>
      <c r="F46" s="761"/>
      <c r="G46" s="761"/>
      <c r="H46" s="761"/>
      <c r="I46" s="761"/>
      <c r="J46" s="761"/>
      <c r="K46" s="761"/>
    </row>
    <row r="47" spans="1:11" s="20" customFormat="1" ht="14.1" customHeight="1">
      <c r="A47" s="758"/>
      <c r="B47" s="733"/>
      <c r="C47" s="733"/>
      <c r="D47" s="733"/>
      <c r="E47" s="733"/>
      <c r="F47" s="1185" t="s">
        <v>246</v>
      </c>
      <c r="G47" s="864"/>
      <c r="H47" s="864"/>
      <c r="I47" s="864"/>
      <c r="J47" s="864"/>
      <c r="K47" s="865"/>
    </row>
    <row r="48" spans="1:11" s="20" customFormat="1" ht="9.95" customHeight="1">
      <c r="A48" s="1101" t="s">
        <v>134</v>
      </c>
      <c r="B48" s="733"/>
      <c r="C48" s="733"/>
      <c r="D48" s="733"/>
      <c r="E48" s="733"/>
      <c r="F48" s="866"/>
      <c r="G48" s="733"/>
      <c r="H48" s="733"/>
      <c r="I48" s="733"/>
      <c r="J48" s="733"/>
      <c r="K48" s="848"/>
    </row>
    <row r="49" spans="1:11" s="20" customFormat="1" ht="18" customHeight="1">
      <c r="A49" s="1100" t="s">
        <v>3495</v>
      </c>
      <c r="B49" s="767"/>
      <c r="C49" s="767"/>
      <c r="D49" s="767"/>
      <c r="E49" s="767"/>
      <c r="F49" s="866"/>
      <c r="G49" s="733"/>
      <c r="H49" s="733"/>
      <c r="I49" s="733"/>
      <c r="J49" s="733"/>
      <c r="K49" s="848"/>
    </row>
    <row r="50" spans="1:11" s="20" customFormat="1" ht="18" customHeight="1">
      <c r="A50" s="1175" t="s">
        <v>78</v>
      </c>
      <c r="B50" s="1176"/>
      <c r="C50" s="1176"/>
      <c r="D50" s="1176"/>
      <c r="E50" s="1176"/>
      <c r="F50" s="866"/>
      <c r="G50" s="733"/>
      <c r="H50" s="733"/>
      <c r="I50" s="733"/>
      <c r="J50" s="733"/>
      <c r="K50" s="1186"/>
    </row>
    <row r="51" spans="1:11" s="20" customFormat="1" ht="18" customHeight="1">
      <c r="A51" s="1183" t="s">
        <v>3828</v>
      </c>
      <c r="B51" s="1184"/>
      <c r="C51" s="1184"/>
      <c r="D51" s="1184"/>
      <c r="E51" s="1184"/>
      <c r="F51" s="867"/>
      <c r="G51" s="868"/>
      <c r="H51" s="868"/>
      <c r="I51" s="868"/>
      <c r="J51" s="868"/>
      <c r="K51" s="869"/>
    </row>
    <row r="52" spans="1:11" s="20" customFormat="1" ht="5.1" customHeight="1" thickBot="1">
      <c r="A52" s="776"/>
      <c r="B52" s="1166"/>
      <c r="C52" s="1166"/>
      <c r="D52" s="1166"/>
      <c r="E52" s="1166"/>
      <c r="F52" s="1166"/>
      <c r="G52" s="1166"/>
      <c r="H52" s="1166"/>
      <c r="I52" s="1166"/>
      <c r="J52" s="1166"/>
      <c r="K52" s="1166"/>
    </row>
    <row r="53" spans="1:11" s="20" customFormat="1" ht="18" customHeight="1">
      <c r="A53" s="1163" t="s">
        <v>3496</v>
      </c>
      <c r="B53" s="1164"/>
      <c r="C53" s="1164"/>
      <c r="D53" s="1164"/>
      <c r="E53" s="1164"/>
      <c r="F53" s="1164"/>
      <c r="G53" s="1164"/>
      <c r="H53" s="1164"/>
      <c r="I53" s="1164"/>
      <c r="J53" s="1164"/>
      <c r="K53" s="1165"/>
    </row>
    <row r="54" spans="1:11" s="20" customFormat="1" ht="18" customHeight="1">
      <c r="A54" s="1161" t="s">
        <v>3497</v>
      </c>
      <c r="B54" s="1154"/>
      <c r="C54" s="1154"/>
      <c r="D54" s="1154"/>
      <c r="E54" s="1154"/>
      <c r="F54" s="1154"/>
      <c r="G54" s="1154"/>
      <c r="H54" s="1154"/>
      <c r="I54" s="1154"/>
      <c r="J54" s="1154"/>
      <c r="K54" s="1162"/>
    </row>
    <row r="55" spans="1:11" s="20" customFormat="1" ht="18" customHeight="1">
      <c r="A55" s="1161" t="s">
        <v>174</v>
      </c>
      <c r="B55" s="733"/>
      <c r="C55" s="733"/>
      <c r="D55" s="1155">
        <f>MAX(-'DAP3'!D48,-'DAP3'!D35,0)</f>
        <v>0</v>
      </c>
      <c r="E55" s="1156"/>
      <c r="F55" s="1156"/>
      <c r="G55" s="1156"/>
      <c r="H55" s="1156"/>
      <c r="I55" s="1156"/>
      <c r="J55" s="1157"/>
      <c r="K55" s="100" t="s">
        <v>36</v>
      </c>
    </row>
    <row r="56" spans="1:11" s="20" customFormat="1" ht="18" customHeight="1">
      <c r="A56" s="1161" t="s">
        <v>3498</v>
      </c>
      <c r="B56" s="733"/>
      <c r="C56" s="1177" t="str">
        <f>IF(D55=0," ",+CONCATENATE(ZAKL_DATA!B16," ",ZAKL_DATA!B17,", ",ZAKL_DATA!B18))</f>
        <v xml:space="preserve"> </v>
      </c>
      <c r="D56" s="1157"/>
      <c r="E56" s="1157"/>
      <c r="F56" s="1157"/>
      <c r="G56" s="1157"/>
      <c r="H56" s="1157"/>
      <c r="I56" s="1157"/>
      <c r="J56" s="1157"/>
      <c r="K56" s="100"/>
    </row>
    <row r="57" spans="1:11" s="20" customFormat="1" ht="18" customHeight="1">
      <c r="A57" s="99" t="s">
        <v>3754</v>
      </c>
      <c r="B57" s="73"/>
      <c r="C57" s="1156" t="str">
        <f>IF(D55=0," ",+CONCATENATE(ZAKL_DATA!B34))</f>
        <v xml:space="preserve"> </v>
      </c>
      <c r="D57" s="1157"/>
      <c r="E57" s="1157"/>
      <c r="F57" s="256" t="s">
        <v>229</v>
      </c>
      <c r="G57" s="1156" t="str">
        <f>IF(D55=0," ",+CONCATENATE(ZAKL_DATA!B32))</f>
        <v xml:space="preserve"> </v>
      </c>
      <c r="H57" s="1156"/>
      <c r="I57" s="1156"/>
      <c r="J57" s="1156"/>
      <c r="K57" s="100"/>
    </row>
    <row r="58" spans="1:11" s="20" customFormat="1" ht="18" customHeight="1">
      <c r="A58" s="99" t="s">
        <v>35</v>
      </c>
      <c r="B58" s="1153" t="str">
        <f>IF(D55=0," ",+CONCATENATE(ZAKL_DATA!B33))</f>
        <v xml:space="preserve"> </v>
      </c>
      <c r="C58" s="1153"/>
      <c r="D58" s="1153"/>
      <c r="E58" s="1154" t="s">
        <v>231</v>
      </c>
      <c r="F58" s="1154"/>
      <c r="G58" s="1154"/>
      <c r="H58" s="1158"/>
      <c r="I58" s="1158"/>
      <c r="J58" s="1158"/>
      <c r="K58" s="100"/>
    </row>
    <row r="59" spans="1:11" s="20" customFormat="1" ht="18" customHeight="1">
      <c r="A59" s="99" t="s">
        <v>206</v>
      </c>
      <c r="B59" s="1102" t="str">
        <f>IF(D55=0," ",+CONCATENATE('DAP1'!B28," ",'DAP1'!J28))</f>
        <v xml:space="preserve"> </v>
      </c>
      <c r="C59" s="1102"/>
      <c r="D59" s="1174" t="s">
        <v>3499</v>
      </c>
      <c r="E59" s="733"/>
      <c r="F59" s="733"/>
      <c r="G59" s="733"/>
      <c r="H59" s="1102" t="s">
        <v>202</v>
      </c>
      <c r="I59" s="1102"/>
      <c r="J59" s="1102"/>
      <c r="K59" s="100"/>
    </row>
    <row r="60" spans="1:11" s="20" customFormat="1" ht="36" customHeight="1" thickBot="1">
      <c r="A60" s="1167" t="str">
        <f>CONCATENATE(+'DAP1'!B31,", dne ")</f>
        <v xml:space="preserve">0, dne </v>
      </c>
      <c r="B60" s="1168"/>
      <c r="C60" s="529">
        <f ca="1">+TODAY()</f>
        <v>44994</v>
      </c>
      <c r="D60" s="1169" t="s">
        <v>3772</v>
      </c>
      <c r="E60" s="1170"/>
      <c r="F60" s="1171"/>
      <c r="G60" s="1172"/>
      <c r="H60" s="1172"/>
      <c r="I60" s="1172"/>
      <c r="J60" s="1172"/>
      <c r="K60" s="1173"/>
    </row>
    <row r="61" spans="1:11" ht="12.75">
      <c r="A61" s="1097" t="str">
        <f>+'DAP1'!A46:L46</f>
        <v>Formulář zpracovala ASPEKT HM, daňová, účetní a auditorská kancelář, www.danovapriznani.cz, business.center.cz</v>
      </c>
      <c r="B61" s="1098"/>
      <c r="C61" s="1098"/>
      <c r="D61" s="1098"/>
      <c r="E61" s="1098"/>
      <c r="F61" s="1098"/>
      <c r="G61" s="1098"/>
      <c r="H61" s="1098"/>
      <c r="I61" s="1098"/>
      <c r="J61" s="1098"/>
      <c r="K61" s="1099"/>
    </row>
    <row r="62" spans="1:11" ht="12.75" thickBot="1">
      <c r="A62" s="914">
        <v>4</v>
      </c>
      <c r="B62" s="914"/>
      <c r="C62" s="914"/>
      <c r="D62" s="914"/>
      <c r="E62" s="914"/>
      <c r="F62" s="914"/>
      <c r="G62" s="914"/>
      <c r="H62" s="914"/>
      <c r="I62" s="914"/>
      <c r="J62" s="914"/>
      <c r="K62" s="1096"/>
    </row>
  </sheetData>
  <sheetProtection algorithmName="SHA-512" hashValue="b9GTuMkB89uhGHvm+aOR9gHVj3pDBvwo+pLquXsQ0hKkCxRzpAZ1Y0ZA3mM7UoUjcmiH4XJMD1RkcV4fIP31xw==" saltValue="nSZBdJHsqjNearG1Y3fj+w==" spinCount="100000" sheet="1" objects="1" scenarios="1"/>
  <mergeCells count="79">
    <mergeCell ref="A7:J7"/>
    <mergeCell ref="A50:E50"/>
    <mergeCell ref="C57:E57"/>
    <mergeCell ref="C56:J56"/>
    <mergeCell ref="A32:K32"/>
    <mergeCell ref="A25:J25"/>
    <mergeCell ref="A21:J21"/>
    <mergeCell ref="A22:J22"/>
    <mergeCell ref="A27:K27"/>
    <mergeCell ref="A28:K28"/>
    <mergeCell ref="A31:K31"/>
    <mergeCell ref="C29:D29"/>
    <mergeCell ref="C30:D30"/>
    <mergeCell ref="A46:K46"/>
    <mergeCell ref="A51:E51"/>
    <mergeCell ref="F47:K51"/>
    <mergeCell ref="A60:B60"/>
    <mergeCell ref="D60:E60"/>
    <mergeCell ref="F60:K60"/>
    <mergeCell ref="B59:C59"/>
    <mergeCell ref="D59:G59"/>
    <mergeCell ref="G43:K44"/>
    <mergeCell ref="C42:F44"/>
    <mergeCell ref="B58:D58"/>
    <mergeCell ref="E58:G58"/>
    <mergeCell ref="D55:J55"/>
    <mergeCell ref="H58:J58"/>
    <mergeCell ref="A45:K45"/>
    <mergeCell ref="A54:K54"/>
    <mergeCell ref="A56:B56"/>
    <mergeCell ref="G57:J57"/>
    <mergeCell ref="A53:K53"/>
    <mergeCell ref="A52:K52"/>
    <mergeCell ref="A55:C55"/>
    <mergeCell ref="A8:J8"/>
    <mergeCell ref="A11:J11"/>
    <mergeCell ref="A26:J26"/>
    <mergeCell ref="A9:J9"/>
    <mergeCell ref="A13:J13"/>
    <mergeCell ref="A12:J12"/>
    <mergeCell ref="A10:J10"/>
    <mergeCell ref="A15:J15"/>
    <mergeCell ref="A16:J16"/>
    <mergeCell ref="A17:J17"/>
    <mergeCell ref="A23:J23"/>
    <mergeCell ref="A24:J24"/>
    <mergeCell ref="A14:J14"/>
    <mergeCell ref="A1:K1"/>
    <mergeCell ref="A2:K2"/>
    <mergeCell ref="A3:J3"/>
    <mergeCell ref="A4:J4"/>
    <mergeCell ref="A39:K39"/>
    <mergeCell ref="A33:K33"/>
    <mergeCell ref="A34:K34"/>
    <mergeCell ref="A35:K35"/>
    <mergeCell ref="A36:K36"/>
    <mergeCell ref="A38:K38"/>
    <mergeCell ref="A37:K37"/>
    <mergeCell ref="A30:B30"/>
    <mergeCell ref="E30:K30"/>
    <mergeCell ref="A29:B29"/>
    <mergeCell ref="A19:J19"/>
    <mergeCell ref="A20:J20"/>
    <mergeCell ref="A5:J5"/>
    <mergeCell ref="A6:J6"/>
    <mergeCell ref="A18:J18"/>
    <mergeCell ref="A62:K62"/>
    <mergeCell ref="A61:K61"/>
    <mergeCell ref="A49:E49"/>
    <mergeCell ref="A47:E47"/>
    <mergeCell ref="A48:E48"/>
    <mergeCell ref="H59:J59"/>
    <mergeCell ref="E29:K29"/>
    <mergeCell ref="G42:K42"/>
    <mergeCell ref="A42:B42"/>
    <mergeCell ref="A40:K40"/>
    <mergeCell ref="A41:K41"/>
    <mergeCell ref="A44:B44"/>
    <mergeCell ref="A43:B43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A4" sqref="A4:C4"/>
    </sheetView>
  </sheetViews>
  <sheetFormatPr defaultColWidth="9.14428571428571" defaultRowHeight="12.75"/>
  <cols>
    <col min="1" max="1" width="37.1428571428571" style="43" customWidth="1"/>
    <col min="2" max="3" width="29.8571428571429" style="43" customWidth="1"/>
    <col min="4" max="16384" width="9.14285714285714" style="43"/>
  </cols>
  <sheetData>
    <row r="1" spans="1:3" ht="12.75">
      <c r="A1" s="1187" t="s">
        <v>3543</v>
      </c>
      <c r="B1" s="1187"/>
      <c r="C1" s="1187"/>
    </row>
    <row r="2" spans="1:5" ht="18">
      <c r="A2" s="1192" t="s">
        <v>242</v>
      </c>
      <c r="B2" s="1192"/>
      <c r="C2" s="1192"/>
      <c r="D2" s="44"/>
      <c r="E2" s="44"/>
    </row>
    <row r="3" spans="1:5" ht="15.75">
      <c r="A3" s="1193" t="s">
        <v>3936</v>
      </c>
      <c r="B3" s="1193"/>
      <c r="C3" s="1193"/>
      <c r="D3" s="44"/>
      <c r="E3" s="44"/>
    </row>
    <row r="4" spans="1:5" ht="12.75">
      <c r="A4" s="1194"/>
      <c r="B4" s="1194"/>
      <c r="C4" s="1194"/>
      <c r="D4" s="44"/>
      <c r="E4" s="44"/>
    </row>
    <row r="5" spans="1:5" ht="16.5" thickBot="1">
      <c r="A5" s="45" t="s">
        <v>8</v>
      </c>
      <c r="B5" s="1189" t="str">
        <f>+CONCATENATE(ZAKL_DATA!B5," ",ZAKL_DATA!B4," ",ZAKL_DATA!B7)</f>
        <v xml:space="preserve">  </v>
      </c>
      <c r="C5" s="1190"/>
      <c r="D5" s="44"/>
      <c r="E5" s="44"/>
    </row>
    <row r="6" spans="1:5" ht="15.95" customHeight="1" thickBot="1">
      <c r="A6" s="46" t="s">
        <v>9</v>
      </c>
      <c r="B6" s="47" t="s">
        <v>10</v>
      </c>
      <c r="C6" s="48" t="s">
        <v>11</v>
      </c>
      <c r="D6" s="44"/>
      <c r="E6" s="44"/>
    </row>
    <row r="7" spans="1:5" ht="15.95" customHeight="1">
      <c r="A7" s="49" t="s">
        <v>12</v>
      </c>
      <c r="B7" s="140">
        <v>0</v>
      </c>
      <c r="C7" s="141">
        <v>0</v>
      </c>
      <c r="D7" s="44"/>
      <c r="E7" s="44"/>
    </row>
    <row r="8" spans="1:5" ht="15.95" customHeight="1">
      <c r="A8" s="50" t="s">
        <v>101</v>
      </c>
      <c r="B8" s="142">
        <v>0</v>
      </c>
      <c r="C8" s="143">
        <v>0</v>
      </c>
      <c r="D8" s="44"/>
      <c r="E8" s="44"/>
    </row>
    <row r="9" spans="1:5" ht="15.95" customHeight="1">
      <c r="A9" s="50" t="s">
        <v>308</v>
      </c>
      <c r="B9" s="142">
        <v>0</v>
      </c>
      <c r="C9" s="143">
        <v>0</v>
      </c>
      <c r="D9" s="44"/>
      <c r="E9" s="44"/>
    </row>
    <row r="10" spans="1:5" ht="15.95" customHeight="1">
      <c r="A10" s="50" t="s">
        <v>311</v>
      </c>
      <c r="B10" s="142">
        <v>0</v>
      </c>
      <c r="C10" s="143">
        <v>0</v>
      </c>
      <c r="D10" s="44"/>
      <c r="E10" s="44"/>
    </row>
    <row r="11" spans="1:5" ht="15.95" customHeight="1">
      <c r="A11" s="50" t="s">
        <v>102</v>
      </c>
      <c r="B11" s="142">
        <v>0</v>
      </c>
      <c r="C11" s="143">
        <v>0</v>
      </c>
      <c r="D11" s="44"/>
      <c r="E11" s="44"/>
    </row>
    <row r="12" spans="1:5" ht="15.95" customHeight="1">
      <c r="A12" s="50" t="s">
        <v>143</v>
      </c>
      <c r="B12" s="142">
        <v>0</v>
      </c>
      <c r="C12" s="143">
        <v>0</v>
      </c>
      <c r="D12" s="44"/>
      <c r="E12" s="44"/>
    </row>
    <row r="13" spans="1:5" ht="15.95" customHeight="1">
      <c r="A13" s="50" t="s">
        <v>3544</v>
      </c>
      <c r="B13" s="142">
        <v>0</v>
      </c>
      <c r="C13" s="143">
        <v>0</v>
      </c>
      <c r="D13" s="44"/>
      <c r="E13" s="44"/>
    </row>
    <row r="14" spans="1:5" ht="15.95" customHeight="1">
      <c r="A14" s="50" t="s">
        <v>3545</v>
      </c>
      <c r="B14" s="142">
        <v>0</v>
      </c>
      <c r="C14" s="143">
        <v>0</v>
      </c>
      <c r="D14" s="44"/>
      <c r="E14" s="44"/>
    </row>
    <row r="15" spans="1:5" ht="15.95" customHeight="1">
      <c r="A15" s="50" t="s">
        <v>13</v>
      </c>
      <c r="B15" s="142">
        <v>0</v>
      </c>
      <c r="C15" s="143">
        <v>0</v>
      </c>
      <c r="D15" s="44"/>
      <c r="E15" s="44"/>
    </row>
    <row r="16" spans="1:5" ht="15.95" customHeight="1">
      <c r="A16" s="51" t="s">
        <v>14</v>
      </c>
      <c r="B16" s="144">
        <f>SUM(B7:B15)</f>
        <v>0</v>
      </c>
      <c r="C16" s="145">
        <f>SUM(C7:C15)</f>
        <v>0</v>
      </c>
      <c r="D16" s="44"/>
      <c r="E16" s="44"/>
    </row>
    <row r="17" spans="1:5" ht="15.95" customHeight="1" thickBot="1">
      <c r="A17" s="52" t="s">
        <v>15</v>
      </c>
      <c r="B17" s="146">
        <f>SUM(B7:B16)</f>
        <v>0</v>
      </c>
      <c r="C17" s="147">
        <f>SUM(C7:C16)</f>
        <v>0</v>
      </c>
      <c r="D17" s="44"/>
      <c r="E17" s="44"/>
    </row>
    <row r="18" spans="1:5" ht="15.95" customHeight="1" thickBot="1">
      <c r="A18" s="53" t="s">
        <v>16</v>
      </c>
      <c r="B18" s="148"/>
      <c r="C18" s="149"/>
      <c r="D18" s="44"/>
      <c r="E18" s="44"/>
    </row>
    <row r="19" spans="1:5" ht="15.95" customHeight="1">
      <c r="A19" s="49" t="s">
        <v>3546</v>
      </c>
      <c r="B19" s="140">
        <v>0</v>
      </c>
      <c r="C19" s="141">
        <v>0</v>
      </c>
      <c r="D19" s="44"/>
      <c r="E19" s="44"/>
    </row>
    <row r="20" spans="1:5" ht="15.95" customHeight="1">
      <c r="A20" s="50" t="s">
        <v>3547</v>
      </c>
      <c r="B20" s="142">
        <v>0</v>
      </c>
      <c r="C20" s="143">
        <v>0</v>
      </c>
      <c r="D20" s="44"/>
      <c r="E20" s="44"/>
    </row>
    <row r="21" spans="1:5" ht="15.95" customHeight="1">
      <c r="A21" s="50" t="s">
        <v>17</v>
      </c>
      <c r="B21" s="142">
        <v>0</v>
      </c>
      <c r="C21" s="143">
        <v>0</v>
      </c>
      <c r="D21" s="44"/>
      <c r="E21" s="44"/>
    </row>
    <row r="22" spans="1:5" ht="15.95" customHeight="1">
      <c r="A22" s="50" t="s">
        <v>312</v>
      </c>
      <c r="B22" s="142">
        <v>0</v>
      </c>
      <c r="C22" s="143">
        <v>0</v>
      </c>
      <c r="D22" s="44"/>
      <c r="E22" s="44"/>
    </row>
    <row r="23" spans="1:5" ht="15.95" customHeight="1">
      <c r="A23" s="51" t="s">
        <v>18</v>
      </c>
      <c r="B23" s="144">
        <f>SUM(B19:B22)</f>
        <v>0</v>
      </c>
      <c r="C23" s="145">
        <f>SUM(C19:C22)</f>
        <v>0</v>
      </c>
      <c r="D23" s="44"/>
      <c r="E23" s="44"/>
    </row>
    <row r="24" spans="1:5" ht="15.95" customHeight="1">
      <c r="A24" s="51" t="s">
        <v>3548</v>
      </c>
      <c r="B24" s="144">
        <f>B16-B23</f>
        <v>0</v>
      </c>
      <c r="C24" s="145">
        <f>C16-C23</f>
        <v>0</v>
      </c>
      <c r="D24" s="44"/>
      <c r="E24" s="44"/>
    </row>
    <row r="25" spans="1:5" ht="15.95" customHeight="1" thickBot="1">
      <c r="A25" s="52" t="s">
        <v>15</v>
      </c>
      <c r="B25" s="146">
        <f>SUM(B19:B24)</f>
        <v>0</v>
      </c>
      <c r="C25" s="147">
        <f>SUM(C19:C24)</f>
        <v>0</v>
      </c>
      <c r="D25" s="44"/>
      <c r="E25" s="44"/>
    </row>
    <row r="26" spans="1:5" ht="15.95" customHeight="1">
      <c r="A26" s="1195"/>
      <c r="B26" s="780"/>
      <c r="C26" s="780"/>
      <c r="D26" s="44"/>
      <c r="E26" s="44"/>
    </row>
    <row r="27" spans="1:5" ht="15.95" customHeight="1" thickBot="1">
      <c r="A27" s="1191" t="s">
        <v>19</v>
      </c>
      <c r="B27" s="796"/>
      <c r="C27" s="796"/>
      <c r="D27" s="44"/>
      <c r="E27" s="44"/>
    </row>
    <row r="28" spans="1:3" ht="15.95" customHeight="1" thickBot="1">
      <c r="A28" s="46" t="s">
        <v>146</v>
      </c>
      <c r="B28" s="54"/>
      <c r="C28" s="55" t="s">
        <v>11</v>
      </c>
    </row>
    <row r="29" spans="1:3" ht="15.95" customHeight="1">
      <c r="A29" s="49" t="s">
        <v>20</v>
      </c>
      <c r="B29" s="56"/>
      <c r="C29" s="150">
        <v>0</v>
      </c>
    </row>
    <row r="30" spans="1:3" ht="15.95" customHeight="1">
      <c r="A30" s="50" t="s">
        <v>21</v>
      </c>
      <c r="B30" s="57"/>
      <c r="C30" s="151">
        <v>0</v>
      </c>
    </row>
    <row r="31" spans="1:3" ht="15.95" customHeight="1">
      <c r="A31" s="50" t="s">
        <v>22</v>
      </c>
      <c r="B31" s="57"/>
      <c r="C31" s="151">
        <v>0</v>
      </c>
    </row>
    <row r="32" spans="1:3" ht="15.95" customHeight="1">
      <c r="A32" s="60" t="s">
        <v>3549</v>
      </c>
      <c r="B32" s="57"/>
      <c r="C32" s="151">
        <v>0</v>
      </c>
    </row>
    <row r="33" spans="1:3" ht="15.95" customHeight="1">
      <c r="A33" s="50" t="s">
        <v>23</v>
      </c>
      <c r="B33" s="57"/>
      <c r="C33" s="151">
        <v>0</v>
      </c>
    </row>
    <row r="34" spans="1:3" ht="15.95" customHeight="1">
      <c r="A34" s="62" t="s">
        <v>24</v>
      </c>
      <c r="B34" s="61"/>
      <c r="C34" s="152">
        <f>+C29+C30+C31+C33</f>
        <v>0</v>
      </c>
    </row>
    <row r="35" spans="1:3" ht="15.95" customHeight="1" thickBot="1">
      <c r="A35" s="52" t="s">
        <v>15</v>
      </c>
      <c r="B35" s="58"/>
      <c r="C35" s="153">
        <f>SUM(C29:C33)</f>
        <v>0</v>
      </c>
    </row>
    <row r="36" spans="1:3" ht="15.95" customHeight="1" thickBot="1">
      <c r="A36" s="53" t="s">
        <v>147</v>
      </c>
      <c r="B36" s="59"/>
      <c r="C36" s="154"/>
    </row>
    <row r="37" spans="1:3" ht="15.95" customHeight="1">
      <c r="A37" s="49" t="s">
        <v>25</v>
      </c>
      <c r="B37" s="56"/>
      <c r="C37" s="150">
        <v>0</v>
      </c>
    </row>
    <row r="38" spans="1:3" ht="15.95" customHeight="1">
      <c r="A38" s="50" t="s">
        <v>26</v>
      </c>
      <c r="B38" s="57"/>
      <c r="C38" s="151">
        <v>0</v>
      </c>
    </row>
    <row r="39" spans="1:3" ht="15.95" customHeight="1">
      <c r="A39" s="50" t="s">
        <v>27</v>
      </c>
      <c r="B39" s="57"/>
      <c r="C39" s="151">
        <v>0</v>
      </c>
    </row>
    <row r="40" spans="1:3" ht="15.95" customHeight="1">
      <c r="A40" s="50" t="s">
        <v>331</v>
      </c>
      <c r="B40" s="57"/>
      <c r="C40" s="151">
        <v>0</v>
      </c>
    </row>
    <row r="41" spans="1:3" ht="15.95" customHeight="1">
      <c r="A41" s="50" t="s">
        <v>28</v>
      </c>
      <c r="B41" s="57"/>
      <c r="C41" s="151">
        <v>0</v>
      </c>
    </row>
    <row r="42" spans="1:3" ht="15.95" customHeight="1">
      <c r="A42" s="50" t="s">
        <v>29</v>
      </c>
      <c r="B42" s="57"/>
      <c r="C42" s="151">
        <v>0</v>
      </c>
    </row>
    <row r="43" spans="1:3" ht="15.95" customHeight="1">
      <c r="A43" s="60" t="s">
        <v>3550</v>
      </c>
      <c r="B43" s="57"/>
      <c r="C43" s="151">
        <v>0</v>
      </c>
    </row>
    <row r="44" spans="1:3" ht="15.95" customHeight="1">
      <c r="A44" s="60" t="s">
        <v>3551</v>
      </c>
      <c r="B44" s="57"/>
      <c r="C44" s="151">
        <v>0</v>
      </c>
    </row>
    <row r="45" spans="1:3" ht="15.95" customHeight="1">
      <c r="A45" s="60" t="s">
        <v>3552</v>
      </c>
      <c r="B45" s="57"/>
      <c r="C45" s="151">
        <v>0</v>
      </c>
    </row>
    <row r="46" spans="1:3" ht="15.95" customHeight="1">
      <c r="A46" s="62" t="s">
        <v>30</v>
      </c>
      <c r="B46" s="61"/>
      <c r="C46" s="152">
        <f>+SUM(C37:C42)</f>
        <v>0</v>
      </c>
    </row>
    <row r="47" spans="1:3" ht="15.95" customHeight="1">
      <c r="A47" s="62" t="s">
        <v>112</v>
      </c>
      <c r="B47" s="61"/>
      <c r="C47" s="152">
        <f>+C34-C46</f>
        <v>0</v>
      </c>
    </row>
    <row r="48" spans="1:3" ht="15.95" customHeight="1" thickBot="1">
      <c r="A48" s="52" t="s">
        <v>15</v>
      </c>
      <c r="B48" s="58"/>
      <c r="C48" s="153">
        <f>SUM(C37:C45)</f>
        <v>0</v>
      </c>
    </row>
    <row r="49" spans="1:3" ht="12.75">
      <c r="A49" s="1188" t="str">
        <f>+'DAP1'!A46:L46</f>
        <v>Formulář zpracovala ASPEKT HM, daňová, účetní a auditorská kancelář, www.danovapriznani.cz, business.center.cz</v>
      </c>
      <c r="B49" s="991"/>
      <c r="C49" s="991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A2" sqref="A2:G2"/>
    </sheetView>
  </sheetViews>
  <sheetFormatPr defaultColWidth="9.14428571428571" defaultRowHeight="12.75"/>
  <cols>
    <col min="1" max="1" width="3.57142857142857" customWidth="1"/>
    <col min="2" max="2" width="15.7142857142857" customWidth="1"/>
    <col min="3" max="4" width="8.71428571428571" customWidth="1"/>
    <col min="5" max="5" width="10.7142857142857" customWidth="1"/>
    <col min="6" max="6" width="7.71428571428571" customWidth="1"/>
    <col min="7" max="7" width="8.71428571428571" customWidth="1"/>
    <col min="8" max="8" width="9.57142857142857" customWidth="1"/>
    <col min="9" max="11" width="8.71428571428571" customWidth="1"/>
    <col min="12" max="22" width="9.14285714285714" style="2"/>
    <col min="23" max="23" width="11.4285714285714" style="2" bestFit="1" customWidth="1"/>
    <col min="24" max="50" width="9.14285714285714" style="2"/>
  </cols>
  <sheetData>
    <row r="1" spans="1:11" ht="18" customHeight="1" thickBot="1">
      <c r="A1" s="1282" t="s">
        <v>299</v>
      </c>
      <c r="B1" s="1283"/>
      <c r="C1" s="1283"/>
      <c r="D1" s="1283"/>
      <c r="E1" s="1283"/>
      <c r="F1" s="1283"/>
      <c r="G1" s="1284"/>
      <c r="H1" s="248" t="s">
        <v>37</v>
      </c>
      <c r="I1" s="1269" t="str">
        <f>'DAP1'!A9</f>
        <v/>
      </c>
      <c r="J1" s="1270"/>
      <c r="K1" s="982"/>
    </row>
    <row r="2" spans="1:11" ht="26.25" customHeight="1">
      <c r="A2" s="1281" t="s">
        <v>3938</v>
      </c>
      <c r="B2" s="1281"/>
      <c r="C2" s="1281"/>
      <c r="D2" s="1281"/>
      <c r="E2" s="1281"/>
      <c r="F2" s="1281"/>
      <c r="G2" s="733"/>
      <c r="H2" s="1265"/>
      <c r="I2" s="1265"/>
      <c r="J2" s="1265"/>
      <c r="K2" s="1265"/>
    </row>
    <row r="3" spans="1:11" ht="36" customHeight="1">
      <c r="A3" s="1272" t="s">
        <v>171</v>
      </c>
      <c r="B3" s="1273"/>
      <c r="C3" s="1273"/>
      <c r="D3" s="1273"/>
      <c r="E3" s="1273"/>
      <c r="F3" s="1273"/>
      <c r="G3" s="1273"/>
      <c r="H3" s="1273"/>
      <c r="I3" s="1273"/>
      <c r="J3" s="1273"/>
      <c r="K3" s="1273"/>
    </row>
    <row r="4" spans="1:11" ht="15.95" customHeight="1">
      <c r="A4" s="1285" t="s">
        <v>3500</v>
      </c>
      <c r="B4" s="733"/>
      <c r="C4" s="733"/>
      <c r="D4" s="733"/>
      <c r="E4" s="733"/>
      <c r="F4" s="733"/>
      <c r="G4" s="733"/>
      <c r="H4" s="733"/>
      <c r="I4" s="733"/>
      <c r="J4" s="733"/>
      <c r="K4" s="733"/>
    </row>
    <row r="5" spans="1:11" ht="15.95" customHeight="1">
      <c r="A5" s="1179" t="s">
        <v>3501</v>
      </c>
      <c r="B5" s="1286"/>
      <c r="C5" s="1286"/>
      <c r="D5" s="1286"/>
      <c r="E5" s="1286"/>
      <c r="F5" s="1286"/>
      <c r="G5" s="1286"/>
      <c r="H5" s="1286"/>
      <c r="I5" s="1286"/>
      <c r="J5" s="1286"/>
      <c r="K5" s="1286"/>
    </row>
    <row r="6" spans="1:11" ht="9.95" customHeight="1">
      <c r="A6" s="1287" t="s">
        <v>263</v>
      </c>
      <c r="B6" s="1288"/>
      <c r="C6" s="1288"/>
      <c r="D6" s="1288"/>
      <c r="E6" s="1288"/>
      <c r="F6" s="1288"/>
      <c r="G6" s="1288"/>
      <c r="H6" s="1288"/>
      <c r="I6" s="1288"/>
      <c r="J6" s="1288"/>
      <c r="K6" s="1288"/>
    </row>
    <row r="7" spans="1:11" ht="8.1" customHeight="1" thickBot="1">
      <c r="A7" s="1287"/>
      <c r="B7" s="1288"/>
      <c r="C7" s="1288"/>
      <c r="D7" s="1288"/>
      <c r="E7" s="1288"/>
      <c r="F7" s="1288"/>
      <c r="G7" s="1288"/>
      <c r="H7" s="1288"/>
      <c r="I7" s="1288"/>
      <c r="J7" s="1288"/>
      <c r="K7" s="1288"/>
    </row>
    <row r="8" spans="1:50" s="103" customFormat="1" ht="24" customHeight="1" thickBot="1">
      <c r="A8" s="1268" t="s">
        <v>207</v>
      </c>
      <c r="B8" s="1271"/>
      <c r="C8" s="88"/>
      <c r="D8" s="101"/>
      <c r="E8" s="1268" t="s">
        <v>243</v>
      </c>
      <c r="F8" s="1274"/>
      <c r="G8" s="88" t="s">
        <v>258</v>
      </c>
      <c r="H8" s="101"/>
      <c r="I8" s="1268" t="s">
        <v>304</v>
      </c>
      <c r="J8" s="979"/>
      <c r="K8" s="88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</row>
    <row r="9" spans="1:50" s="103" customFormat="1" ht="8.1" customHeight="1" thickBot="1">
      <c r="A9" s="849"/>
      <c r="B9" s="849"/>
      <c r="C9" s="849"/>
      <c r="D9" s="849"/>
      <c r="E9" s="849"/>
      <c r="F9" s="849"/>
      <c r="G9" s="849"/>
      <c r="H9" s="849"/>
      <c r="I9" s="849"/>
      <c r="J9" s="849"/>
      <c r="K9" s="849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</row>
    <row r="10" spans="1:11" ht="12" customHeight="1">
      <c r="A10" s="1275"/>
      <c r="B10" s="1276"/>
      <c r="C10" s="1276"/>
      <c r="D10" s="1276"/>
      <c r="E10" s="1277"/>
      <c r="F10" s="1278" t="s">
        <v>149</v>
      </c>
      <c r="G10" s="1279"/>
      <c r="H10" s="1280"/>
      <c r="I10" s="1266" t="s">
        <v>157</v>
      </c>
      <c r="J10" s="1267"/>
      <c r="K10" s="920"/>
    </row>
    <row r="11" spans="1:11" ht="18" customHeight="1">
      <c r="A11" s="18">
        <v>101</v>
      </c>
      <c r="B11" s="949" t="s">
        <v>264</v>
      </c>
      <c r="C11" s="949"/>
      <c r="D11" s="949"/>
      <c r="E11" s="1034"/>
      <c r="F11" s="1229">
        <f>+CEILING(ZAV!C34,1)-ZAV!C32</f>
        <v>0</v>
      </c>
      <c r="G11" s="1230"/>
      <c r="H11" s="1231"/>
      <c r="I11" s="1235"/>
      <c r="J11" s="1236"/>
      <c r="K11" s="1237"/>
    </row>
    <row r="12" spans="1:11" ht="18" customHeight="1">
      <c r="A12" s="18">
        <v>102</v>
      </c>
      <c r="B12" s="949" t="s">
        <v>265</v>
      </c>
      <c r="C12" s="949"/>
      <c r="D12" s="949"/>
      <c r="E12" s="1034"/>
      <c r="F12" s="1229">
        <f>+IF(OR(EXACT(K8,"X"),EXACT(K8,"x")),FLOOR(E30*IF(E30&gt;1,'1Př1'!F11,MIN(2000000,'1Př1'!F11)),1),FLOOR(ZAV!C46,1))</f>
        <v>0</v>
      </c>
      <c r="G12" s="1230"/>
      <c r="H12" s="1231"/>
      <c r="I12" s="1235"/>
      <c r="J12" s="1236"/>
      <c r="K12" s="1237"/>
    </row>
    <row r="13" spans="1:11" ht="18" customHeight="1">
      <c r="A13" s="18">
        <v>103</v>
      </c>
      <c r="B13" s="949" t="s">
        <v>173</v>
      </c>
      <c r="C13" s="949"/>
      <c r="D13" s="949"/>
      <c r="E13" s="1034"/>
      <c r="F13" s="1255"/>
      <c r="G13" s="1256"/>
      <c r="H13" s="1257"/>
      <c r="I13" s="1235"/>
      <c r="J13" s="1236"/>
      <c r="K13" s="1237"/>
    </row>
    <row r="14" spans="1:11" ht="24" customHeight="1">
      <c r="A14" s="456">
        <v>104</v>
      </c>
      <c r="B14" s="902" t="s">
        <v>3502</v>
      </c>
      <c r="C14" s="903"/>
      <c r="D14" s="903"/>
      <c r="E14" s="904"/>
      <c r="F14" s="1229">
        <f>+F11-F12</f>
        <v>0</v>
      </c>
      <c r="G14" s="1230"/>
      <c r="H14" s="1231"/>
      <c r="I14" s="1235"/>
      <c r="J14" s="1236"/>
      <c r="K14" s="1237"/>
    </row>
    <row r="15" spans="1:11" ht="45" customHeight="1">
      <c r="A15" s="15">
        <v>105</v>
      </c>
      <c r="B15" s="902" t="s">
        <v>39</v>
      </c>
      <c r="C15" s="902"/>
      <c r="D15" s="902"/>
      <c r="E15" s="1081"/>
      <c r="F15" s="1262">
        <f>+SUM('1Př2'!F20:G23)</f>
        <v>0</v>
      </c>
      <c r="G15" s="1263"/>
      <c r="H15" s="1264"/>
      <c r="I15" s="1235"/>
      <c r="J15" s="1236"/>
      <c r="K15" s="1237"/>
    </row>
    <row r="16" spans="1:11" ht="45" customHeight="1">
      <c r="A16" s="457">
        <v>106</v>
      </c>
      <c r="B16" s="902" t="s">
        <v>38</v>
      </c>
      <c r="C16" s="902"/>
      <c r="D16" s="902"/>
      <c r="E16" s="1081"/>
      <c r="F16" s="1262">
        <f>+SUM('1Př2'!F26:G29)</f>
        <v>0</v>
      </c>
      <c r="G16" s="1263"/>
      <c r="H16" s="1264"/>
      <c r="I16" s="1235"/>
      <c r="J16" s="1236"/>
      <c r="K16" s="1237"/>
    </row>
    <row r="17" spans="1:11" ht="48" customHeight="1">
      <c r="A17" s="15">
        <v>107</v>
      </c>
      <c r="B17" s="902" t="s">
        <v>3506</v>
      </c>
      <c r="C17" s="903"/>
      <c r="D17" s="903"/>
      <c r="E17" s="904"/>
      <c r="F17" s="1229">
        <f>FLOOR(+F11*('1Př2'!G39+'1Př2'!G40),1)</f>
        <v>0</v>
      </c>
      <c r="G17" s="1230"/>
      <c r="H17" s="1231"/>
      <c r="I17" s="1235"/>
      <c r="J17" s="1236"/>
      <c r="K17" s="1237"/>
    </row>
    <row r="18" spans="1:50" s="1" customFormat="1" ht="48" customHeight="1">
      <c r="A18" s="15">
        <v>108</v>
      </c>
      <c r="B18" s="1023" t="s">
        <v>3505</v>
      </c>
      <c r="C18" s="1242"/>
      <c r="D18" s="1242"/>
      <c r="E18" s="1243"/>
      <c r="F18" s="1229">
        <f>FLOOR(+F12*('1Př2'!G39+'1Př2'!G40),1)</f>
        <v>0</v>
      </c>
      <c r="G18" s="1230"/>
      <c r="H18" s="1231"/>
      <c r="I18" s="1235"/>
      <c r="J18" s="1236"/>
      <c r="K18" s="123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:50" s="1" customFormat="1" ht="48" customHeight="1">
      <c r="A19" s="15">
        <v>109</v>
      </c>
      <c r="B19" s="1023" t="s">
        <v>3503</v>
      </c>
      <c r="C19" s="1242"/>
      <c r="D19" s="1242"/>
      <c r="E19" s="1243"/>
      <c r="F19" s="1229">
        <v>0</v>
      </c>
      <c r="G19" s="1230"/>
      <c r="H19" s="1231"/>
      <c r="I19" s="1235"/>
      <c r="J19" s="1236"/>
      <c r="K19" s="1237"/>
      <c r="L19" s="6"/>
      <c r="M19" s="137" t="str">
        <f>+IF(F19-F20&gt;540000,"CHYBA"," ")</f>
        <v xml:space="preserve"> 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:50" s="1" customFormat="1" ht="48" customHeight="1">
      <c r="A20" s="15">
        <v>110</v>
      </c>
      <c r="B20" s="1023" t="s">
        <v>3504</v>
      </c>
      <c r="C20" s="1242"/>
      <c r="D20" s="1242"/>
      <c r="E20" s="1243"/>
      <c r="F20" s="1229">
        <v>0</v>
      </c>
      <c r="G20" s="1230"/>
      <c r="H20" s="1231"/>
      <c r="I20" s="1235"/>
      <c r="J20" s="1236"/>
      <c r="K20" s="12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:50" s="1" customFormat="1" ht="18" customHeight="1">
      <c r="A21" s="15">
        <v>111</v>
      </c>
      <c r="B21" s="949" t="s">
        <v>173</v>
      </c>
      <c r="C21" s="949"/>
      <c r="D21" s="949"/>
      <c r="E21" s="1034"/>
      <c r="F21" s="1255"/>
      <c r="G21" s="1256"/>
      <c r="H21" s="1257"/>
      <c r="I21" s="1235"/>
      <c r="J21" s="1236"/>
      <c r="K21" s="123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s="1" customFormat="1" ht="36" customHeight="1">
      <c r="A22" s="15">
        <v>112</v>
      </c>
      <c r="B22" s="1023" t="s">
        <v>172</v>
      </c>
      <c r="C22" s="1242"/>
      <c r="D22" s="1242"/>
      <c r="E22" s="1243"/>
      <c r="F22" s="1083">
        <v>0</v>
      </c>
      <c r="G22" s="1230"/>
      <c r="H22" s="1231"/>
      <c r="I22" s="1238"/>
      <c r="J22" s="1236"/>
      <c r="K22" s="123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s="1" customFormat="1" ht="24" customHeight="1" thickBot="1">
      <c r="A23" s="16">
        <v>113</v>
      </c>
      <c r="B23" s="1014" t="s">
        <v>3829</v>
      </c>
      <c r="C23" s="1244"/>
      <c r="D23" s="1244"/>
      <c r="E23" s="1245"/>
      <c r="F23" s="934">
        <f>+F14+F15-F16-F17+F18+F19-F20-F21+F22</f>
        <v>0</v>
      </c>
      <c r="G23" s="1258"/>
      <c r="H23" s="1259"/>
      <c r="I23" s="1239"/>
      <c r="J23" s="1240"/>
      <c r="K23" s="1241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:50" s="1" customFormat="1" ht="18" customHeight="1">
      <c r="A24" s="1250" t="s">
        <v>266</v>
      </c>
      <c r="B24" s="1251"/>
      <c r="C24" s="1251"/>
      <c r="D24" s="1251"/>
      <c r="E24" s="1251"/>
      <c r="F24" s="1251"/>
      <c r="G24" s="1251"/>
      <c r="H24" s="1251"/>
      <c r="I24" s="1251"/>
      <c r="J24" s="1251"/>
      <c r="K24" s="1251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:50" s="1" customFormat="1" ht="12.75" customHeight="1">
      <c r="A25" s="1220" t="s">
        <v>305</v>
      </c>
      <c r="B25" s="1252"/>
      <c r="C25" s="1252"/>
      <c r="D25" s="1252"/>
      <c r="E25" s="1252"/>
      <c r="F25" s="1252"/>
      <c r="G25" s="1252"/>
      <c r="H25" s="1252"/>
      <c r="I25" s="1252"/>
      <c r="J25" s="1252"/>
      <c r="K25" s="1252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0" s="1" customFormat="1" ht="12" customHeight="1" thickBot="1">
      <c r="A26" s="1253" t="s">
        <v>245</v>
      </c>
      <c r="B26" s="1136"/>
      <c r="C26" s="1136"/>
      <c r="D26" s="1136"/>
      <c r="E26" s="1253" t="s">
        <v>153</v>
      </c>
      <c r="F26" s="1254"/>
      <c r="G26" s="1136"/>
      <c r="H26" s="1136"/>
      <c r="I26" s="1224" t="s">
        <v>79</v>
      </c>
      <c r="J26" s="1224"/>
      <c r="K26" s="122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0" s="1" customFormat="1" ht="18" customHeight="1" thickBot="1">
      <c r="A27" s="1246">
        <v>0</v>
      </c>
      <c r="B27" s="1249"/>
      <c r="C27" s="1248"/>
      <c r="D27" s="136"/>
      <c r="E27" s="1246">
        <f>+CEILING(ZAV!C43,1)</f>
        <v>0</v>
      </c>
      <c r="F27" s="1247"/>
      <c r="G27" s="1248"/>
      <c r="H27" s="136"/>
      <c r="I27" s="1246">
        <v>0</v>
      </c>
      <c r="J27" s="1260"/>
      <c r="K27" s="1261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0" s="1" customFormat="1" ht="12" customHeight="1">
      <c r="A28" s="1220" t="s">
        <v>280</v>
      </c>
      <c r="B28" s="1221"/>
      <c r="C28" s="1221"/>
      <c r="D28" s="1221"/>
      <c r="E28" s="1222" t="s">
        <v>281</v>
      </c>
      <c r="F28" s="1220"/>
      <c r="G28" s="766"/>
      <c r="H28" s="766"/>
      <c r="I28" s="766"/>
      <c r="J28" s="766"/>
      <c r="K28" s="76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:50" s="1" customFormat="1" ht="12" customHeight="1" thickBot="1">
      <c r="A29" s="1224" t="s">
        <v>3507</v>
      </c>
      <c r="B29" s="1225"/>
      <c r="C29" s="1225"/>
      <c r="D29" s="1225"/>
      <c r="E29" s="1223"/>
      <c r="F29" s="1206" t="s">
        <v>146</v>
      </c>
      <c r="G29" s="1206"/>
      <c r="H29" s="1206" t="s">
        <v>147</v>
      </c>
      <c r="I29" s="1206"/>
      <c r="J29" s="1206" t="s">
        <v>175</v>
      </c>
      <c r="K29" s="120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:50" s="1" customFormat="1" ht="36" customHeight="1" thickBot="1">
      <c r="A30" s="1226" t="str">
        <f>CONCATENATE(+ZAKL_DATA!B29)</f>
        <v/>
      </c>
      <c r="B30" s="1227"/>
      <c r="C30" s="1227"/>
      <c r="D30" s="1228"/>
      <c r="E30" s="354">
        <v>0</v>
      </c>
      <c r="F30" s="1212">
        <f>+IF(E30=0,0,F11)</f>
        <v>0</v>
      </c>
      <c r="G30" s="1213"/>
      <c r="H30" s="1212">
        <f>+IF(E30=0,0,+F12+F13)</f>
        <v>0</v>
      </c>
      <c r="I30" s="1213"/>
      <c r="J30" s="1216"/>
      <c r="K30" s="121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:50" s="1" customFormat="1" ht="12" customHeight="1" thickBot="1">
      <c r="A31" s="765" t="s">
        <v>282</v>
      </c>
      <c r="B31" s="1209"/>
      <c r="C31" s="1209"/>
      <c r="D31" s="1209"/>
      <c r="E31" s="1209"/>
      <c r="F31" s="1209"/>
      <c r="G31" s="1209"/>
      <c r="H31" s="1209"/>
      <c r="I31" s="1209"/>
      <c r="J31" s="1209"/>
      <c r="K31" s="1209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:50" s="1" customFormat="1" ht="18" customHeight="1">
      <c r="A32" s="1218"/>
      <c r="B32" s="1219"/>
      <c r="C32" s="1219"/>
      <c r="D32" s="1219"/>
      <c r="E32" s="353">
        <v>0</v>
      </c>
      <c r="F32" s="1214">
        <v>0</v>
      </c>
      <c r="G32" s="1215"/>
      <c r="H32" s="1214">
        <v>0</v>
      </c>
      <c r="I32" s="1215"/>
      <c r="J32" s="1210"/>
      <c r="K32" s="121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:50" s="1" customFormat="1" ht="18" customHeight="1">
      <c r="A33" s="1207"/>
      <c r="B33" s="1208"/>
      <c r="C33" s="1208"/>
      <c r="D33" s="1208"/>
      <c r="E33" s="351">
        <v>0</v>
      </c>
      <c r="F33" s="1204">
        <v>0</v>
      </c>
      <c r="G33" s="1205"/>
      <c r="H33" s="1204">
        <v>0</v>
      </c>
      <c r="I33" s="1205"/>
      <c r="J33" s="1198"/>
      <c r="K33" s="1199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:50" s="1" customFormat="1" ht="18" customHeight="1">
      <c r="A34" s="1207"/>
      <c r="B34" s="1208"/>
      <c r="C34" s="1208"/>
      <c r="D34" s="1208"/>
      <c r="E34" s="351">
        <v>0</v>
      </c>
      <c r="F34" s="1204">
        <v>0</v>
      </c>
      <c r="G34" s="1205"/>
      <c r="H34" s="1204">
        <v>0</v>
      </c>
      <c r="I34" s="1205"/>
      <c r="J34" s="1198"/>
      <c r="K34" s="119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:50" s="1" customFormat="1" ht="18" customHeight="1" thickBot="1">
      <c r="A35" s="1196" t="s">
        <v>59</v>
      </c>
      <c r="B35" s="1197"/>
      <c r="C35" s="1197"/>
      <c r="D35" s="1197"/>
      <c r="E35" s="352"/>
      <c r="F35" s="1202">
        <f>SUM(F32:F34)+F30</f>
        <v>0</v>
      </c>
      <c r="G35" s="1203"/>
      <c r="H35" s="1202">
        <f>SUM(H32:H34)+H30</f>
        <v>0</v>
      </c>
      <c r="I35" s="1203"/>
      <c r="J35" s="1200"/>
      <c r="K35" s="120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:50" s="1" customFormat="1" ht="13.5" customHeight="1">
      <c r="A36" s="1233" t="str">
        <f>+'DAP1'!A46</f>
        <v>Formulář zpracovala ASPEKT HM, daňová, účetní a auditorská kancelář, www.danovapriznani.cz, business.center.cz</v>
      </c>
      <c r="B36" s="1233"/>
      <c r="C36" s="1233"/>
      <c r="D36" s="1233"/>
      <c r="E36" s="1233"/>
      <c r="F36" s="1233"/>
      <c r="G36" s="1233"/>
      <c r="H36" s="1233"/>
      <c r="I36" s="1233"/>
      <c r="J36" s="1233"/>
      <c r="K36" s="123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:50" s="1" customFormat="1" ht="9" customHeight="1">
      <c r="A37" s="1234" t="s">
        <v>3937</v>
      </c>
      <c r="B37" s="1234"/>
      <c r="C37" s="1234"/>
      <c r="D37" s="1234"/>
      <c r="E37" s="1234"/>
      <c r="F37" s="1234"/>
      <c r="G37" s="1234"/>
      <c r="H37" s="1234"/>
      <c r="I37" s="1234"/>
      <c r="J37" s="1234"/>
      <c r="K37" s="1234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:11" ht="13.5" customHeight="1">
      <c r="A38" s="1232" t="s">
        <v>300</v>
      </c>
      <c r="B38" s="1232"/>
      <c r="C38" s="1232"/>
      <c r="D38" s="1232"/>
      <c r="E38" s="1232"/>
      <c r="F38" s="1232"/>
      <c r="G38" s="1232"/>
      <c r="H38" s="1232"/>
      <c r="I38" s="1232"/>
      <c r="J38" s="1232"/>
      <c r="K38" s="1232"/>
    </row>
    <row r="39" s="2" customFormat="1" ht="12.75"/>
    <row r="40" s="2" customFormat="1" ht="12.75"/>
    <row r="41" s="2" customFormat="1" ht="12.75"/>
    <row r="42" s="2" customFormat="1" ht="12.75"/>
    <row r="43" s="2" customFormat="1" ht="12.75"/>
    <row r="44" s="2" customFormat="1" ht="12.75"/>
    <row r="45" s="2" customFormat="1" ht="12.75"/>
    <row r="46" s="2" customFormat="1" ht="12.75"/>
    <row r="47" s="2" customFormat="1" ht="12.75"/>
    <row r="48" s="2" customFormat="1" ht="12.75"/>
    <row r="49" s="2" customFormat="1" ht="12.75"/>
    <row r="50" s="2" customFormat="1" ht="12.75"/>
    <row r="51" s="2" customFormat="1" ht="12.75"/>
    <row r="52" s="2" customFormat="1" ht="12.75"/>
    <row r="53" s="2" customFormat="1" ht="12.75"/>
    <row r="54" s="2" customFormat="1" ht="12.75"/>
    <row r="55" s="2" customFormat="1" ht="12.75"/>
    <row r="56" s="2" customFormat="1" ht="12.75"/>
    <row r="57" s="2" customFormat="1" ht="12.75"/>
    <row r="58" s="2" customFormat="1" ht="12.75"/>
    <row r="59" s="2" customFormat="1" ht="12.75"/>
    <row r="60" s="2" customFormat="1" ht="12.75"/>
    <row r="61" s="2" customFormat="1" ht="12.75"/>
    <row r="62" s="2" customFormat="1" ht="12.75"/>
    <row r="63" s="2" customFormat="1" ht="12.75"/>
    <row r="64" s="2" customFormat="1" ht="12.75"/>
    <row r="65" s="2" customFormat="1" ht="12.75"/>
    <row r="66" s="2" customFormat="1" ht="12.75"/>
    <row r="67" s="2" customFormat="1" ht="12.75"/>
    <row r="68" s="2" customFormat="1" ht="12.75"/>
    <row r="69" s="2" customFormat="1" ht="12.75"/>
    <row r="70" s="2" customFormat="1" ht="12.75"/>
    <row r="71" s="2" customFormat="1" ht="12.75"/>
    <row r="72" s="2" customFormat="1" ht="12.75"/>
    <row r="73" s="2" customFormat="1" ht="12.75"/>
    <row r="74" s="2" customFormat="1" ht="12.75"/>
    <row r="75" s="2" customFormat="1" ht="12.75"/>
    <row r="76" s="2" customFormat="1" ht="12.75"/>
    <row r="77" s="2" customFormat="1" ht="12.75"/>
    <row r="78" s="2" customFormat="1" ht="12.75"/>
    <row r="79" s="2" customFormat="1" ht="12.75"/>
    <row r="80" s="2" customFormat="1" ht="12.75"/>
    <row r="81" s="2" customFormat="1" ht="12.75"/>
    <row r="82" s="2" customFormat="1" ht="12.75"/>
    <row r="83" s="2" customFormat="1" ht="12.75"/>
    <row r="84" s="2" customFormat="1" ht="12.75"/>
    <row r="85" s="2" customFormat="1" ht="12.75"/>
    <row r="86" s="2" customFormat="1" ht="12.75"/>
    <row r="87" s="2" customFormat="1" ht="12.75"/>
    <row r="88" s="2" customFormat="1" ht="12.75"/>
    <row r="89" s="2" customFormat="1" ht="12.75"/>
    <row r="90" s="2" customFormat="1" ht="12.75"/>
    <row r="91" s="2" customFormat="1" ht="12.75"/>
    <row r="92" s="2" customFormat="1" ht="12.75"/>
    <row r="93" s="2" customFormat="1" ht="12.75"/>
    <row r="94" s="2" customFormat="1" ht="12.75"/>
    <row r="95" s="2" customFormat="1" ht="12.75"/>
    <row r="96" s="2" customFormat="1" ht="12.75"/>
    <row r="97" s="2" customFormat="1" ht="12.75"/>
    <row r="98" s="2" customFormat="1" ht="12.75"/>
    <row r="99" s="2" customFormat="1" ht="12.75"/>
    <row r="100" s="2" customFormat="1" ht="12.75"/>
    <row r="101" s="2" customFormat="1" ht="12.75"/>
    <row r="102" s="2" customFormat="1" ht="12.75"/>
    <row r="103" s="2" customFormat="1" ht="12.75"/>
    <row r="104" s="2" customFormat="1" ht="12.75"/>
    <row r="105" s="2" customFormat="1" ht="12.75"/>
    <row r="106" s="2" customFormat="1" ht="12.75"/>
    <row r="107" s="2" customFormat="1" ht="12.75"/>
    <row r="108" s="2" customFormat="1" ht="12.75"/>
    <row r="109" s="2" customFormat="1" ht="12.75"/>
    <row r="110" s="2" customFormat="1" ht="12.75"/>
    <row r="111" s="2" customFormat="1" ht="12.75"/>
    <row r="112" s="2" customFormat="1" ht="12.75"/>
    <row r="113" s="2" customFormat="1" ht="12.75"/>
    <row r="114" s="2" customFormat="1" ht="12.75"/>
    <row r="115" s="2" customFormat="1" ht="12.75"/>
    <row r="116" s="2" customFormat="1" ht="12.75"/>
    <row r="117" s="2" customFormat="1" ht="12.75"/>
    <row r="118" s="2" customFormat="1" ht="12.75"/>
    <row r="119" s="2" customFormat="1" ht="12.75"/>
    <row r="120" s="2" customFormat="1" ht="12.75"/>
    <row r="121" s="2" customFormat="1" ht="12.75"/>
    <row r="122" s="2" customFormat="1" ht="12.75"/>
    <row r="123" s="2" customFormat="1" ht="12.75"/>
    <row r="124" s="2" customFormat="1" ht="12.75"/>
    <row r="125" s="2" customFormat="1" ht="12.75"/>
    <row r="126" s="2" customFormat="1" ht="12.75"/>
    <row r="127" s="2" customFormat="1" ht="12.75"/>
    <row r="128" s="2" customFormat="1" ht="12.75"/>
    <row r="129" s="2" customFormat="1" ht="12.75"/>
    <row r="130" s="2" customFormat="1" ht="12.75"/>
    <row r="131" s="2" customFormat="1" ht="12.75"/>
    <row r="132" s="2" customFormat="1" ht="12.75"/>
    <row r="133" s="2" customFormat="1" ht="12.75"/>
    <row r="134" s="2" customFormat="1" ht="12.75"/>
    <row r="135" s="2" customFormat="1" ht="12.75"/>
    <row r="136" s="2" customFormat="1" ht="12.75"/>
    <row r="137" s="2" customFormat="1" ht="12.75"/>
    <row r="138" s="2" customFormat="1" ht="12.75"/>
    <row r="139" s="2" customFormat="1" ht="12.75"/>
    <row r="140" s="2" customFormat="1" ht="12.75"/>
    <row r="141" s="2" customFormat="1" ht="12.75"/>
    <row r="142" s="2" customFormat="1" ht="12.75"/>
    <row r="143" s="2" customFormat="1" ht="12.75"/>
    <row r="144" s="2" customFormat="1" ht="12.75"/>
    <row r="145" s="2" customFormat="1" ht="12.75"/>
    <row r="146" s="2" customFormat="1" ht="12.75"/>
    <row r="147" s="2" customFormat="1" ht="12.75"/>
    <row r="148" s="2" customFormat="1" ht="12.75"/>
    <row r="149" s="2" customFormat="1" ht="12.75"/>
    <row r="150" s="2" customFormat="1" ht="12.75"/>
    <row r="151" s="2" customFormat="1" ht="12.75"/>
    <row r="152" s="2" customFormat="1" ht="12.75"/>
    <row r="153" s="2" customFormat="1" ht="12.75"/>
    <row r="154" s="2" customFormat="1" ht="12.75"/>
    <row r="155" s="2" customFormat="1" ht="12.75"/>
    <row r="156" s="2" customFormat="1" ht="12.75"/>
    <row r="157" s="2" customFormat="1" ht="12.75"/>
    <row r="158" s="2" customFormat="1" ht="12.75"/>
    <row r="159" s="2" customFormat="1" ht="12.75"/>
    <row r="160" s="2" customFormat="1" ht="12.75"/>
    <row r="161" s="2" customFormat="1" ht="12.75"/>
    <row r="162" s="2" customFormat="1" ht="12.75"/>
    <row r="163" s="2" customFormat="1" ht="12.75"/>
    <row r="164" s="2" customFormat="1" ht="12.75"/>
    <row r="165" s="2" customFormat="1" ht="12.75"/>
    <row r="166" s="2" customFormat="1" ht="12.75"/>
    <row r="167" s="2" customFormat="1" ht="12.75"/>
    <row r="168" s="2" customFormat="1" ht="12.75"/>
    <row r="169" s="2" customFormat="1" ht="12.75"/>
    <row r="170" s="2" customFormat="1" ht="12.75"/>
    <row r="171" s="2" customFormat="1" ht="12.75"/>
    <row r="172" s="2" customFormat="1" ht="12.75"/>
    <row r="173" s="2" customFormat="1" ht="12.75"/>
    <row r="174" s="2" customFormat="1" ht="12.75"/>
    <row r="175" s="2" customFormat="1" ht="12.75"/>
    <row r="176" s="2" customFormat="1" ht="12.75"/>
    <row r="177" s="2" customFormat="1" ht="12.75"/>
    <row r="178" s="2" customFormat="1" ht="12.75"/>
    <row r="179" s="2" customFormat="1" ht="12.75"/>
    <row r="180" s="2" customFormat="1" ht="12.75"/>
    <row r="181" s="2" customFormat="1" ht="12.75"/>
    <row r="182" s="2" customFormat="1" ht="12.75"/>
    <row r="183" s="2" customFormat="1" ht="12.75"/>
    <row r="184" s="2" customFormat="1" ht="12.75"/>
    <row r="185" s="2" customFormat="1" ht="12.75"/>
    <row r="186" s="2" customFormat="1" ht="12.75"/>
    <row r="187" s="2" customFormat="1" ht="12.75"/>
    <row r="188" s="2" customFormat="1" ht="12.75"/>
    <row r="189" s="2" customFormat="1" ht="12.75"/>
    <row r="190" s="2" customFormat="1" ht="12.75"/>
    <row r="191" s="2" customFormat="1" ht="12.75"/>
    <row r="192" s="2" customFormat="1" ht="12.75"/>
    <row r="193" s="2" customFormat="1" ht="12.75"/>
    <row r="194" s="2" customFormat="1" ht="12.75"/>
    <row r="195" s="2" customFormat="1" ht="12.75"/>
    <row r="196" s="2" customFormat="1" ht="12.75"/>
    <row r="197" s="2" customFormat="1" ht="12.75"/>
    <row r="198" s="2" customFormat="1" ht="12.75"/>
    <row r="199" s="2" customFormat="1" ht="12.75"/>
    <row r="200" s="2" customFormat="1" ht="12.75"/>
    <row r="201" s="2" customFormat="1" ht="12.75"/>
    <row r="202" s="2" customFormat="1" ht="12.75"/>
    <row r="203" s="2" customFormat="1" ht="12.75"/>
    <row r="204" s="2" customFormat="1" ht="12.75"/>
    <row r="205" s="2" customFormat="1" ht="12.75"/>
    <row r="206" s="2" customFormat="1" ht="12.75"/>
    <row r="207" s="2" customFormat="1" ht="12.75"/>
    <row r="208" s="2" customFormat="1" ht="12.75"/>
    <row r="209" s="2" customFormat="1" ht="12.75"/>
    <row r="210" s="2" customFormat="1" ht="12.75"/>
    <row r="211" s="2" customFormat="1" ht="12.75"/>
    <row r="212" s="2" customFormat="1" ht="12.75"/>
    <row r="213" s="2" customFormat="1" ht="12.75"/>
    <row r="214" s="2" customFormat="1" ht="12.75"/>
    <row r="215" s="2" customFormat="1" ht="12.75"/>
    <row r="216" s="2" customFormat="1" ht="12.75"/>
    <row r="217" s="2" customFormat="1" ht="12.75"/>
    <row r="218" s="2" customFormat="1" ht="12.75"/>
    <row r="219" s="2" customFormat="1" ht="12.75"/>
    <row r="220" s="2" customFormat="1" ht="12.75"/>
    <row r="221" s="2" customFormat="1" ht="12.75"/>
    <row r="222" s="2" customFormat="1" ht="12.75"/>
    <row r="223" s="2" customFormat="1" ht="12.75"/>
    <row r="224" s="2" customFormat="1" ht="12.75"/>
    <row r="225" s="2" customFormat="1" ht="12.75"/>
    <row r="226" s="2" customFormat="1" ht="12.75"/>
    <row r="227" s="2" customFormat="1" ht="12.75"/>
    <row r="228" s="2" customFormat="1" ht="12.75"/>
    <row r="229" s="2" customFormat="1" ht="12.75"/>
    <row r="230" s="2" customFormat="1" ht="12.75"/>
    <row r="231" s="2" customFormat="1" ht="12.75"/>
    <row r="232" s="2" customFormat="1" ht="12.75"/>
    <row r="233" s="2" customFormat="1" ht="12.75"/>
    <row r="234" s="2" customFormat="1" ht="12.75"/>
    <row r="235" s="2" customFormat="1" ht="12.75"/>
    <row r="236" s="2" customFormat="1" ht="12.75"/>
    <row r="237" s="2" customFormat="1" ht="12.75"/>
    <row r="238" s="2" customFormat="1" ht="12.75"/>
    <row r="239" s="2" customFormat="1" ht="12.75"/>
    <row r="240" s="2" customFormat="1" ht="12.75"/>
    <row r="241" s="2" customFormat="1" ht="12.75"/>
    <row r="242" s="2" customFormat="1" ht="12.75"/>
    <row r="243" s="2" customFormat="1" ht="12.75"/>
    <row r="244" s="2" customFormat="1" ht="12.75"/>
    <row r="245" s="2" customFormat="1" ht="12.75"/>
    <row r="246" s="2" customFormat="1" ht="12.75"/>
    <row r="247" s="2" customFormat="1" ht="12.75"/>
    <row r="248" s="2" customFormat="1" ht="12.75"/>
    <row r="249" s="2" customFormat="1" ht="12.75"/>
    <row r="250" s="2" customFormat="1" ht="12.75"/>
    <row r="251" s="2" customFormat="1" ht="12.75"/>
    <row r="252" s="2" customFormat="1" ht="12.75"/>
    <row r="253" s="2" customFormat="1" ht="12.75"/>
    <row r="254" s="2" customFormat="1" ht="12.75"/>
    <row r="255" s="2" customFormat="1" ht="12.75"/>
    <row r="256" s="2" customFormat="1" ht="12.75"/>
    <row r="257" s="2" customFormat="1" ht="12.75"/>
    <row r="258" s="2" customFormat="1" ht="12.75"/>
    <row r="259" s="2" customFormat="1" ht="12.75"/>
    <row r="260" s="2" customFormat="1" ht="12.75"/>
    <row r="261" s="2" customFormat="1" ht="12.75"/>
    <row r="262" s="2" customFormat="1" ht="12.75"/>
    <row r="263" s="2" customFormat="1" ht="12.75"/>
    <row r="264" s="2" customFormat="1" ht="12.75"/>
    <row r="265" s="2" customFormat="1" ht="12.75"/>
    <row r="266" s="2" customFormat="1" ht="12.75"/>
    <row r="267" s="2" customFormat="1" ht="12.75"/>
    <row r="268" s="2" customFormat="1" ht="12.75"/>
    <row r="269" s="2" customFormat="1" ht="12.75"/>
    <row r="270" s="2" customFormat="1" ht="12.75"/>
    <row r="271" s="2" customFormat="1" ht="12.75"/>
    <row r="272" s="2" customFormat="1" ht="12.75"/>
    <row r="273" s="2" customFormat="1" ht="12.75"/>
    <row r="274" s="2" customFormat="1" ht="12.75"/>
    <row r="275" s="2" customFormat="1" ht="12.75"/>
    <row r="276" s="2" customFormat="1" ht="12.75"/>
    <row r="277" s="2" customFormat="1" ht="12.75"/>
    <row r="278" s="2" customFormat="1" ht="12.75"/>
    <row r="279" s="2" customFormat="1" ht="12.75"/>
    <row r="280" s="2" customFormat="1" ht="12.75"/>
    <row r="281" s="2" customFormat="1" ht="12.75"/>
    <row r="282" s="2" customFormat="1" ht="12.75"/>
    <row r="283" s="2" customFormat="1" ht="12.75"/>
    <row r="284" s="2" customFormat="1" ht="12.75"/>
    <row r="285" s="2" customFormat="1" ht="12.75"/>
    <row r="286" s="2" customFormat="1" ht="12.75"/>
    <row r="287" s="2" customFormat="1" ht="12.75"/>
    <row r="288" s="2" customFormat="1" ht="12.75"/>
    <row r="289" s="2" customFormat="1" ht="12.75"/>
    <row r="290" s="2" customFormat="1" ht="12.75"/>
    <row r="291" s="2" customFormat="1" ht="12.75"/>
    <row r="292" s="2" customFormat="1" ht="12.75"/>
    <row r="293" s="2" customFormat="1" ht="12.75"/>
    <row r="294" s="2" customFormat="1" ht="12.75"/>
    <row r="295" s="2" customFormat="1" ht="12.75"/>
    <row r="296" s="2" customFormat="1" ht="12.75"/>
    <row r="297" s="2" customFormat="1" ht="12.75"/>
    <row r="298" s="2" customFormat="1" ht="12.75"/>
    <row r="299" s="2" customFormat="1" ht="12.75"/>
    <row r="300" s="2" customFormat="1" ht="12.75"/>
    <row r="301" s="2" customFormat="1" ht="12.75"/>
    <row r="302" s="2" customFormat="1" ht="12.75"/>
    <row r="303" s="2" customFormat="1" ht="12.75"/>
    <row r="304" s="2" customFormat="1" ht="12.75"/>
    <row r="305" s="2" customFormat="1" ht="12.75"/>
    <row r="306" s="2" customFormat="1" ht="12.75"/>
    <row r="307" s="2" customFormat="1" ht="12.75"/>
    <row r="308" s="2" customFormat="1" ht="12.75"/>
    <row r="309" s="2" customFormat="1" ht="12.75"/>
    <row r="310" s="2" customFormat="1" ht="12.75"/>
    <row r="311" s="2" customFormat="1" ht="12.75"/>
    <row r="312" s="2" customFormat="1" ht="12.75"/>
    <row r="313" s="2" customFormat="1" ht="12.75"/>
    <row r="314" s="2" customFormat="1" ht="12.75"/>
    <row r="315" s="2" customFormat="1" ht="12.75"/>
    <row r="316" s="2" customFormat="1" ht="12.75"/>
    <row r="317" s="2" customFormat="1" ht="12.75"/>
    <row r="318" s="2" customFormat="1" ht="12.75"/>
    <row r="319" s="2" customFormat="1" ht="12.75"/>
    <row r="320" s="2" customFormat="1" ht="12.75"/>
    <row r="321" s="2" customFormat="1" ht="12.75"/>
    <row r="322" s="2" customFormat="1" ht="12.75"/>
    <row r="323" s="2" customFormat="1" ht="12.75"/>
    <row r="324" s="2" customFormat="1" ht="12.75"/>
    <row r="325" s="2" customFormat="1" ht="12.75"/>
    <row r="326" s="2" customFormat="1" ht="12.75"/>
    <row r="327" s="2" customFormat="1" ht="12.75"/>
    <row r="328" s="2" customFormat="1" ht="12.75"/>
    <row r="329" s="2" customFormat="1" ht="12.75"/>
    <row r="330" s="2" customFormat="1" ht="12.75"/>
    <row r="331" s="2" customFormat="1" ht="12.75"/>
    <row r="332" s="2" customFormat="1" ht="12.75"/>
    <row r="333" s="2" customFormat="1" ht="12.75"/>
    <row r="334" s="2" customFormat="1" ht="12.75"/>
    <row r="335" s="2" customFormat="1" ht="12.75"/>
    <row r="336" s="2" customFormat="1" ht="12.75"/>
    <row r="337" s="2" customFormat="1" ht="12.75"/>
    <row r="338" s="2" customFormat="1" ht="12.75"/>
    <row r="339" s="2" customFormat="1" ht="12.75"/>
    <row r="340" s="2" customFormat="1" ht="12.75"/>
    <row r="341" s="2" customFormat="1" ht="12.75"/>
    <row r="342" s="2" customFormat="1" ht="12.75"/>
    <row r="343" s="2" customFormat="1" ht="12.75"/>
    <row r="344" s="2" customFormat="1" ht="12.75"/>
    <row r="345" s="2" customFormat="1" ht="12.75"/>
    <row r="346" s="2" customFormat="1" ht="12.75"/>
    <row r="347" s="2" customFormat="1" ht="12.75"/>
    <row r="348" s="2" customFormat="1" ht="12.75"/>
    <row r="349" s="2" customFormat="1" ht="12.75"/>
    <row r="350" s="2" customFormat="1" ht="12.75"/>
    <row r="351" s="2" customFormat="1" ht="12.75"/>
    <row r="352" s="2" customFormat="1" ht="12.75"/>
    <row r="353" s="2" customFormat="1" ht="12.75"/>
    <row r="354" s="2" customFormat="1" ht="12.75"/>
    <row r="355" s="2" customFormat="1" ht="12.75"/>
    <row r="356" s="2" customFormat="1" ht="12.75"/>
    <row r="357" s="2" customFormat="1" ht="12.75"/>
    <row r="358" s="2" customFormat="1" ht="12.75"/>
    <row r="359" s="2" customFormat="1" ht="12.75"/>
    <row r="360" s="2" customFormat="1" ht="12.75"/>
    <row r="361" s="2" customFormat="1" ht="12.75"/>
    <row r="362" s="2" customFormat="1" ht="12.75"/>
    <row r="363" s="2" customFormat="1" ht="12.75"/>
    <row r="364" s="2" customFormat="1" ht="12.75"/>
    <row r="365" s="2" customFormat="1" ht="12.75"/>
    <row r="366" s="2" customFormat="1" ht="12.75"/>
    <row r="367" s="2" customFormat="1" ht="12.75"/>
    <row r="368" s="2" customFormat="1" ht="12.75"/>
    <row r="369" s="2" customFormat="1" ht="12.75"/>
    <row r="370" s="2" customFormat="1" ht="12.75"/>
    <row r="371" s="2" customFormat="1" ht="12.75"/>
    <row r="372" s="2" customFormat="1" ht="12.75"/>
    <row r="373" s="2" customFormat="1" ht="12.75"/>
    <row r="374" s="2" customFormat="1" ht="12.75"/>
    <row r="375" s="2" customFormat="1" ht="12.75"/>
    <row r="376" s="2" customFormat="1" ht="12.75"/>
    <row r="377" s="2" customFormat="1" ht="12.75"/>
    <row r="378" s="2" customFormat="1" ht="12.75"/>
    <row r="379" s="2" customFormat="1" ht="12.75"/>
    <row r="380" s="2" customFormat="1" ht="12.75"/>
    <row r="381" s="2" customFormat="1" ht="12.75"/>
    <row r="382" s="2" customFormat="1" ht="12.75"/>
    <row r="383" s="2" customFormat="1" ht="12.75"/>
    <row r="384" s="2" customFormat="1" ht="12.75"/>
    <row r="385" s="2" customFormat="1" ht="12.75"/>
    <row r="386" s="2" customFormat="1" ht="12.75"/>
    <row r="387" s="2" customFormat="1" ht="12.75"/>
    <row r="388" s="2" customFormat="1" ht="12.75"/>
    <row r="389" s="2" customFormat="1" ht="12.75"/>
    <row r="390" s="2" customFormat="1" ht="12.75"/>
    <row r="391" s="2" customFormat="1" ht="12.75"/>
  </sheetData>
  <sheetProtection algorithmName="SHA-512" hashValue="/swG/GPoffYgTN3OTt8S5aklRrUSeEc5zWyUboPvput/kE2Ffp/19oAhJzg3hX7Y8QktjY/5jLrTjho6OTHomQ==" saltValue="tCLZglhg+R+47xJZ6d3crw==" spinCount="100000" sheet="1" objects="1" scenarios="1"/>
  <mergeCells count="94">
    <mergeCell ref="B17:E17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A7:K7"/>
    <mergeCell ref="A6:K6"/>
    <mergeCell ref="H2:K2"/>
    <mergeCell ref="I16:K16"/>
    <mergeCell ref="F11:H11"/>
    <mergeCell ref="I13:K13"/>
    <mergeCell ref="I10:K10"/>
    <mergeCell ref="I11:K11"/>
    <mergeCell ref="I12:K12"/>
    <mergeCell ref="F14:H14"/>
    <mergeCell ref="I8:J8"/>
    <mergeCell ref="I14:K14"/>
    <mergeCell ref="F16:H16"/>
    <mergeCell ref="B13:E13"/>
    <mergeCell ref="B14:E14"/>
    <mergeCell ref="B15:E15"/>
    <mergeCell ref="A9:K9"/>
    <mergeCell ref="F13:H13"/>
    <mergeCell ref="I15:K15"/>
    <mergeCell ref="F15:H15"/>
    <mergeCell ref="A27:C27"/>
    <mergeCell ref="A24:K24"/>
    <mergeCell ref="A25:K25"/>
    <mergeCell ref="F18:H18"/>
    <mergeCell ref="F19:H19"/>
    <mergeCell ref="A26:D26"/>
    <mergeCell ref="E26:H26"/>
    <mergeCell ref="B18:E18"/>
    <mergeCell ref="I20:K20"/>
    <mergeCell ref="F21:H21"/>
    <mergeCell ref="F23:H23"/>
    <mergeCell ref="I27:K27"/>
    <mergeCell ref="I18:K18"/>
    <mergeCell ref="I19:K19"/>
    <mergeCell ref="F22:H22"/>
    <mergeCell ref="F17:H17"/>
    <mergeCell ref="A38:K38"/>
    <mergeCell ref="A36:K36"/>
    <mergeCell ref="A37:K37"/>
    <mergeCell ref="I21:K21"/>
    <mergeCell ref="I22:K22"/>
    <mergeCell ref="I23:K23"/>
    <mergeCell ref="I17:K17"/>
    <mergeCell ref="B19:E19"/>
    <mergeCell ref="B20:E20"/>
    <mergeCell ref="I26:K26"/>
    <mergeCell ref="B21:E21"/>
    <mergeCell ref="B22:E22"/>
    <mergeCell ref="B23:E23"/>
    <mergeCell ref="F20:H20"/>
    <mergeCell ref="E27:G27"/>
    <mergeCell ref="B16:E16"/>
    <mergeCell ref="A31:K31"/>
    <mergeCell ref="J32:K32"/>
    <mergeCell ref="H30:I30"/>
    <mergeCell ref="F30:G30"/>
    <mergeCell ref="F32:G32"/>
    <mergeCell ref="H32:I32"/>
    <mergeCell ref="J30:K30"/>
    <mergeCell ref="A32:D32"/>
    <mergeCell ref="A28:D28"/>
    <mergeCell ref="E28:E29"/>
    <mergeCell ref="F28:K28"/>
    <mergeCell ref="A29:D29"/>
    <mergeCell ref="A30:D30"/>
    <mergeCell ref="F29:G29"/>
    <mergeCell ref="H29:I29"/>
    <mergeCell ref="J29:K29"/>
    <mergeCell ref="A33:D33"/>
    <mergeCell ref="A34:D34"/>
    <mergeCell ref="F33:G33"/>
    <mergeCell ref="H33:I33"/>
    <mergeCell ref="J33:K33"/>
    <mergeCell ref="A35:D35"/>
    <mergeCell ref="J34:K34"/>
    <mergeCell ref="J35:K35"/>
    <mergeCell ref="F35:G35"/>
    <mergeCell ref="H35:I35"/>
    <mergeCell ref="F34:G34"/>
    <mergeCell ref="H34:I34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B20" sqref="B20:E20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3"/>
  </cols>
  <sheetData>
    <row r="1" spans="1:7" ht="18" customHeight="1">
      <c r="A1" s="1220" t="s">
        <v>3508</v>
      </c>
      <c r="B1" s="1304"/>
      <c r="C1" s="1304"/>
      <c r="D1" s="1304"/>
      <c r="E1" s="1304"/>
      <c r="F1" s="1304"/>
      <c r="G1" s="1304"/>
    </row>
    <row r="2" spans="1:7 51:52" ht="15.95" customHeight="1" thickBot="1">
      <c r="A2" s="1305" t="s">
        <v>40</v>
      </c>
      <c r="B2" s="796"/>
      <c r="C2" s="131" t="s">
        <v>296</v>
      </c>
      <c r="D2" s="131"/>
      <c r="E2" s="131" t="s">
        <v>297</v>
      </c>
      <c r="F2" s="130" t="s">
        <v>298</v>
      </c>
      <c r="G2" s="130" t="s">
        <v>61</v>
      </c>
      <c r="AY2"/>
      <c r="AZ2"/>
    </row>
    <row r="3" spans="1:7 51:52" ht="15.95" customHeight="1" thickBot="1">
      <c r="A3" s="1295"/>
      <c r="B3" s="1296"/>
      <c r="C3" s="1293"/>
      <c r="D3" s="1294"/>
      <c r="E3" s="129"/>
      <c r="F3" s="134"/>
      <c r="G3" s="135">
        <v>12</v>
      </c>
      <c r="AY3"/>
      <c r="AZ3"/>
    </row>
    <row r="4" spans="1:7" ht="18" customHeight="1">
      <c r="A4" s="1308" t="s">
        <v>3622</v>
      </c>
      <c r="B4" s="1309"/>
      <c r="C4" s="1309"/>
      <c r="D4" s="1309"/>
      <c r="E4" s="1309"/>
      <c r="F4" s="1309"/>
      <c r="G4" s="1309"/>
    </row>
    <row r="5" spans="1:7" ht="15.95" customHeight="1" thickBot="1">
      <c r="A5" s="1316" t="s">
        <v>3623</v>
      </c>
      <c r="B5" s="1317"/>
      <c r="C5" s="1317"/>
      <c r="D5" s="1317"/>
      <c r="E5" s="1317"/>
      <c r="F5" s="1317"/>
      <c r="G5" s="1317"/>
    </row>
    <row r="6" spans="1:7" ht="22.5">
      <c r="A6" s="1314"/>
      <c r="B6" s="932"/>
      <c r="C6" s="932"/>
      <c r="D6" s="932"/>
      <c r="E6" s="1315"/>
      <c r="F6" s="76" t="s">
        <v>307</v>
      </c>
      <c r="G6" s="77" t="s">
        <v>306</v>
      </c>
    </row>
    <row r="7" spans="1:7" ht="15.95" customHeight="1">
      <c r="A7" s="40" t="s">
        <v>136</v>
      </c>
      <c r="B7" s="1289" t="s">
        <v>107</v>
      </c>
      <c r="C7" s="1289"/>
      <c r="D7" s="1289"/>
      <c r="E7" s="955"/>
      <c r="F7" s="63">
        <f>+ZAV!B7</f>
        <v>0</v>
      </c>
      <c r="G7" s="75">
        <f>+ZAV!C7</f>
        <v>0</v>
      </c>
    </row>
    <row r="8" spans="1:7" ht="15.95" customHeight="1">
      <c r="A8" s="40" t="s">
        <v>137</v>
      </c>
      <c r="B8" s="1289" t="s">
        <v>285</v>
      </c>
      <c r="C8" s="1289"/>
      <c r="D8" s="1289"/>
      <c r="E8" s="955"/>
      <c r="F8" s="63">
        <f>+ZAV!B9</f>
        <v>0</v>
      </c>
      <c r="G8" s="75">
        <f>+ZAV!C9</f>
        <v>0</v>
      </c>
    </row>
    <row r="9" spans="1:7" ht="15.95" customHeight="1">
      <c r="A9" s="40" t="s">
        <v>138</v>
      </c>
      <c r="B9" s="1289" t="s">
        <v>250</v>
      </c>
      <c r="C9" s="1289"/>
      <c r="D9" s="1289"/>
      <c r="E9" s="955"/>
      <c r="F9" s="63">
        <f>+ZAV!B10</f>
        <v>0</v>
      </c>
      <c r="G9" s="75">
        <f>+ZAV!C10</f>
        <v>0</v>
      </c>
    </row>
    <row r="10" spans="1:7" ht="15.95" customHeight="1">
      <c r="A10" s="40" t="s">
        <v>317</v>
      </c>
      <c r="B10" s="1289" t="s">
        <v>143</v>
      </c>
      <c r="C10" s="1289"/>
      <c r="D10" s="1289"/>
      <c r="E10" s="955"/>
      <c r="F10" s="63">
        <f>+ZAV!B12</f>
        <v>0</v>
      </c>
      <c r="G10" s="75">
        <f>+ZAV!C12</f>
        <v>0</v>
      </c>
    </row>
    <row r="11" spans="1:7" ht="15.95" customHeight="1">
      <c r="A11" s="40" t="s">
        <v>103</v>
      </c>
      <c r="B11" s="1289" t="s">
        <v>3509</v>
      </c>
      <c r="C11" s="1289"/>
      <c r="D11" s="1289"/>
      <c r="E11" s="955"/>
      <c r="F11" s="63">
        <f>+ZAV!B13+ZAV!B14</f>
        <v>0</v>
      </c>
      <c r="G11" s="75">
        <f>+ZAV!C13+ZAV!C14</f>
        <v>0</v>
      </c>
    </row>
    <row r="12" spans="1:7" ht="15.95" customHeight="1">
      <c r="A12" s="40" t="s">
        <v>316</v>
      </c>
      <c r="B12" s="1289" t="s">
        <v>251</v>
      </c>
      <c r="C12" s="1289"/>
      <c r="D12" s="1289"/>
      <c r="E12" s="955"/>
      <c r="F12" s="63">
        <f>+ZAV!B15+ZAV!B11+ZAV!B8</f>
        <v>0</v>
      </c>
      <c r="G12" s="75">
        <f>+ZAV!C15+ZAV!C11+ZAV!C8</f>
        <v>0</v>
      </c>
    </row>
    <row r="13" spans="1:7" ht="15.95" customHeight="1">
      <c r="A13" s="40" t="s">
        <v>315</v>
      </c>
      <c r="B13" s="1289" t="s">
        <v>3510</v>
      </c>
      <c r="C13" s="1289"/>
      <c r="D13" s="1289"/>
      <c r="E13" s="955"/>
      <c r="F13" s="63">
        <f>+ZAV!B19+ZAV!B20</f>
        <v>0</v>
      </c>
      <c r="G13" s="75">
        <f>+ZAV!C19+ZAV!C20</f>
        <v>0</v>
      </c>
    </row>
    <row r="14" spans="1:7" ht="15.95" customHeight="1" thickBot="1">
      <c r="A14" s="41" t="s">
        <v>314</v>
      </c>
      <c r="B14" s="1313" t="s">
        <v>312</v>
      </c>
      <c r="C14" s="1313"/>
      <c r="D14" s="1313"/>
      <c r="E14" s="971"/>
      <c r="F14" s="64">
        <f>+ZAV!B22</f>
        <v>0</v>
      </c>
      <c r="G14" s="89">
        <f>+ZAV!C22</f>
        <v>0</v>
      </c>
    </row>
    <row r="15" spans="1:7" ht="9" customHeight="1" thickBot="1">
      <c r="A15" s="1308"/>
      <c r="B15" s="1309"/>
      <c r="C15" s="1309"/>
      <c r="D15" s="1309"/>
      <c r="E15" s="1309"/>
      <c r="F15" s="1309"/>
      <c r="G15" s="1309"/>
    </row>
    <row r="16" spans="1:7" ht="15.95" customHeight="1" thickBot="1">
      <c r="A16" s="78" t="s">
        <v>313</v>
      </c>
      <c r="B16" s="104" t="s">
        <v>27</v>
      </c>
      <c r="C16" s="1310"/>
      <c r="D16" s="1311"/>
      <c r="E16" s="1312"/>
      <c r="F16" s="1309"/>
      <c r="G16" s="1309"/>
    </row>
    <row r="17" spans="1:7" ht="15" customHeight="1">
      <c r="A17" s="1306" t="s">
        <v>252</v>
      </c>
      <c r="B17" s="1307"/>
      <c r="C17" s="1307"/>
      <c r="D17" s="1307"/>
      <c r="E17" s="1307"/>
      <c r="F17" s="1307"/>
      <c r="G17" s="1307"/>
    </row>
    <row r="18" spans="1:7" ht="18" customHeight="1" thickBot="1">
      <c r="A18" s="1297" t="s">
        <v>225</v>
      </c>
      <c r="B18" s="1298"/>
      <c r="C18" s="1298"/>
      <c r="D18" s="1298"/>
      <c r="E18" s="1298"/>
      <c r="F18" s="1298"/>
      <c r="G18" s="1298"/>
    </row>
    <row r="19" spans="1:7" ht="24" customHeight="1">
      <c r="A19" s="81" t="s">
        <v>3511</v>
      </c>
      <c r="B19" s="1299" t="s">
        <v>62</v>
      </c>
      <c r="C19" s="1300"/>
      <c r="D19" s="1300"/>
      <c r="E19" s="1301"/>
      <c r="F19" s="1302" t="s">
        <v>198</v>
      </c>
      <c r="G19" s="1303"/>
    </row>
    <row r="20" spans="1:7" ht="15.95" customHeight="1">
      <c r="A20" s="38" t="s">
        <v>136</v>
      </c>
      <c r="B20" s="1290"/>
      <c r="C20" s="1290"/>
      <c r="D20" s="1290"/>
      <c r="E20" s="1290"/>
      <c r="F20" s="1291"/>
      <c r="G20" s="1292"/>
    </row>
    <row r="21" spans="1:7" ht="15.95" customHeight="1">
      <c r="A21" s="38" t="s">
        <v>137</v>
      </c>
      <c r="B21" s="1290"/>
      <c r="C21" s="1290"/>
      <c r="D21" s="1290"/>
      <c r="E21" s="1290"/>
      <c r="F21" s="1291"/>
      <c r="G21" s="1292"/>
    </row>
    <row r="22" spans="1:7" ht="15.95" customHeight="1">
      <c r="A22" s="38" t="s">
        <v>138</v>
      </c>
      <c r="B22" s="1290"/>
      <c r="C22" s="1290"/>
      <c r="D22" s="1290"/>
      <c r="E22" s="1290"/>
      <c r="F22" s="1291"/>
      <c r="G22" s="1292"/>
    </row>
    <row r="23" spans="1:7" ht="15.95" customHeight="1" thickBot="1">
      <c r="A23" s="39" t="s">
        <v>317</v>
      </c>
      <c r="B23" s="1318"/>
      <c r="C23" s="1318"/>
      <c r="D23" s="1318"/>
      <c r="E23" s="1318"/>
      <c r="F23" s="1319"/>
      <c r="G23" s="1320"/>
    </row>
    <row r="24" spans="1:7" ht="13.5" thickBot="1">
      <c r="A24" s="1297"/>
      <c r="B24" s="1298"/>
      <c r="C24" s="1298"/>
      <c r="D24" s="1298"/>
      <c r="E24" s="1298"/>
      <c r="F24" s="1298"/>
      <c r="G24" s="1298"/>
    </row>
    <row r="25" spans="1:7" ht="24.75" customHeight="1">
      <c r="A25" s="81" t="s">
        <v>199</v>
      </c>
      <c r="B25" s="1299" t="s">
        <v>63</v>
      </c>
      <c r="C25" s="1300"/>
      <c r="D25" s="1300"/>
      <c r="E25" s="1301"/>
      <c r="F25" s="1302" t="s">
        <v>198</v>
      </c>
      <c r="G25" s="1303"/>
    </row>
    <row r="26" spans="1:7" ht="15.95" customHeight="1">
      <c r="A26" s="38" t="s">
        <v>136</v>
      </c>
      <c r="B26" s="1290"/>
      <c r="C26" s="1290"/>
      <c r="D26" s="1290"/>
      <c r="E26" s="1290"/>
      <c r="F26" s="1291"/>
      <c r="G26" s="1292"/>
    </row>
    <row r="27" spans="1:7" ht="15.95" customHeight="1">
      <c r="A27" s="38" t="s">
        <v>137</v>
      </c>
      <c r="B27" s="1290"/>
      <c r="C27" s="1290"/>
      <c r="D27" s="1290"/>
      <c r="E27" s="1290"/>
      <c r="F27" s="1291"/>
      <c r="G27" s="1292"/>
    </row>
    <row r="28" spans="1:7" ht="15.95" customHeight="1">
      <c r="A28" s="38" t="s">
        <v>138</v>
      </c>
      <c r="B28" s="1290"/>
      <c r="C28" s="1290"/>
      <c r="D28" s="1290"/>
      <c r="E28" s="1290"/>
      <c r="F28" s="1291"/>
      <c r="G28" s="1292"/>
    </row>
    <row r="29" spans="1:7" ht="15.95" customHeight="1" thickBot="1">
      <c r="A29" s="39" t="s">
        <v>317</v>
      </c>
      <c r="B29" s="1318"/>
      <c r="C29" s="1318"/>
      <c r="D29" s="1318"/>
      <c r="E29" s="1318"/>
      <c r="F29" s="1319"/>
      <c r="G29" s="1320"/>
    </row>
    <row r="30" spans="1:7" ht="18" customHeight="1" thickBot="1">
      <c r="A30" s="1297" t="s">
        <v>80</v>
      </c>
      <c r="B30" s="1298"/>
      <c r="C30" s="1298"/>
      <c r="D30" s="1298"/>
      <c r="E30" s="1298"/>
      <c r="F30" s="1298"/>
      <c r="G30" s="1298"/>
    </row>
    <row r="31" spans="1:7" ht="15.95" customHeight="1">
      <c r="A31" s="1326" t="s">
        <v>81</v>
      </c>
      <c r="B31" s="1327"/>
      <c r="C31" s="1327"/>
      <c r="D31" s="1327"/>
      <c r="E31" s="1327"/>
      <c r="F31" s="1327"/>
      <c r="G31" s="1328"/>
    </row>
    <row r="32" spans="1:7" ht="15.95" customHeight="1">
      <c r="A32" s="85"/>
      <c r="B32" s="23" t="s">
        <v>41</v>
      </c>
      <c r="C32" s="1322" t="s">
        <v>98</v>
      </c>
      <c r="D32" s="1322"/>
      <c r="E32" s="23" t="s">
        <v>150</v>
      </c>
      <c r="F32" s="23" t="s">
        <v>99</v>
      </c>
      <c r="G32" s="24" t="s">
        <v>100</v>
      </c>
    </row>
    <row r="33" spans="1:7" ht="15.95" customHeight="1">
      <c r="A33" s="25" t="s">
        <v>136</v>
      </c>
      <c r="B33" s="91"/>
      <c r="C33" s="1321"/>
      <c r="D33" s="1321"/>
      <c r="E33" s="27"/>
      <c r="F33" s="30"/>
      <c r="G33" s="29"/>
    </row>
    <row r="34" spans="1:7" ht="15.95" customHeight="1">
      <c r="A34" s="25" t="s">
        <v>137</v>
      </c>
      <c r="B34" s="28"/>
      <c r="C34" s="1321"/>
      <c r="D34" s="1321"/>
      <c r="E34" s="92"/>
      <c r="F34" s="93"/>
      <c r="G34" s="94"/>
    </row>
    <row r="35" spans="1:7" ht="15.95" customHeight="1" thickBot="1">
      <c r="A35" s="26" t="s">
        <v>138</v>
      </c>
      <c r="B35" s="95"/>
      <c r="C35" s="1325"/>
      <c r="D35" s="1325"/>
      <c r="E35" s="95"/>
      <c r="F35" s="31"/>
      <c r="G35" s="32"/>
    </row>
    <row r="36" spans="1:7" ht="18" customHeight="1" thickBot="1">
      <c r="A36" s="1329" t="s">
        <v>286</v>
      </c>
      <c r="B36" s="1330"/>
      <c r="C36" s="1330"/>
      <c r="D36" s="1330"/>
      <c r="E36" s="1330"/>
      <c r="F36" s="1330"/>
      <c r="G36" s="1330"/>
    </row>
    <row r="37" spans="1:7" ht="15.95" customHeight="1">
      <c r="A37" s="1331" t="s">
        <v>82</v>
      </c>
      <c r="B37" s="1332"/>
      <c r="C37" s="1332"/>
      <c r="D37" s="1332"/>
      <c r="E37" s="1332"/>
      <c r="F37" s="1332"/>
      <c r="G37" s="1333"/>
    </row>
    <row r="38" spans="1:7" ht="24" customHeight="1">
      <c r="A38" s="86"/>
      <c r="B38" s="1334" t="s">
        <v>41</v>
      </c>
      <c r="C38" s="1335"/>
      <c r="D38" s="1334" t="s">
        <v>98</v>
      </c>
      <c r="E38" s="1335"/>
      <c r="F38" s="33" t="s">
        <v>248</v>
      </c>
      <c r="G38" s="34" t="s">
        <v>318</v>
      </c>
    </row>
    <row r="39" spans="1:7" ht="15.95" customHeight="1">
      <c r="A39" s="25" t="s">
        <v>136</v>
      </c>
      <c r="B39" s="1344"/>
      <c r="C39" s="1345"/>
      <c r="D39" s="1344"/>
      <c r="E39" s="1345"/>
      <c r="F39" s="8"/>
      <c r="G39" s="29"/>
    </row>
    <row r="40" spans="1:7" ht="15.95" customHeight="1" thickBot="1">
      <c r="A40" s="26" t="s">
        <v>137</v>
      </c>
      <c r="B40" s="1323"/>
      <c r="C40" s="1324"/>
      <c r="D40" s="1323"/>
      <c r="E40" s="1324"/>
      <c r="F40" s="9"/>
      <c r="G40" s="32"/>
    </row>
    <row r="41" spans="1:52" s="79" customFormat="1" ht="18" customHeight="1" thickBot="1">
      <c r="A41" s="1329" t="s">
        <v>226</v>
      </c>
      <c r="B41" s="1330"/>
      <c r="C41" s="1330"/>
      <c r="D41" s="1330"/>
      <c r="E41" s="1330"/>
      <c r="F41" s="1330"/>
      <c r="G41" s="133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</row>
    <row r="42" spans="1:7" ht="15.95" customHeight="1">
      <c r="A42" s="1331" t="s">
        <v>83</v>
      </c>
      <c r="B42" s="1332"/>
      <c r="C42" s="1332"/>
      <c r="D42" s="1332"/>
      <c r="E42" s="1332"/>
      <c r="F42" s="1332"/>
      <c r="G42" s="1333"/>
    </row>
    <row r="43" spans="1:7" ht="24" customHeight="1">
      <c r="A43" s="86"/>
      <c r="B43" s="1334" t="s">
        <v>41</v>
      </c>
      <c r="C43" s="1335"/>
      <c r="D43" s="1334" t="s">
        <v>98</v>
      </c>
      <c r="E43" s="1335"/>
      <c r="F43" s="33" t="s">
        <v>150</v>
      </c>
      <c r="G43" s="34" t="s">
        <v>318</v>
      </c>
    </row>
    <row r="44" spans="1:7" ht="15.95" customHeight="1" thickBot="1">
      <c r="A44" s="26" t="s">
        <v>136</v>
      </c>
      <c r="B44" s="1323"/>
      <c r="C44" s="1324"/>
      <c r="D44" s="1323"/>
      <c r="E44" s="1324"/>
      <c r="F44" s="9"/>
      <c r="G44" s="32"/>
    </row>
    <row r="45" spans="1:7" ht="13.5" thickBot="1">
      <c r="A45" s="1342" t="s">
        <v>326</v>
      </c>
      <c r="B45" s="1343"/>
      <c r="C45" s="1343"/>
      <c r="D45" s="1343"/>
      <c r="E45" s="1343"/>
      <c r="F45" s="1343"/>
      <c r="G45" s="1343"/>
    </row>
    <row r="46" spans="1:7" ht="12.75">
      <c r="A46" s="1338" t="s">
        <v>227</v>
      </c>
      <c r="B46" s="1339"/>
      <c r="C46" s="1339"/>
      <c r="D46" s="1339"/>
      <c r="E46" s="1339"/>
      <c r="F46" s="35" t="s">
        <v>150</v>
      </c>
      <c r="G46" s="36" t="s">
        <v>151</v>
      </c>
    </row>
    <row r="47" spans="1:7" ht="13.5" thickBot="1">
      <c r="A47" s="1340"/>
      <c r="B47" s="1341"/>
      <c r="C47" s="1341"/>
      <c r="D47" s="1341"/>
      <c r="E47" s="1341"/>
      <c r="F47" s="90"/>
      <c r="G47" s="37"/>
    </row>
    <row r="48" spans="1:7" ht="9" customHeight="1">
      <c r="A48" s="1336" t="s">
        <v>3512</v>
      </c>
      <c r="B48" s="780"/>
      <c r="C48" s="780"/>
      <c r="D48" s="780"/>
      <c r="E48" s="780"/>
      <c r="F48" s="780"/>
      <c r="G48" s="780"/>
    </row>
    <row r="49" spans="1:7" ht="9" customHeight="1">
      <c r="A49" s="1337" t="s">
        <v>197</v>
      </c>
      <c r="B49" s="733"/>
      <c r="C49" s="733"/>
      <c r="D49" s="733"/>
      <c r="E49" s="733"/>
      <c r="F49" s="733"/>
      <c r="G49" s="733"/>
    </row>
    <row r="50" spans="1:7" ht="12.75">
      <c r="A50" s="1232" t="s">
        <v>301</v>
      </c>
      <c r="B50" s="1232"/>
      <c r="C50" s="1232"/>
      <c r="D50" s="1232"/>
      <c r="E50" s="1232"/>
      <c r="F50" s="1232"/>
      <c r="G50" s="1232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pans="1:7" ht="12.75">
      <c r="A74" s="73"/>
      <c r="B74" s="73"/>
      <c r="C74" s="73"/>
      <c r="D74" s="73"/>
      <c r="E74" s="73"/>
      <c r="F74" s="73"/>
      <c r="G74" s="73"/>
    </row>
    <row r="75" spans="1:7" ht="12.75">
      <c r="A75" s="73"/>
      <c r="B75" s="73"/>
      <c r="C75" s="73"/>
      <c r="D75" s="73"/>
      <c r="E75" s="73"/>
      <c r="F75" s="73"/>
      <c r="G75" s="73"/>
    </row>
    <row r="76" spans="1:7" ht="12.75">
      <c r="A76" s="73"/>
      <c r="B76" s="73"/>
      <c r="C76" s="73"/>
      <c r="D76" s="73"/>
      <c r="E76" s="73"/>
      <c r="F76" s="73"/>
      <c r="G76" s="73"/>
    </row>
    <row r="77" spans="1:7" ht="12.75">
      <c r="A77" s="73"/>
      <c r="B77" s="73"/>
      <c r="C77" s="73"/>
      <c r="D77" s="73"/>
      <c r="E77" s="73"/>
      <c r="F77" s="73"/>
      <c r="G77" s="73"/>
    </row>
    <row r="78" spans="1:7" ht="12.75">
      <c r="A78" s="73"/>
      <c r="B78" s="73"/>
      <c r="C78" s="73"/>
      <c r="D78" s="73"/>
      <c r="E78" s="73"/>
      <c r="F78" s="73"/>
      <c r="G78" s="73"/>
    </row>
    <row r="79" spans="1:7" ht="12.75">
      <c r="A79" s="73"/>
      <c r="B79" s="73"/>
      <c r="C79" s="73"/>
      <c r="D79" s="73"/>
      <c r="E79" s="73"/>
      <c r="F79" s="73"/>
      <c r="G79" s="73"/>
    </row>
    <row r="80" spans="1:7" ht="12.75">
      <c r="A80" s="73"/>
      <c r="B80" s="73"/>
      <c r="C80" s="73"/>
      <c r="D80" s="73"/>
      <c r="E80" s="73"/>
      <c r="F80" s="73"/>
      <c r="G80" s="73"/>
    </row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 thickBot="1"/>
  </sheetData>
  <sheetProtection algorithmName="SHA-512" hashValue="zzq+efYkgeEjCQe3CN0KVIGqJ2RqYGiDWsvNX7uPk3+5z9j4q5lbjzPkKEqsXRz7ROmePxWvN/8RByAITSWAWg==" saltValue="U4OcVqyFJzXVh1DDdBVTp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D7" sqref="D7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3"/>
  </cols>
  <sheetData>
    <row r="1" spans="1:10" ht="18" customHeight="1" thickBot="1">
      <c r="A1" s="1282" t="s">
        <v>200</v>
      </c>
      <c r="B1" s="1283"/>
      <c r="C1" s="1283"/>
      <c r="D1" s="1283"/>
      <c r="E1" s="1283"/>
      <c r="F1" s="1283"/>
      <c r="G1" s="1374" t="s">
        <v>37</v>
      </c>
      <c r="H1" s="783"/>
      <c r="I1" s="1269" t="str">
        <f>'DAP1'!A9</f>
        <v/>
      </c>
      <c r="J1" s="982"/>
    </row>
    <row r="2" spans="1:10" ht="24" customHeight="1">
      <c r="A2" s="1281" t="s">
        <v>3939</v>
      </c>
      <c r="B2" s="1281"/>
      <c r="C2" s="1281"/>
      <c r="D2" s="1281"/>
      <c r="E2" s="1281"/>
      <c r="F2" s="1281"/>
      <c r="G2" s="733"/>
      <c r="H2" s="1309"/>
      <c r="I2" s="1309"/>
      <c r="J2" s="1309"/>
    </row>
    <row r="3" spans="1:10" ht="36" customHeight="1">
      <c r="A3" s="1272" t="s">
        <v>171</v>
      </c>
      <c r="B3" s="1273"/>
      <c r="C3" s="1273"/>
      <c r="D3" s="1273"/>
      <c r="E3" s="1273"/>
      <c r="F3" s="1273"/>
      <c r="G3" s="1273"/>
      <c r="H3" s="1273"/>
      <c r="I3" s="1273"/>
      <c r="J3" s="1273"/>
    </row>
    <row r="4" spans="1:10" ht="30" customHeight="1">
      <c r="A4" s="1355" t="s">
        <v>3513</v>
      </c>
      <c r="B4" s="1356"/>
      <c r="C4" s="1356"/>
      <c r="D4" s="1356"/>
      <c r="E4" s="1356"/>
      <c r="F4" s="1356"/>
      <c r="G4" s="1356"/>
      <c r="H4" s="1356"/>
      <c r="I4" s="1356"/>
      <c r="J4" s="1356"/>
    </row>
    <row r="5" spans="1:10" ht="18" customHeight="1">
      <c r="A5" s="1179" t="s">
        <v>3514</v>
      </c>
      <c r="B5" s="1286"/>
      <c r="C5" s="1286"/>
      <c r="D5" s="1286"/>
      <c r="E5" s="1286"/>
      <c r="F5" s="1286"/>
      <c r="G5" s="1286"/>
      <c r="H5" s="1286"/>
      <c r="I5" s="1286"/>
      <c r="J5" s="1286"/>
    </row>
    <row r="6" spans="1:10" ht="18" customHeight="1" thickBot="1">
      <c r="A6" s="1371" t="s">
        <v>287</v>
      </c>
      <c r="B6" s="1069"/>
      <c r="C6" s="1069"/>
      <c r="D6" s="1069"/>
      <c r="E6" s="1069"/>
      <c r="F6" s="1069"/>
      <c r="G6" s="1069"/>
      <c r="H6" s="1069"/>
      <c r="I6" s="1069"/>
      <c r="J6" s="1069"/>
    </row>
    <row r="7" spans="1:59" s="103" customFormat="1" ht="24" customHeight="1" thickBot="1">
      <c r="A7" s="1376" t="s">
        <v>3515</v>
      </c>
      <c r="B7" s="1377"/>
      <c r="C7" s="1377"/>
      <c r="D7" s="156"/>
      <c r="E7" s="157"/>
      <c r="F7" s="1364" t="s">
        <v>86</v>
      </c>
      <c r="G7" s="1365"/>
      <c r="H7" s="1365"/>
      <c r="I7" s="1365"/>
      <c r="J7" s="156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</row>
    <row r="8" spans="1:10" ht="12" customHeight="1" thickBot="1">
      <c r="A8" s="1366"/>
      <c r="B8" s="1367"/>
      <c r="C8" s="1367"/>
      <c r="D8" s="1367"/>
      <c r="E8" s="1367"/>
      <c r="F8" s="1367"/>
      <c r="G8" s="1367"/>
      <c r="H8" s="1367"/>
      <c r="I8" s="1367"/>
      <c r="J8" s="1367"/>
    </row>
    <row r="9" spans="1:10" ht="12" customHeight="1">
      <c r="A9" s="1368"/>
      <c r="B9" s="1369"/>
      <c r="C9" s="1369"/>
      <c r="D9" s="1369"/>
      <c r="E9" s="1369"/>
      <c r="F9" s="1370"/>
      <c r="G9" s="1009" t="s">
        <v>149</v>
      </c>
      <c r="H9" s="1360"/>
      <c r="I9" s="1009" t="s">
        <v>157</v>
      </c>
      <c r="J9" s="1361"/>
    </row>
    <row r="10" spans="1:10" ht="21" customHeight="1">
      <c r="A10" s="18">
        <v>201</v>
      </c>
      <c r="B10" s="1035" t="s">
        <v>3722</v>
      </c>
      <c r="C10" s="1035"/>
      <c r="D10" s="1035"/>
      <c r="E10" s="1035"/>
      <c r="F10" s="1036"/>
      <c r="G10" s="888">
        <v>0</v>
      </c>
      <c r="H10" s="1354"/>
      <c r="I10" s="1346"/>
      <c r="J10" s="956"/>
    </row>
    <row r="11" spans="1:10" ht="21" customHeight="1">
      <c r="A11" s="18" t="s">
        <v>84</v>
      </c>
      <c r="B11" s="1035" t="s">
        <v>3516</v>
      </c>
      <c r="C11" s="1035"/>
      <c r="D11" s="1035"/>
      <c r="E11" s="1035"/>
      <c r="F11" s="1036"/>
      <c r="G11" s="888">
        <f>+G10</f>
        <v>0</v>
      </c>
      <c r="H11" s="1354"/>
      <c r="I11" s="1346"/>
      <c r="J11" s="956"/>
    </row>
    <row r="12" spans="1:10" ht="21" customHeight="1">
      <c r="A12" s="18">
        <v>202</v>
      </c>
      <c r="B12" s="1035" t="s">
        <v>262</v>
      </c>
      <c r="C12" s="1035"/>
      <c r="D12" s="1035"/>
      <c r="E12" s="1035"/>
      <c r="F12" s="1036"/>
      <c r="G12" s="888">
        <f>+MIN(600000,ROUND(G10*0.3,0))</f>
        <v>0</v>
      </c>
      <c r="H12" s="1354"/>
      <c r="I12" s="1346"/>
      <c r="J12" s="956"/>
    </row>
    <row r="13" spans="1:10" ht="27.95" customHeight="1">
      <c r="A13" s="18">
        <v>203</v>
      </c>
      <c r="B13" s="877" t="s">
        <v>87</v>
      </c>
      <c r="C13" s="877"/>
      <c r="D13" s="877"/>
      <c r="E13" s="877"/>
      <c r="F13" s="1037"/>
      <c r="G13" s="885">
        <f>+G10-G12</f>
        <v>0</v>
      </c>
      <c r="H13" s="1378"/>
      <c r="I13" s="1346"/>
      <c r="J13" s="956"/>
    </row>
    <row r="14" spans="1:10" ht="36" customHeight="1">
      <c r="A14" s="18">
        <v>204</v>
      </c>
      <c r="B14" s="877" t="s">
        <v>3624</v>
      </c>
      <c r="C14" s="877"/>
      <c r="D14" s="877"/>
      <c r="E14" s="877"/>
      <c r="F14" s="1037"/>
      <c r="G14" s="888">
        <v>0</v>
      </c>
      <c r="H14" s="1354"/>
      <c r="I14" s="1346"/>
      <c r="J14" s="956"/>
    </row>
    <row r="15" spans="1:10" ht="36" customHeight="1">
      <c r="A15" s="18">
        <v>205</v>
      </c>
      <c r="B15" s="877" t="s">
        <v>3625</v>
      </c>
      <c r="C15" s="877"/>
      <c r="D15" s="877"/>
      <c r="E15" s="877"/>
      <c r="F15" s="1037"/>
      <c r="G15" s="888">
        <v>0</v>
      </c>
      <c r="H15" s="1354"/>
      <c r="I15" s="1346"/>
      <c r="J15" s="956"/>
    </row>
    <row r="16" spans="1:10" ht="27.95" customHeight="1" thickBot="1">
      <c r="A16" s="17">
        <v>206</v>
      </c>
      <c r="B16" s="915" t="s">
        <v>3780</v>
      </c>
      <c r="C16" s="915"/>
      <c r="D16" s="915"/>
      <c r="E16" s="915"/>
      <c r="F16" s="1379"/>
      <c r="G16" s="934">
        <f>+G13+G14-G15</f>
        <v>0</v>
      </c>
      <c r="H16" s="1372"/>
      <c r="I16" s="1373"/>
      <c r="J16" s="938"/>
    </row>
    <row r="17" spans="1:10" ht="8.1" customHeight="1" thickBot="1">
      <c r="A17" s="1179"/>
      <c r="B17" s="1286"/>
      <c r="C17" s="1286"/>
      <c r="D17" s="1286"/>
      <c r="E17" s="1286"/>
      <c r="F17" s="1286"/>
      <c r="G17" s="1286"/>
      <c r="H17" s="1286"/>
      <c r="I17" s="1286"/>
      <c r="J17" s="1286"/>
    </row>
    <row r="18" spans="1:10" ht="24" customHeight="1" thickBot="1">
      <c r="A18" s="1347" t="s">
        <v>283</v>
      </c>
      <c r="B18" s="1348"/>
      <c r="C18" s="1350">
        <v>0</v>
      </c>
      <c r="D18" s="1351"/>
      <c r="E18" s="1352"/>
      <c r="F18" s="1349" t="s">
        <v>284</v>
      </c>
      <c r="G18" s="1348"/>
      <c r="H18" s="1350">
        <v>0</v>
      </c>
      <c r="I18" s="1351"/>
      <c r="J18" s="1353"/>
    </row>
    <row r="19" spans="1:10" ht="12" customHeight="1">
      <c r="A19" s="1179"/>
      <c r="B19" s="1286"/>
      <c r="C19" s="1286"/>
      <c r="D19" s="1286"/>
      <c r="E19" s="1286"/>
      <c r="F19" s="1286"/>
      <c r="G19" s="1286"/>
      <c r="H19" s="1286"/>
      <c r="I19" s="1286"/>
      <c r="J19" s="1286"/>
    </row>
    <row r="20" spans="1:10" ht="15.95" customHeight="1">
      <c r="A20" s="1179" t="s">
        <v>3517</v>
      </c>
      <c r="B20" s="1286"/>
      <c r="C20" s="1286"/>
      <c r="D20" s="1286"/>
      <c r="E20" s="1286"/>
      <c r="F20" s="1286"/>
      <c r="G20" s="1286"/>
      <c r="H20" s="1286"/>
      <c r="I20" s="1286"/>
      <c r="J20" s="1286"/>
    </row>
    <row r="21" spans="1:10" ht="15.95" customHeight="1" thickBot="1">
      <c r="A21" s="1371" t="s">
        <v>263</v>
      </c>
      <c r="B21" s="1069"/>
      <c r="C21" s="1069"/>
      <c r="D21" s="1069"/>
      <c r="E21" s="1069"/>
      <c r="F21" s="1069"/>
      <c r="G21" s="1069"/>
      <c r="H21" s="1069"/>
      <c r="I21" s="1069"/>
      <c r="J21" s="1069"/>
    </row>
    <row r="22" spans="1:10" ht="24" customHeight="1">
      <c r="A22" s="1396" t="s">
        <v>152</v>
      </c>
      <c r="B22" s="932"/>
      <c r="C22" s="1315"/>
      <c r="D22" s="1266" t="s">
        <v>146</v>
      </c>
      <c r="E22" s="1382"/>
      <c r="F22" s="1266" t="s">
        <v>147</v>
      </c>
      <c r="G22" s="1382"/>
      <c r="H22" s="1386" t="s">
        <v>3518</v>
      </c>
      <c r="I22" s="1063"/>
      <c r="J22" s="115" t="s">
        <v>96</v>
      </c>
    </row>
    <row r="23" spans="1:10" ht="12.75">
      <c r="A23" s="1397">
        <v>1</v>
      </c>
      <c r="B23" s="861"/>
      <c r="C23" s="1398"/>
      <c r="D23" s="1009">
        <v>2</v>
      </c>
      <c r="E23" s="1383"/>
      <c r="F23" s="1009">
        <v>3</v>
      </c>
      <c r="G23" s="1383"/>
      <c r="H23" s="1009">
        <v>4</v>
      </c>
      <c r="I23" s="1387"/>
      <c r="J23" s="7">
        <v>5</v>
      </c>
    </row>
    <row r="24" spans="1:10" ht="21" customHeight="1">
      <c r="A24" s="18">
        <v>1</v>
      </c>
      <c r="B24" s="1401"/>
      <c r="C24" s="873"/>
      <c r="D24" s="1380">
        <v>0</v>
      </c>
      <c r="E24" s="1381"/>
      <c r="F24" s="1380">
        <v>0</v>
      </c>
      <c r="G24" s="1381"/>
      <c r="H24" s="1384">
        <f>+MAX(0,D24-F24)</f>
        <v>0</v>
      </c>
      <c r="I24" s="1385"/>
      <c r="J24" s="96"/>
    </row>
    <row r="25" spans="1:10" ht="21" customHeight="1">
      <c r="A25" s="18">
        <v>2</v>
      </c>
      <c r="B25" s="1401"/>
      <c r="C25" s="873"/>
      <c r="D25" s="1380">
        <v>0</v>
      </c>
      <c r="E25" s="1381"/>
      <c r="F25" s="1380">
        <v>0</v>
      </c>
      <c r="G25" s="1381"/>
      <c r="H25" s="1384">
        <f>+MAX(0,D25-F25)</f>
        <v>0</v>
      </c>
      <c r="I25" s="1385"/>
      <c r="J25" s="96"/>
    </row>
    <row r="26" spans="1:10" ht="21" customHeight="1">
      <c r="A26" s="18">
        <v>3</v>
      </c>
      <c r="B26" s="1401"/>
      <c r="C26" s="873"/>
      <c r="D26" s="1380">
        <v>0</v>
      </c>
      <c r="E26" s="1381"/>
      <c r="F26" s="1380">
        <v>0</v>
      </c>
      <c r="G26" s="1381"/>
      <c r="H26" s="1384">
        <f>+MAX(0,D26-F26)</f>
        <v>0</v>
      </c>
      <c r="I26" s="1385"/>
      <c r="J26" s="96"/>
    </row>
    <row r="27" spans="1:10" ht="21" customHeight="1">
      <c r="A27" s="18">
        <v>4</v>
      </c>
      <c r="B27" s="1401"/>
      <c r="C27" s="873"/>
      <c r="D27" s="1380">
        <v>0</v>
      </c>
      <c r="E27" s="1381"/>
      <c r="F27" s="1380">
        <v>0</v>
      </c>
      <c r="G27" s="1381"/>
      <c r="H27" s="1384">
        <f>+MAX(0,D27-F27)</f>
        <v>0</v>
      </c>
      <c r="I27" s="1385"/>
      <c r="J27" s="96"/>
    </row>
    <row r="28" spans="1:10" ht="21" customHeight="1" thickBot="1">
      <c r="A28" s="1399" t="s">
        <v>114</v>
      </c>
      <c r="B28" s="1400"/>
      <c r="C28" s="971"/>
      <c r="D28" s="1388">
        <f>SUM(D24:D27)</f>
        <v>0</v>
      </c>
      <c r="E28" s="1389"/>
      <c r="F28" s="1388">
        <f>SUM(F24:F27)</f>
        <v>0</v>
      </c>
      <c r="G28" s="1389"/>
      <c r="H28" s="1388">
        <f>SUM(H24:H27)</f>
        <v>0</v>
      </c>
      <c r="I28" s="1389"/>
      <c r="J28" s="19" t="s">
        <v>142</v>
      </c>
    </row>
    <row r="29" spans="1:10" ht="5.1" customHeight="1" thickBot="1">
      <c r="A29" s="1402"/>
      <c r="B29" s="780"/>
      <c r="C29" s="780"/>
      <c r="D29" s="780"/>
      <c r="E29" s="780"/>
      <c r="F29" s="780"/>
      <c r="G29" s="780"/>
      <c r="H29" s="780"/>
      <c r="I29" s="780"/>
      <c r="J29" s="780"/>
    </row>
    <row r="30" spans="1:10" ht="24" customHeight="1" thickBot="1">
      <c r="A30" s="978" t="s">
        <v>85</v>
      </c>
      <c r="B30" s="1403"/>
      <c r="C30" s="1404"/>
      <c r="D30" s="1405"/>
      <c r="E30" s="1406"/>
      <c r="F30" s="1407"/>
      <c r="G30" s="1407"/>
      <c r="H30" s="1407"/>
      <c r="I30" s="1407"/>
      <c r="J30" s="1407"/>
    </row>
    <row r="31" spans="1:10" ht="5.1" customHeight="1" thickBot="1">
      <c r="A31" s="1391"/>
      <c r="B31" s="796"/>
      <c r="C31" s="796"/>
      <c r="D31" s="796"/>
      <c r="E31" s="796"/>
      <c r="F31" s="796"/>
      <c r="G31" s="796"/>
      <c r="H31" s="796"/>
      <c r="I31" s="796"/>
      <c r="J31" s="796"/>
    </row>
    <row r="32" spans="1:10" ht="15.95" customHeight="1">
      <c r="A32" s="1314"/>
      <c r="B32" s="925"/>
      <c r="C32" s="925"/>
      <c r="D32" s="925"/>
      <c r="E32" s="925"/>
      <c r="F32" s="1392"/>
      <c r="G32" s="1077" t="s">
        <v>149</v>
      </c>
      <c r="H32" s="1394"/>
      <c r="I32" s="1077" t="s">
        <v>157</v>
      </c>
      <c r="J32" s="1395"/>
    </row>
    <row r="33" spans="1:10" ht="21" customHeight="1">
      <c r="A33" s="18">
        <v>207</v>
      </c>
      <c r="B33" s="1035" t="s">
        <v>7</v>
      </c>
      <c r="C33" s="1035"/>
      <c r="D33" s="1035"/>
      <c r="E33" s="1035"/>
      <c r="F33" s="1036"/>
      <c r="G33" s="885">
        <f>+SUM(D24:E27)</f>
        <v>0</v>
      </c>
      <c r="H33" s="887"/>
      <c r="I33" s="1375"/>
      <c r="J33" s="956"/>
    </row>
    <row r="34" spans="1:10" ht="21" customHeight="1">
      <c r="A34" s="18">
        <v>208</v>
      </c>
      <c r="B34" s="1035" t="s">
        <v>3519</v>
      </c>
      <c r="C34" s="1035"/>
      <c r="D34" s="1035"/>
      <c r="E34" s="1035"/>
      <c r="F34" s="1036"/>
      <c r="G34" s="885">
        <f>+G33-H28</f>
        <v>0</v>
      </c>
      <c r="H34" s="887"/>
      <c r="I34" s="1375"/>
      <c r="J34" s="956"/>
    </row>
    <row r="35" spans="1:10" ht="21" customHeight="1" thickBot="1">
      <c r="A35" s="17">
        <v>209</v>
      </c>
      <c r="B35" s="1393" t="s">
        <v>117</v>
      </c>
      <c r="C35" s="1393"/>
      <c r="D35" s="1393"/>
      <c r="E35" s="1393"/>
      <c r="F35" s="1076"/>
      <c r="G35" s="934">
        <f>+G33-G34</f>
        <v>0</v>
      </c>
      <c r="H35" s="936"/>
      <c r="I35" s="1390"/>
      <c r="J35" s="938"/>
    </row>
    <row r="36" spans="1:10" ht="10.5" customHeight="1">
      <c r="A36" s="1357" t="s">
        <v>88</v>
      </c>
      <c r="B36" s="1265"/>
      <c r="C36" s="1265"/>
      <c r="D36" s="1265"/>
      <c r="E36" s="1265"/>
      <c r="F36" s="1265"/>
      <c r="G36" s="1265"/>
      <c r="H36" s="1265"/>
      <c r="I36" s="1265"/>
      <c r="J36" s="1265"/>
    </row>
    <row r="37" spans="1:10" ht="30" customHeight="1">
      <c r="A37" s="1358" t="s">
        <v>3520</v>
      </c>
      <c r="B37" s="1359"/>
      <c r="C37" s="1359"/>
      <c r="D37" s="1359"/>
      <c r="E37" s="1359"/>
      <c r="F37" s="1359"/>
      <c r="G37" s="1359"/>
      <c r="H37" s="1359"/>
      <c r="I37" s="1359"/>
      <c r="J37" s="1359"/>
    </row>
    <row r="38" spans="1:10" ht="12.75" customHeight="1">
      <c r="A38" s="1362" t="str">
        <f>+'DAP1'!A46</f>
        <v>Formulář zpracovala ASPEKT HM, daňová, účetní a auditorská kancelář, www.danovapriznani.cz, business.center.cz</v>
      </c>
      <c r="B38" s="1363"/>
      <c r="C38" s="1363"/>
      <c r="D38" s="1363"/>
      <c r="E38" s="1363"/>
      <c r="F38" s="1363"/>
      <c r="G38" s="1363"/>
      <c r="H38" s="1363"/>
      <c r="I38" s="1363"/>
      <c r="J38" s="1363"/>
    </row>
    <row r="39" spans="1:10" ht="12.75" customHeight="1">
      <c r="A39" s="1234" t="s">
        <v>3940</v>
      </c>
      <c r="B39" s="1234"/>
      <c r="C39" s="1234"/>
      <c r="D39" s="1234"/>
      <c r="E39" s="1234"/>
      <c r="F39" s="1234"/>
      <c r="G39" s="1234"/>
      <c r="H39" s="1234"/>
      <c r="I39" s="1234"/>
      <c r="J39" s="1234"/>
    </row>
    <row r="40" spans="1:10" ht="12" customHeight="1">
      <c r="A40" s="1232" t="s">
        <v>300</v>
      </c>
      <c r="B40" s="1232"/>
      <c r="C40" s="1232"/>
      <c r="D40" s="1232"/>
      <c r="E40" s="1232"/>
      <c r="F40" s="1232"/>
      <c r="G40" s="1232"/>
      <c r="H40" s="733"/>
      <c r="I40" s="733"/>
      <c r="J40" s="733"/>
    </row>
    <row r="41" spans="1:10" ht="12.75">
      <c r="A41" s="73"/>
      <c r="B41" s="73"/>
      <c r="C41" s="73"/>
      <c r="D41" s="73"/>
      <c r="E41" s="73"/>
      <c r="F41" s="73"/>
      <c r="G41" s="73"/>
      <c r="H41" s="73"/>
      <c r="I41" s="73"/>
      <c r="J41" s="73"/>
    </row>
    <row r="42" spans="1:10" ht="12.75">
      <c r="A42" s="73"/>
      <c r="B42" s="73"/>
      <c r="C42" s="73"/>
      <c r="D42" s="73"/>
      <c r="E42" s="73"/>
      <c r="F42" s="73"/>
      <c r="G42" s="73"/>
      <c r="H42" s="73"/>
      <c r="I42" s="73"/>
      <c r="J42" s="73"/>
    </row>
    <row r="43" spans="1:10" ht="12.75">
      <c r="A43" s="73"/>
      <c r="B43" s="73"/>
      <c r="C43" s="73"/>
      <c r="D43" s="73"/>
      <c r="E43" s="73"/>
      <c r="F43" s="73"/>
      <c r="G43" s="73"/>
      <c r="H43" s="73"/>
      <c r="I43" s="73"/>
      <c r="J43" s="73"/>
    </row>
    <row r="44" spans="1:10" ht="12.75">
      <c r="A44" s="73"/>
      <c r="B44" s="73"/>
      <c r="C44" s="73"/>
      <c r="D44" s="73"/>
      <c r="E44" s="73"/>
      <c r="F44" s="73"/>
      <c r="G44" s="73"/>
      <c r="H44" s="73"/>
      <c r="I44" s="73"/>
      <c r="J44" s="73"/>
    </row>
    <row r="45" spans="1:10" ht="12.75">
      <c r="A45" s="73"/>
      <c r="B45" s="73"/>
      <c r="C45" s="73"/>
      <c r="D45" s="73"/>
      <c r="E45" s="73"/>
      <c r="F45" s="73"/>
      <c r="G45" s="73"/>
      <c r="H45" s="73"/>
      <c r="I45" s="73"/>
      <c r="J45" s="73"/>
    </row>
    <row r="46" spans="1:10" ht="12.75">
      <c r="A46" s="73"/>
      <c r="B46" s="73"/>
      <c r="C46" s="73"/>
      <c r="D46" s="73"/>
      <c r="E46" s="73"/>
      <c r="F46" s="73"/>
      <c r="G46" s="73"/>
      <c r="H46" s="73"/>
      <c r="I46" s="73"/>
      <c r="J46" s="73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pans="1:10" ht="12.75">
      <c r="A97" s="73"/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12.75">
      <c r="A98" s="73"/>
      <c r="B98" s="73"/>
      <c r="C98" s="73"/>
      <c r="D98" s="73"/>
      <c r="E98" s="73"/>
      <c r="F98" s="73"/>
      <c r="G98" s="73"/>
      <c r="H98" s="73"/>
      <c r="I98" s="73"/>
      <c r="J98" s="73"/>
    </row>
    <row r="99" spans="1:10" ht="12.75">
      <c r="A99" s="73"/>
      <c r="B99" s="73"/>
      <c r="C99" s="73"/>
      <c r="D99" s="73"/>
      <c r="E99" s="73"/>
      <c r="F99" s="73"/>
      <c r="G99" s="73"/>
      <c r="H99" s="73"/>
      <c r="I99" s="73"/>
      <c r="J99" s="73"/>
    </row>
    <row r="100" spans="1:10" ht="12.75">
      <c r="A100" s="73"/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0" ht="12.75">
      <c r="A101" s="73"/>
      <c r="B101" s="73"/>
      <c r="C101" s="73"/>
      <c r="D101" s="73"/>
      <c r="E101" s="73"/>
      <c r="F101" s="73"/>
      <c r="G101" s="73"/>
      <c r="H101" s="73"/>
      <c r="I101" s="73"/>
      <c r="J101" s="73"/>
    </row>
    <row r="102" spans="1:10" ht="12.75">
      <c r="A102" s="73"/>
      <c r="B102" s="73"/>
      <c r="C102" s="73"/>
      <c r="D102" s="73"/>
      <c r="E102" s="73"/>
      <c r="F102" s="73"/>
      <c r="G102" s="73"/>
      <c r="H102" s="73"/>
      <c r="I102" s="73"/>
      <c r="J102" s="73"/>
    </row>
    <row r="103" spans="1:10" ht="12.75">
      <c r="A103" s="73"/>
      <c r="B103" s="73"/>
      <c r="C103" s="73"/>
      <c r="D103" s="73"/>
      <c r="E103" s="73"/>
      <c r="F103" s="73"/>
      <c r="G103" s="73"/>
      <c r="H103" s="73"/>
      <c r="I103" s="73"/>
      <c r="J103" s="73"/>
    </row>
    <row r="104" spans="1:10" ht="12.75">
      <c r="A104" s="73"/>
      <c r="B104" s="73"/>
      <c r="C104" s="73"/>
      <c r="D104" s="73"/>
      <c r="E104" s="73"/>
      <c r="F104" s="73"/>
      <c r="G104" s="73"/>
      <c r="H104" s="73"/>
      <c r="I104" s="73"/>
      <c r="J104" s="73"/>
    </row>
    <row r="105" spans="1:10" ht="12.75">
      <c r="A105" s="73"/>
      <c r="B105" s="73"/>
      <c r="C105" s="73"/>
      <c r="D105" s="73"/>
      <c r="E105" s="73"/>
      <c r="F105" s="73"/>
      <c r="G105" s="73"/>
      <c r="H105" s="73"/>
      <c r="I105" s="73"/>
      <c r="J105" s="73"/>
    </row>
    <row r="106" spans="1:10" ht="12.75">
      <c r="A106" s="73"/>
      <c r="B106" s="73"/>
      <c r="C106" s="73"/>
      <c r="D106" s="73"/>
      <c r="E106" s="73"/>
      <c r="F106" s="73"/>
      <c r="G106" s="73"/>
      <c r="H106" s="73"/>
      <c r="I106" s="73"/>
      <c r="J106" s="73"/>
    </row>
    <row r="107" spans="1:10" ht="12.75">
      <c r="A107" s="73"/>
      <c r="B107" s="73"/>
      <c r="C107" s="73"/>
      <c r="D107" s="73"/>
      <c r="E107" s="73"/>
      <c r="F107" s="73"/>
      <c r="G107" s="73"/>
      <c r="H107" s="73"/>
      <c r="I107" s="73"/>
      <c r="J107" s="73"/>
    </row>
    <row r="108" spans="1:10" ht="12.75">
      <c r="A108" s="73"/>
      <c r="B108" s="73"/>
      <c r="C108" s="73"/>
      <c r="D108" s="73"/>
      <c r="E108" s="73"/>
      <c r="F108" s="73"/>
      <c r="G108" s="73"/>
      <c r="H108" s="73"/>
      <c r="I108" s="73"/>
      <c r="J108" s="73"/>
    </row>
    <row r="109" spans="1:10" ht="12.75">
      <c r="A109" s="73"/>
      <c r="B109" s="73"/>
      <c r="C109" s="73"/>
      <c r="D109" s="73"/>
      <c r="E109" s="73"/>
      <c r="F109" s="73"/>
      <c r="G109" s="73"/>
      <c r="H109" s="73"/>
      <c r="I109" s="73"/>
      <c r="J109" s="73"/>
    </row>
    <row r="110" spans="1:10" ht="12.75">
      <c r="A110" s="73"/>
      <c r="B110" s="73"/>
      <c r="C110" s="73"/>
      <c r="D110" s="73"/>
      <c r="E110" s="73"/>
      <c r="F110" s="73"/>
      <c r="G110" s="73"/>
      <c r="H110" s="73"/>
      <c r="I110" s="73"/>
      <c r="J110" s="73"/>
    </row>
    <row r="111" spans="1:10" ht="12.75">
      <c r="A111" s="73"/>
      <c r="B111" s="73"/>
      <c r="C111" s="73"/>
      <c r="D111" s="73"/>
      <c r="E111" s="73"/>
      <c r="F111" s="73"/>
      <c r="G111" s="73"/>
      <c r="H111" s="73"/>
      <c r="I111" s="73"/>
      <c r="J111" s="73"/>
    </row>
    <row r="112" spans="1:10" ht="12.75">
      <c r="A112" s="73"/>
      <c r="B112" s="73"/>
      <c r="C112" s="73"/>
      <c r="D112" s="73"/>
      <c r="E112" s="73"/>
      <c r="F112" s="73"/>
      <c r="G112" s="73"/>
      <c r="H112" s="73"/>
      <c r="I112" s="73"/>
      <c r="J112" s="73"/>
    </row>
    <row r="113" spans="1:10" ht="12.75">
      <c r="A113" s="73"/>
      <c r="B113" s="73"/>
      <c r="C113" s="73"/>
      <c r="D113" s="73"/>
      <c r="E113" s="73"/>
      <c r="F113" s="73"/>
      <c r="G113" s="73"/>
      <c r="H113" s="73"/>
      <c r="I113" s="73"/>
      <c r="J113" s="73"/>
    </row>
    <row r="114" spans="1:10" ht="12.75">
      <c r="A114" s="73"/>
      <c r="B114" s="73"/>
      <c r="C114" s="73"/>
      <c r="D114" s="73"/>
      <c r="E114" s="73"/>
      <c r="F114" s="73"/>
      <c r="G114" s="73"/>
      <c r="H114" s="73"/>
      <c r="I114" s="73"/>
      <c r="J114" s="73"/>
    </row>
    <row r="115" spans="1:10" ht="12.75">
      <c r="A115" s="73"/>
      <c r="B115" s="73"/>
      <c r="C115" s="73"/>
      <c r="D115" s="73"/>
      <c r="E115" s="73"/>
      <c r="F115" s="73"/>
      <c r="G115" s="73"/>
      <c r="H115" s="73"/>
      <c r="I115" s="73"/>
      <c r="J115" s="73"/>
    </row>
    <row r="116" spans="1:10" ht="12.75">
      <c r="A116" s="73"/>
      <c r="B116" s="73"/>
      <c r="C116" s="73"/>
      <c r="D116" s="73"/>
      <c r="E116" s="73"/>
      <c r="F116" s="73"/>
      <c r="G116" s="73"/>
      <c r="H116" s="73"/>
      <c r="I116" s="73"/>
      <c r="J116" s="73"/>
    </row>
    <row r="117" spans="1:10" ht="12.75">
      <c r="A117" s="73"/>
      <c r="B117" s="73"/>
      <c r="C117" s="73"/>
      <c r="D117" s="73"/>
      <c r="E117" s="73"/>
      <c r="F117" s="73"/>
      <c r="G117" s="73"/>
      <c r="H117" s="73"/>
      <c r="I117" s="73"/>
      <c r="J117" s="73"/>
    </row>
    <row r="118" spans="1:10" ht="12.75">
      <c r="A118" s="73"/>
      <c r="B118" s="73"/>
      <c r="C118" s="73"/>
      <c r="D118" s="73"/>
      <c r="E118" s="73"/>
      <c r="F118" s="73"/>
      <c r="G118" s="73"/>
      <c r="H118" s="73"/>
      <c r="I118" s="73"/>
      <c r="J118" s="73"/>
    </row>
    <row r="119" spans="1:10" ht="12.75">
      <c r="A119" s="73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ht="12.75">
      <c r="A120" s="73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ht="12.75">
      <c r="A121" s="73"/>
      <c r="B121" s="73"/>
      <c r="C121" s="73"/>
      <c r="D121" s="73"/>
      <c r="E121" s="73"/>
      <c r="F121" s="73"/>
      <c r="G121" s="73"/>
      <c r="H121" s="73"/>
      <c r="I121" s="73"/>
      <c r="J121" s="73"/>
    </row>
    <row r="122" spans="1:10" ht="12.75">
      <c r="A122" s="73"/>
      <c r="B122" s="73"/>
      <c r="C122" s="73"/>
      <c r="D122" s="73"/>
      <c r="E122" s="73"/>
      <c r="F122" s="73"/>
      <c r="G122" s="73"/>
      <c r="H122" s="73"/>
      <c r="I122" s="73"/>
      <c r="J122" s="73"/>
    </row>
    <row r="123" spans="1:10" ht="12.75">
      <c r="A123" s="73"/>
      <c r="B123" s="73"/>
      <c r="C123" s="73"/>
      <c r="D123" s="73"/>
      <c r="E123" s="73"/>
      <c r="F123" s="73"/>
      <c r="G123" s="73"/>
      <c r="H123" s="73"/>
      <c r="I123" s="73"/>
      <c r="J123" s="73"/>
    </row>
    <row r="124" spans="1:10" ht="12.75">
      <c r="A124" s="73"/>
      <c r="B124" s="73"/>
      <c r="C124" s="73"/>
      <c r="D124" s="73"/>
      <c r="E124" s="73"/>
      <c r="F124" s="73"/>
      <c r="G124" s="73"/>
      <c r="H124" s="73"/>
      <c r="I124" s="73"/>
      <c r="J124" s="73"/>
    </row>
    <row r="125" spans="1:10" ht="12.75">
      <c r="A125" s="73"/>
      <c r="B125" s="73"/>
      <c r="C125" s="73"/>
      <c r="D125" s="73"/>
      <c r="E125" s="73"/>
      <c r="F125" s="73"/>
      <c r="G125" s="73"/>
      <c r="H125" s="73"/>
      <c r="I125" s="73"/>
      <c r="J125" s="73"/>
    </row>
    <row r="126" spans="1:10" ht="12.75">
      <c r="A126" s="73"/>
      <c r="B126" s="73"/>
      <c r="C126" s="73"/>
      <c r="D126" s="73"/>
      <c r="E126" s="73"/>
      <c r="F126" s="73"/>
      <c r="G126" s="73"/>
      <c r="H126" s="73"/>
      <c r="I126" s="73"/>
      <c r="J126" s="73"/>
    </row>
    <row r="127" spans="1:10" ht="12.75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0" ht="12.75">
      <c r="A128" s="73"/>
      <c r="B128" s="73"/>
      <c r="C128" s="73"/>
      <c r="D128" s="73"/>
      <c r="E128" s="73"/>
      <c r="F128" s="73"/>
      <c r="G128" s="73"/>
      <c r="H128" s="73"/>
      <c r="I128" s="73"/>
      <c r="J128" s="73"/>
    </row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</sheetData>
  <sheetProtection algorithmName="SHA-512" hashValue="R7FZ2vQ+sgtcYIebVxEYR1wjGIVxtt6E/CctP0dmX1b8aa7gjsw6rGb7CKtU23OriXkSYD90yZu040qMP8G+9w==" saltValue="RsznKep9JU/iyKwVpY7jSw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A21:J21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8:J8"/>
    <mergeCell ref="A9:F9"/>
    <mergeCell ref="B10:F10"/>
    <mergeCell ref="A5:J5"/>
    <mergeCell ref="A6:J6"/>
    <mergeCell ref="G16:H16"/>
    <mergeCell ref="I16:J16"/>
    <mergeCell ref="A20:J20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3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10" sqref="F10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8" width="9.14285714285714" style="73"/>
    <col min="9" max="9" width="35.7142857142857" style="73" customWidth="1"/>
    <col min="10" max="10" width="4.14285714285714" style="73" customWidth="1"/>
    <col min="11" max="60" width="9.14285714285714" style="73"/>
  </cols>
  <sheetData>
    <row r="1" spans="1:58" s="103" customFormat="1" ht="16.5" thickBot="1">
      <c r="A1" s="1282" t="s">
        <v>95</v>
      </c>
      <c r="B1" s="733"/>
      <c r="C1" s="733"/>
      <c r="D1" s="1374" t="s">
        <v>37</v>
      </c>
      <c r="E1" s="819"/>
      <c r="F1" s="1136"/>
      <c r="G1" s="166" t="str">
        <f>+'2Př'!I1</f>
        <v/>
      </c>
      <c r="H1" s="73"/>
      <c r="I1" s="102"/>
      <c r="J1" s="102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</row>
    <row r="2" spans="1:10" ht="24" customHeight="1" thickBot="1">
      <c r="A2" s="1281" t="s">
        <v>3941</v>
      </c>
      <c r="B2" s="1281"/>
      <c r="C2" s="1281"/>
      <c r="D2" s="1281"/>
      <c r="E2" s="1281"/>
      <c r="F2" s="1281"/>
      <c r="G2" s="111"/>
      <c r="I2" s="708" t="s">
        <v>3991</v>
      </c>
      <c r="J2" s="709"/>
    </row>
    <row r="3" spans="1:7" ht="36" customHeight="1">
      <c r="A3" s="1272" t="s">
        <v>171</v>
      </c>
      <c r="B3" s="767"/>
      <c r="C3" s="767"/>
      <c r="D3" s="767"/>
      <c r="E3" s="767"/>
      <c r="F3" s="767"/>
      <c r="G3" s="767"/>
    </row>
    <row r="4" spans="1:60" s="103" customFormat="1" ht="24" customHeight="1">
      <c r="A4" s="1416" t="s">
        <v>3521</v>
      </c>
      <c r="B4" s="1356"/>
      <c r="C4" s="1356"/>
      <c r="D4" s="1356"/>
      <c r="E4" s="1356"/>
      <c r="F4" s="1356"/>
      <c r="G4" s="1356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</row>
    <row r="5" spans="1:60" s="103" customFormat="1" ht="24" customHeight="1" thickBot="1">
      <c r="A5" s="1411" t="s">
        <v>3831</v>
      </c>
      <c r="B5" s="1221"/>
      <c r="C5" s="1221"/>
      <c r="D5" s="1221"/>
      <c r="E5" s="1221"/>
      <c r="F5" s="1221"/>
      <c r="G5" s="1221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</row>
    <row r="6" spans="1:60" s="103" customFormat="1" ht="15" customHeight="1">
      <c r="A6" s="1430"/>
      <c r="B6" s="780"/>
      <c r="C6" s="780"/>
      <c r="D6" s="780"/>
      <c r="E6" s="780"/>
      <c r="F6" s="918" t="s">
        <v>261</v>
      </c>
      <c r="G6" s="1432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</row>
    <row r="7" spans="1:60" s="103" customFormat="1" ht="15" customHeight="1">
      <c r="A7" s="1431"/>
      <c r="B7" s="868"/>
      <c r="C7" s="868"/>
      <c r="D7" s="868"/>
      <c r="E7" s="868"/>
      <c r="F7" s="591" t="s">
        <v>149</v>
      </c>
      <c r="G7" s="592" t="s">
        <v>157</v>
      </c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</row>
    <row r="8" spans="1:60" s="103" customFormat="1" ht="24" customHeight="1">
      <c r="A8" s="40">
        <v>311</v>
      </c>
      <c r="B8" s="1421" t="s">
        <v>3832</v>
      </c>
      <c r="C8" s="1421"/>
      <c r="D8" s="1421"/>
      <c r="E8" s="1422"/>
      <c r="F8" s="105">
        <f>+IF(EXACT(J2,"X"),'DAP2'!E7-'DAP2'!E8,0)</f>
        <v>0</v>
      </c>
      <c r="G8" s="65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</row>
    <row r="9" spans="1:60" s="103" customFormat="1" ht="24" customHeight="1">
      <c r="A9" s="40">
        <v>312</v>
      </c>
      <c r="B9" s="1421" t="s">
        <v>3833</v>
      </c>
      <c r="C9" s="1421"/>
      <c r="D9" s="1421"/>
      <c r="E9" s="1422"/>
      <c r="F9" s="105">
        <f>+IF(EXACT(J2,"X"),+'DAP2'!E11+'DAP2'!E12+'DAP2'!E13+'DAP2'!E14,0)</f>
        <v>0</v>
      </c>
      <c r="G9" s="65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</row>
    <row r="10" spans="1:60" s="103" customFormat="1" ht="24" customHeight="1">
      <c r="A10" s="40">
        <v>313</v>
      </c>
      <c r="B10" s="1421" t="s">
        <v>3834</v>
      </c>
      <c r="C10" s="1421"/>
      <c r="D10" s="1421"/>
      <c r="E10" s="1422"/>
      <c r="F10" s="593">
        <f>+F8+MAX(F9,0)</f>
        <v>0</v>
      </c>
      <c r="G10" s="65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</row>
    <row r="11" spans="1:60" s="103" customFormat="1" ht="33.95" customHeight="1">
      <c r="A11" s="40">
        <v>314</v>
      </c>
      <c r="B11" s="1421" t="s">
        <v>3835</v>
      </c>
      <c r="C11" s="1421"/>
      <c r="D11" s="1421"/>
      <c r="E11" s="1422"/>
      <c r="F11" s="593">
        <f>IF(F10=0,0,FLOOR(+F10-'DAP2'!E18-'DAP2'!F31,100))</f>
        <v>0</v>
      </c>
      <c r="G11" s="65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</row>
    <row r="12" spans="1:60" s="103" customFormat="1" ht="24" customHeight="1" thickBot="1">
      <c r="A12" s="40">
        <v>315</v>
      </c>
      <c r="B12" s="1421" t="s">
        <v>3836</v>
      </c>
      <c r="C12" s="1421"/>
      <c r="D12" s="1421"/>
      <c r="E12" s="1422"/>
      <c r="F12" s="160">
        <f>ROUND(IF(F11=0,0,+'DAP2'!F34/'DAP2'!F33),4)</f>
        <v>0</v>
      </c>
      <c r="G12" s="65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</row>
    <row r="13" spans="1:60" s="103" customFormat="1" ht="24" customHeight="1" thickBot="1">
      <c r="A13" s="78">
        <v>316</v>
      </c>
      <c r="B13" s="1428" t="s">
        <v>3837</v>
      </c>
      <c r="C13" s="1428"/>
      <c r="D13" s="1428"/>
      <c r="E13" s="1429"/>
      <c r="F13" s="261">
        <f>+F11*F12</f>
        <v>0</v>
      </c>
      <c r="G13" s="83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</row>
    <row r="14" spans="1:60" s="103" customFormat="1" ht="15" customHeight="1">
      <c r="A14" s="1411"/>
      <c r="B14" s="1221"/>
      <c r="C14" s="1221"/>
      <c r="D14" s="1221"/>
      <c r="E14" s="1221"/>
      <c r="F14" s="1221"/>
      <c r="G14" s="1221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</row>
    <row r="15" spans="1:7" ht="24" customHeight="1">
      <c r="A15" s="1411" t="s">
        <v>3838</v>
      </c>
      <c r="B15" s="1221"/>
      <c r="C15" s="1221"/>
      <c r="D15" s="1221"/>
      <c r="E15" s="1221"/>
      <c r="F15" s="1221"/>
      <c r="G15" s="1221"/>
    </row>
    <row r="16" spans="1:7" ht="36" customHeight="1">
      <c r="A16" s="1412" t="s">
        <v>3522</v>
      </c>
      <c r="B16" s="782"/>
      <c r="C16" s="782"/>
      <c r="D16" s="782"/>
      <c r="E16" s="782"/>
      <c r="F16" s="782"/>
      <c r="G16" s="782"/>
    </row>
    <row r="17" spans="1:7" ht="15" customHeight="1">
      <c r="A17" s="1412" t="s">
        <v>253</v>
      </c>
      <c r="B17" s="1136"/>
      <c r="C17" s="138"/>
      <c r="D17" s="1413"/>
      <c r="E17" s="782"/>
      <c r="F17" s="782"/>
      <c r="G17" s="782"/>
    </row>
    <row r="18" spans="1:7" ht="8.1" customHeight="1" thickBot="1">
      <c r="A18" s="1414"/>
      <c r="B18" s="1415"/>
      <c r="C18" s="1415"/>
      <c r="D18" s="1415"/>
      <c r="E18" s="1415"/>
      <c r="F18" s="1415"/>
      <c r="G18" s="1415"/>
    </row>
    <row r="19" spans="1:10" ht="15" customHeight="1">
      <c r="A19" s="1408"/>
      <c r="B19" s="1409"/>
      <c r="C19" s="1409"/>
      <c r="D19" s="1409"/>
      <c r="E19" s="1410"/>
      <c r="F19" s="74" t="s">
        <v>149</v>
      </c>
      <c r="G19" s="84" t="s">
        <v>157</v>
      </c>
      <c r="I19" s="137"/>
      <c r="J19" s="137"/>
    </row>
    <row r="20" spans="1:7" ht="24" customHeight="1">
      <c r="A20" s="40">
        <v>321</v>
      </c>
      <c r="B20" s="1417" t="s">
        <v>254</v>
      </c>
      <c r="C20" s="1417"/>
      <c r="D20" s="1417"/>
      <c r="E20" s="1418"/>
      <c r="F20" s="105">
        <v>0</v>
      </c>
      <c r="G20" s="65"/>
    </row>
    <row r="21" spans="1:7" ht="24" customHeight="1">
      <c r="A21" s="40">
        <v>322</v>
      </c>
      <c r="B21" s="1417" t="s">
        <v>255</v>
      </c>
      <c r="C21" s="1417"/>
      <c r="D21" s="1417"/>
      <c r="E21" s="1418"/>
      <c r="F21" s="105">
        <v>0</v>
      </c>
      <c r="G21" s="65"/>
    </row>
    <row r="22" spans="1:7" ht="24" customHeight="1">
      <c r="A22" s="40">
        <v>323</v>
      </c>
      <c r="B22" s="1417" t="s">
        <v>113</v>
      </c>
      <c r="C22" s="1417"/>
      <c r="D22" s="1417"/>
      <c r="E22" s="1418"/>
      <c r="F22" s="105">
        <v>0</v>
      </c>
      <c r="G22" s="65"/>
    </row>
    <row r="23" spans="1:7" ht="24" customHeight="1">
      <c r="A23" s="40">
        <v>324</v>
      </c>
      <c r="B23" s="1421" t="s">
        <v>3942</v>
      </c>
      <c r="C23" s="1421"/>
      <c r="D23" s="1421"/>
      <c r="E23" s="1422"/>
      <c r="F23" s="257">
        <f>ROUND(+IF(+IF(IF('DAP2'!E16=0,0,(F20-F21)/'DAP2'!E16)&lt;0,0,IF('DAP2'!E16=0,0,(F20-F21)/'DAP2'!E16))&gt;1,1,+IF(IF('DAP2'!E16=0,0,(F20-F21)/'DAP2'!E16)&lt;0,0,IF('DAP2'!E16=0,0,(F20-F21)/'DAP2'!E16))),4)</f>
        <v>0</v>
      </c>
      <c r="G23" s="65"/>
    </row>
    <row r="24" spans="1:7" ht="24" customHeight="1">
      <c r="A24" s="40">
        <v>325</v>
      </c>
      <c r="B24" s="1421" t="s">
        <v>3830</v>
      </c>
      <c r="C24" s="1421"/>
      <c r="D24" s="1421"/>
      <c r="E24" s="1422"/>
      <c r="F24" s="259">
        <f>ROUND((+'DAP2'!F34+'DAP2'!F37)*'3Př'!F23,2)</f>
        <v>0</v>
      </c>
      <c r="G24" s="65"/>
    </row>
    <row r="25" spans="1:7" ht="24" customHeight="1" thickBot="1">
      <c r="A25" s="42">
        <v>326</v>
      </c>
      <c r="B25" s="1423" t="s">
        <v>144</v>
      </c>
      <c r="C25" s="1423"/>
      <c r="D25" s="1423"/>
      <c r="E25" s="1424"/>
      <c r="F25" s="260">
        <f>+MIN(F22,F24)</f>
        <v>0</v>
      </c>
      <c r="G25" s="82"/>
    </row>
    <row r="26" spans="1:7" ht="24" customHeight="1" thickBot="1">
      <c r="A26" s="78">
        <v>327</v>
      </c>
      <c r="B26" s="1428" t="s">
        <v>145</v>
      </c>
      <c r="C26" s="1428"/>
      <c r="D26" s="1428"/>
      <c r="E26" s="1429"/>
      <c r="F26" s="261">
        <f>+F22-F25</f>
        <v>0</v>
      </c>
      <c r="G26" s="83"/>
    </row>
    <row r="27" spans="1:7" ht="24" customHeight="1" thickBot="1">
      <c r="A27" s="78">
        <v>328</v>
      </c>
      <c r="B27" s="1428" t="s">
        <v>3523</v>
      </c>
      <c r="C27" s="1428"/>
      <c r="D27" s="1428"/>
      <c r="E27" s="1429"/>
      <c r="F27" s="262">
        <f>+F25+'3Př_a'!F17</f>
        <v>0</v>
      </c>
      <c r="G27" s="83"/>
    </row>
    <row r="28" spans="1:7" ht="24" customHeight="1" thickBot="1">
      <c r="A28" s="78">
        <v>329</v>
      </c>
      <c r="B28" s="1428" t="s">
        <v>3524</v>
      </c>
      <c r="C28" s="1428"/>
      <c r="D28" s="1428"/>
      <c r="E28" s="1429"/>
      <c r="F28" s="262">
        <f>+F26+'3Př_a'!F18</f>
        <v>0</v>
      </c>
      <c r="G28" s="83"/>
    </row>
    <row r="29" spans="1:7" ht="24" customHeight="1" thickBot="1">
      <c r="A29" s="1412"/>
      <c r="B29" s="782"/>
      <c r="C29" s="782"/>
      <c r="D29" s="782"/>
      <c r="E29" s="782"/>
      <c r="F29" s="782"/>
      <c r="G29" s="782"/>
    </row>
    <row r="30" spans="1:7" ht="24" customHeight="1" thickBot="1">
      <c r="A30" s="78">
        <v>330</v>
      </c>
      <c r="B30" s="1427" t="s">
        <v>3626</v>
      </c>
      <c r="C30" s="1428"/>
      <c r="D30" s="1428"/>
      <c r="E30" s="1429"/>
      <c r="F30" s="261">
        <f>+IF(F20+F8+F9=0,0,IF(OR(F20&gt;0,F13=0),'DAP2'!F34-F27,F13-F27))</f>
        <v>0</v>
      </c>
      <c r="G30" s="83"/>
    </row>
    <row r="31" spans="1:7" ht="50.1" customHeight="1">
      <c r="A31" s="985"/>
      <c r="B31" s="780"/>
      <c r="C31" s="780"/>
      <c r="D31" s="780"/>
      <c r="E31" s="780"/>
      <c r="F31" s="780"/>
      <c r="G31" s="780"/>
    </row>
    <row r="32" spans="1:7" ht="15.95" customHeight="1">
      <c r="A32" s="1426" t="str">
        <f>+'DAP1'!A46</f>
        <v>Formulář zpracovala ASPEKT HM, daňová, účetní a auditorská kancelář, www.danovapriznani.cz, business.center.cz</v>
      </c>
      <c r="B32" s="1426"/>
      <c r="C32" s="1426"/>
      <c r="D32" s="1426"/>
      <c r="E32" s="1426"/>
      <c r="F32" s="1426"/>
      <c r="G32" s="1426"/>
    </row>
    <row r="33" spans="1:60" s="159" customFormat="1" ht="12" customHeight="1">
      <c r="A33" s="1425" t="s">
        <v>3943</v>
      </c>
      <c r="B33" s="1425"/>
      <c r="C33" s="1425"/>
      <c r="D33" s="1425"/>
      <c r="E33" s="1425"/>
      <c r="F33" s="1425"/>
      <c r="G33" s="1425"/>
      <c r="H33" s="158"/>
      <c r="I33" s="707"/>
      <c r="J33" s="707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</row>
    <row r="34" spans="1:7" ht="12.75">
      <c r="A34" s="1419" t="s">
        <v>300</v>
      </c>
      <c r="B34" s="1419"/>
      <c r="C34" s="1419"/>
      <c r="D34" s="1419"/>
      <c r="E34" s="1420"/>
      <c r="F34" s="1420"/>
      <c r="G34" s="1420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pans="1:7" ht="12.75">
      <c r="A65" s="73"/>
      <c r="B65" s="73"/>
      <c r="C65" s="73"/>
      <c r="D65" s="73"/>
      <c r="E65" s="73"/>
      <c r="F65" s="73"/>
      <c r="G65" s="73"/>
    </row>
    <row r="66" spans="1:7" ht="12.75">
      <c r="A66" s="73"/>
      <c r="B66" s="73"/>
      <c r="C66" s="73"/>
      <c r="D66" s="73"/>
      <c r="E66" s="73"/>
      <c r="F66" s="73"/>
      <c r="G66" s="73"/>
    </row>
    <row r="67" spans="1:7" ht="12.75">
      <c r="A67" s="73"/>
      <c r="B67" s="73"/>
      <c r="C67" s="73"/>
      <c r="D67" s="73"/>
      <c r="E67" s="73"/>
      <c r="F67" s="73"/>
      <c r="G67" s="73"/>
    </row>
    <row r="68" spans="1:7" ht="12.75">
      <c r="A68" s="73"/>
      <c r="B68" s="73"/>
      <c r="C68" s="73"/>
      <c r="D68" s="73"/>
      <c r="E68" s="73"/>
      <c r="F68" s="73"/>
      <c r="G68" s="73"/>
    </row>
    <row r="69" spans="1:7" ht="12.75">
      <c r="A69" s="73"/>
      <c r="B69" s="73"/>
      <c r="C69" s="73"/>
      <c r="D69" s="73"/>
      <c r="E69" s="73"/>
      <c r="F69" s="73"/>
      <c r="G69" s="73"/>
    </row>
    <row r="70" spans="1:7" ht="12.75">
      <c r="A70" s="73"/>
      <c r="B70" s="73"/>
      <c r="C70" s="73"/>
      <c r="D70" s="73"/>
      <c r="E70" s="73"/>
      <c r="F70" s="73"/>
      <c r="G70" s="73"/>
    </row>
    <row r="71" spans="1:7" ht="12.75">
      <c r="A71" s="73"/>
      <c r="B71" s="73"/>
      <c r="C71" s="73"/>
      <c r="D71" s="73"/>
      <c r="E71" s="73"/>
      <c r="F71" s="73"/>
      <c r="G71" s="73"/>
    </row>
    <row r="72" spans="1:7" ht="12.75">
      <c r="A72" s="73"/>
      <c r="B72" s="73"/>
      <c r="C72" s="73"/>
      <c r="D72" s="73"/>
      <c r="E72" s="73"/>
      <c r="F72" s="73"/>
      <c r="G72" s="73"/>
    </row>
    <row r="73" spans="1:7" ht="12.75">
      <c r="A73" s="73"/>
      <c r="B73" s="73"/>
      <c r="C73" s="73"/>
      <c r="D73" s="73"/>
      <c r="E73" s="73"/>
      <c r="F73" s="73"/>
      <c r="G73" s="73"/>
    </row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 thickBot="1"/>
  </sheetData>
  <sheetProtection algorithmName="SHA-512" hashValue="oRsbwo2Q0xlQ36X13ThonSSvzUTMepnm3WYIZoOBRla2vko0qGVJyprU7FDWRcdwnKvau+JnpOf8vk7SpkjC3g==" saltValue="FzkZIvT+KseiEA2WO4j/Lg==" spinCount="100000" sheet="1" objects="1" scenarios="1"/>
  <mergeCells count="36">
    <mergeCell ref="B10:E10"/>
    <mergeCell ref="B11:E11"/>
    <mergeCell ref="B12:E12"/>
    <mergeCell ref="B13:E13"/>
    <mergeCell ref="A14:G14"/>
    <mergeCell ref="A5:G5"/>
    <mergeCell ref="A6:E7"/>
    <mergeCell ref="F6:G6"/>
    <mergeCell ref="B8:E8"/>
    <mergeCell ref="B9:E9"/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19:E19"/>
    <mergeCell ref="A15:G15"/>
    <mergeCell ref="A16:G16"/>
    <mergeCell ref="A17:B17"/>
    <mergeCell ref="D17:G17"/>
    <mergeCell ref="A18:G1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6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220FFB-31B8-454F-B793-6827151AEFBE}">
  <sheetPr>
    <tabColor rgb="FFFFCCFF"/>
    <pageSetUpPr fitToPage="1"/>
  </sheetPr>
  <dimension ref="A1:BH63"/>
  <sheetViews>
    <sheetView workbookViewId="0" topLeftCell="A1">
      <selection pane="topLeft" activeCell="A1" sqref="A1:C1"/>
    </sheetView>
  </sheetViews>
  <sheetFormatPr defaultRowHeight="12.75"/>
  <cols>
    <col min="1" max="1" width="5.71428571428571" style="333" customWidth="1"/>
    <col min="2" max="2" width="4.71428571428571" style="333" customWidth="1"/>
    <col min="3" max="3" width="11.7142857142857" style="333" customWidth="1"/>
    <col min="4" max="4" width="18.7142857142857" style="333" customWidth="1"/>
    <col min="5" max="5" width="11.7142857142857" style="333" customWidth="1"/>
    <col min="6" max="7" width="21.7142857142857" style="333" customWidth="1"/>
    <col min="8" max="60" width="9.14285714285714" style="595"/>
    <col min="61" max="16384" width="9.14285714285714" style="333"/>
  </cols>
  <sheetData>
    <row r="1" spans="1:58" s="597" customFormat="1" ht="16.5" thickBot="1">
      <c r="A1" s="1439" t="s">
        <v>3839</v>
      </c>
      <c r="B1" s="1440"/>
      <c r="C1" s="1440"/>
      <c r="D1" s="1441" t="s">
        <v>37</v>
      </c>
      <c r="E1" s="1442"/>
      <c r="F1" s="1443"/>
      <c r="G1" s="594" t="str">
        <f>+'2Př'!I1</f>
        <v/>
      </c>
      <c r="H1" s="595"/>
      <c r="I1" s="595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  <c r="BC1" s="596"/>
      <c r="BD1" s="596"/>
      <c r="BE1" s="596"/>
      <c r="BF1" s="596"/>
    </row>
    <row r="2" spans="1:7" ht="24" customHeight="1">
      <c r="A2" s="1444" t="s">
        <v>3941</v>
      </c>
      <c r="B2" s="1444"/>
      <c r="C2" s="1444"/>
      <c r="D2" s="1444"/>
      <c r="E2" s="1444"/>
      <c r="F2" s="1444"/>
      <c r="G2" s="598"/>
    </row>
    <row r="3" spans="1:7" ht="36" customHeight="1">
      <c r="A3" s="1445" t="s">
        <v>171</v>
      </c>
      <c r="B3" s="1446"/>
      <c r="C3" s="1446"/>
      <c r="D3" s="1446"/>
      <c r="E3" s="1446"/>
      <c r="F3" s="1446"/>
      <c r="G3" s="1446"/>
    </row>
    <row r="4" spans="1:60" s="597" customFormat="1" ht="24" customHeight="1" thickBot="1">
      <c r="A4" s="1447" t="s">
        <v>3840</v>
      </c>
      <c r="B4" s="1448"/>
      <c r="C4" s="1448"/>
      <c r="D4" s="1448"/>
      <c r="E4" s="1448"/>
      <c r="F4" s="1448"/>
      <c r="G4" s="1448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6"/>
      <c r="Z4" s="596"/>
      <c r="AA4" s="596"/>
      <c r="AB4" s="596"/>
      <c r="AC4" s="596"/>
      <c r="AD4" s="596"/>
      <c r="AE4" s="596"/>
      <c r="AF4" s="596"/>
      <c r="AG4" s="596"/>
      <c r="AH4" s="596"/>
      <c r="AI4" s="596"/>
      <c r="AJ4" s="596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596"/>
      <c r="AZ4" s="596"/>
      <c r="BA4" s="596"/>
      <c r="BB4" s="596"/>
      <c r="BC4" s="596"/>
      <c r="BD4" s="596"/>
      <c r="BE4" s="596"/>
      <c r="BF4" s="596"/>
      <c r="BG4" s="596"/>
      <c r="BH4" s="596"/>
    </row>
    <row r="5" spans="1:60" s="597" customFormat="1" ht="15" customHeight="1">
      <c r="A5" s="1433"/>
      <c r="B5" s="1434"/>
      <c r="C5" s="1434"/>
      <c r="D5" s="1434"/>
      <c r="E5" s="1434"/>
      <c r="F5" s="1437" t="s">
        <v>261</v>
      </c>
      <c r="G5" s="1438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596"/>
      <c r="AZ5" s="596"/>
      <c r="BA5" s="596"/>
      <c r="BB5" s="596"/>
      <c r="BC5" s="596"/>
      <c r="BD5" s="596"/>
      <c r="BE5" s="596"/>
      <c r="BF5" s="596"/>
      <c r="BG5" s="596"/>
      <c r="BH5" s="596"/>
    </row>
    <row r="6" spans="1:60" s="597" customFormat="1" ht="15" customHeight="1">
      <c r="A6" s="1435"/>
      <c r="B6" s="1436"/>
      <c r="C6" s="1436"/>
      <c r="D6" s="1436"/>
      <c r="E6" s="1436"/>
      <c r="F6" s="599" t="s">
        <v>149</v>
      </c>
      <c r="G6" s="600" t="s">
        <v>157</v>
      </c>
      <c r="H6" s="596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6"/>
      <c r="Z6" s="596"/>
      <c r="AA6" s="596"/>
      <c r="AB6" s="596"/>
      <c r="AC6" s="596"/>
      <c r="AD6" s="596"/>
      <c r="AE6" s="596"/>
      <c r="AF6" s="596"/>
      <c r="AG6" s="596"/>
      <c r="AH6" s="596"/>
      <c r="AI6" s="596"/>
      <c r="AJ6" s="596"/>
      <c r="AK6" s="596"/>
      <c r="AL6" s="596"/>
      <c r="AM6" s="596"/>
      <c r="AN6" s="596"/>
      <c r="AO6" s="596"/>
      <c r="AP6" s="596"/>
      <c r="AQ6" s="596"/>
      <c r="AR6" s="596"/>
      <c r="AS6" s="596"/>
      <c r="AT6" s="596"/>
      <c r="AU6" s="596"/>
      <c r="AV6" s="596"/>
      <c r="AW6" s="596"/>
      <c r="AX6" s="596"/>
      <c r="AY6" s="596"/>
      <c r="AZ6" s="596"/>
      <c r="BA6" s="596"/>
      <c r="BB6" s="596"/>
      <c r="BC6" s="596"/>
      <c r="BD6" s="596"/>
      <c r="BE6" s="596"/>
      <c r="BF6" s="596"/>
      <c r="BG6" s="596"/>
      <c r="BH6" s="596"/>
    </row>
    <row r="7" spans="1:60" s="597" customFormat="1" ht="48" customHeight="1">
      <c r="A7" s="601">
        <v>401</v>
      </c>
      <c r="B7" s="1449" t="s">
        <v>3841</v>
      </c>
      <c r="C7" s="1449"/>
      <c r="D7" s="1449"/>
      <c r="E7" s="1450"/>
      <c r="F7" s="602">
        <v>0</v>
      </c>
      <c r="G7" s="603"/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6"/>
      <c r="Z7" s="596"/>
      <c r="AA7" s="596"/>
      <c r="AB7" s="596"/>
      <c r="AC7" s="596"/>
      <c r="AD7" s="596"/>
      <c r="AE7" s="596"/>
      <c r="AF7" s="596"/>
      <c r="AG7" s="596"/>
      <c r="AH7" s="596"/>
      <c r="AI7" s="596"/>
      <c r="AJ7" s="596"/>
      <c r="AK7" s="596"/>
      <c r="AL7" s="596"/>
      <c r="AM7" s="596"/>
      <c r="AN7" s="596"/>
      <c r="AO7" s="596"/>
      <c r="AP7" s="596"/>
      <c r="AQ7" s="596"/>
      <c r="AR7" s="596"/>
      <c r="AS7" s="596"/>
      <c r="AT7" s="596"/>
      <c r="AU7" s="596"/>
      <c r="AV7" s="596"/>
      <c r="AW7" s="596"/>
      <c r="AX7" s="596"/>
      <c r="AY7" s="596"/>
      <c r="AZ7" s="596"/>
      <c r="BA7" s="596"/>
      <c r="BB7" s="596"/>
      <c r="BC7" s="596"/>
      <c r="BD7" s="596"/>
      <c r="BE7" s="596"/>
      <c r="BF7" s="596"/>
      <c r="BG7" s="596"/>
      <c r="BH7" s="596"/>
    </row>
    <row r="8" spans="1:60" s="597" customFormat="1" ht="27.95" customHeight="1">
      <c r="A8" s="601">
        <v>402</v>
      </c>
      <c r="B8" s="1449" t="s">
        <v>3842</v>
      </c>
      <c r="C8" s="1449"/>
      <c r="D8" s="1449"/>
      <c r="E8" s="1450"/>
      <c r="F8" s="602">
        <v>0</v>
      </c>
      <c r="G8" s="603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6"/>
      <c r="Z8" s="596"/>
      <c r="AA8" s="596"/>
      <c r="AB8" s="596"/>
      <c r="AC8" s="596"/>
      <c r="AD8" s="596"/>
      <c r="AE8" s="596"/>
      <c r="AF8" s="596"/>
      <c r="AG8" s="596"/>
      <c r="AH8" s="596"/>
      <c r="AI8" s="596"/>
      <c r="AJ8" s="596"/>
      <c r="AK8" s="596"/>
      <c r="AL8" s="596"/>
      <c r="AM8" s="596"/>
      <c r="AN8" s="596"/>
      <c r="AO8" s="596"/>
      <c r="AP8" s="596"/>
      <c r="AQ8" s="596"/>
      <c r="AR8" s="596"/>
      <c r="AS8" s="596"/>
      <c r="AT8" s="596"/>
      <c r="AU8" s="596"/>
      <c r="AV8" s="596"/>
      <c r="AW8" s="596"/>
      <c r="AX8" s="596"/>
      <c r="AY8" s="596"/>
      <c r="AZ8" s="596"/>
      <c r="BA8" s="596"/>
      <c r="BB8" s="596"/>
      <c r="BC8" s="596"/>
      <c r="BD8" s="596"/>
      <c r="BE8" s="596"/>
      <c r="BF8" s="596"/>
      <c r="BG8" s="596"/>
      <c r="BH8" s="596"/>
    </row>
    <row r="9" spans="1:60" s="597" customFormat="1" ht="27.95" customHeight="1">
      <c r="A9" s="601">
        <v>403</v>
      </c>
      <c r="B9" s="1449" t="s">
        <v>3843</v>
      </c>
      <c r="C9" s="1449"/>
      <c r="D9" s="1449"/>
      <c r="E9" s="1450"/>
      <c r="F9" s="602">
        <v>0</v>
      </c>
      <c r="G9" s="603"/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6"/>
      <c r="Z9" s="596"/>
      <c r="AA9" s="596"/>
      <c r="AB9" s="596"/>
      <c r="AC9" s="596"/>
      <c r="AD9" s="596"/>
      <c r="AE9" s="596"/>
      <c r="AF9" s="596"/>
      <c r="AG9" s="596"/>
      <c r="AH9" s="596"/>
      <c r="AI9" s="596"/>
      <c r="AJ9" s="596"/>
      <c r="AK9" s="596"/>
      <c r="AL9" s="596"/>
      <c r="AM9" s="596"/>
      <c r="AN9" s="596"/>
      <c r="AO9" s="596"/>
      <c r="AP9" s="596"/>
      <c r="AQ9" s="596"/>
      <c r="AR9" s="596"/>
      <c r="AS9" s="596"/>
      <c r="AT9" s="596"/>
      <c r="AU9" s="596"/>
      <c r="AV9" s="596"/>
      <c r="AW9" s="596"/>
      <c r="AX9" s="596"/>
      <c r="AY9" s="596"/>
      <c r="AZ9" s="596"/>
      <c r="BA9" s="596"/>
      <c r="BB9" s="596"/>
      <c r="BC9" s="596"/>
      <c r="BD9" s="596"/>
      <c r="BE9" s="596"/>
      <c r="BF9" s="596"/>
      <c r="BG9" s="596"/>
      <c r="BH9" s="596"/>
    </row>
    <row r="10" spans="1:60" s="597" customFormat="1" ht="27.95" customHeight="1">
      <c r="A10" s="601">
        <v>404</v>
      </c>
      <c r="B10" s="1449" t="s">
        <v>3844</v>
      </c>
      <c r="C10" s="1449"/>
      <c r="D10" s="1449"/>
      <c r="E10" s="1450"/>
      <c r="F10" s="602">
        <v>0</v>
      </c>
      <c r="G10" s="603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6"/>
      <c r="AN10" s="596"/>
      <c r="AO10" s="596"/>
      <c r="AP10" s="596"/>
      <c r="AQ10" s="596"/>
      <c r="AR10" s="596"/>
      <c r="AS10" s="596"/>
      <c r="AT10" s="596"/>
      <c r="AU10" s="596"/>
      <c r="AV10" s="596"/>
      <c r="AW10" s="596"/>
      <c r="AX10" s="596"/>
      <c r="AY10" s="596"/>
      <c r="AZ10" s="596"/>
      <c r="BA10" s="596"/>
      <c r="BB10" s="596"/>
      <c r="BC10" s="596"/>
      <c r="BD10" s="596"/>
      <c r="BE10" s="596"/>
      <c r="BF10" s="596"/>
      <c r="BG10" s="596"/>
      <c r="BH10" s="596"/>
    </row>
    <row r="11" spans="1:60" s="597" customFormat="1" ht="27.95" customHeight="1">
      <c r="A11" s="601">
        <v>405</v>
      </c>
      <c r="B11" s="1449" t="s">
        <v>3845</v>
      </c>
      <c r="C11" s="1449"/>
      <c r="D11" s="1449"/>
      <c r="E11" s="1450"/>
      <c r="F11" s="602">
        <v>0</v>
      </c>
      <c r="G11" s="603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6"/>
      <c r="Z11" s="596"/>
      <c r="AA11" s="596"/>
      <c r="AB11" s="596"/>
      <c r="AC11" s="596"/>
      <c r="AD11" s="596"/>
      <c r="AE11" s="596"/>
      <c r="AF11" s="596"/>
      <c r="AG11" s="596"/>
      <c r="AH11" s="596"/>
      <c r="AI11" s="596"/>
      <c r="AJ11" s="596"/>
      <c r="AK11" s="596"/>
      <c r="AL11" s="596"/>
      <c r="AM11" s="596"/>
      <c r="AN11" s="596"/>
      <c r="AO11" s="596"/>
      <c r="AP11" s="596"/>
      <c r="AQ11" s="596"/>
      <c r="AR11" s="596"/>
      <c r="AS11" s="596"/>
      <c r="AT11" s="596"/>
      <c r="AU11" s="596"/>
      <c r="AV11" s="596"/>
      <c r="AW11" s="596"/>
      <c r="AX11" s="596"/>
      <c r="AY11" s="596"/>
      <c r="AZ11" s="596"/>
      <c r="BA11" s="596"/>
      <c r="BB11" s="596"/>
      <c r="BC11" s="596"/>
      <c r="BD11" s="596"/>
      <c r="BE11" s="596"/>
      <c r="BF11" s="596"/>
      <c r="BG11" s="596"/>
      <c r="BH11" s="596"/>
    </row>
    <row r="12" spans="1:60" s="597" customFormat="1" ht="27.95" customHeight="1">
      <c r="A12" s="601">
        <v>406</v>
      </c>
      <c r="B12" s="1449" t="s">
        <v>3846</v>
      </c>
      <c r="C12" s="1449"/>
      <c r="D12" s="1449"/>
      <c r="E12" s="1450"/>
      <c r="F12" s="602">
        <v>0</v>
      </c>
      <c r="G12" s="603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596"/>
      <c r="AX12" s="596"/>
      <c r="AY12" s="596"/>
      <c r="AZ12" s="596"/>
      <c r="BA12" s="596"/>
      <c r="BB12" s="596"/>
      <c r="BC12" s="596"/>
      <c r="BD12" s="596"/>
      <c r="BE12" s="596"/>
      <c r="BF12" s="596"/>
      <c r="BG12" s="596"/>
      <c r="BH12" s="596"/>
    </row>
    <row r="13" spans="1:60" s="597" customFormat="1" ht="27.95" customHeight="1">
      <c r="A13" s="601">
        <v>407</v>
      </c>
      <c r="B13" s="1449" t="s">
        <v>3847</v>
      </c>
      <c r="C13" s="1449"/>
      <c r="D13" s="1449"/>
      <c r="E13" s="1450"/>
      <c r="F13" s="604">
        <f>+F8-F9</f>
        <v>0</v>
      </c>
      <c r="G13" s="603"/>
      <c r="H13" s="596"/>
      <c r="I13" s="596"/>
      <c r="J13" s="596"/>
      <c r="K13" s="596"/>
      <c r="L13" s="596"/>
      <c r="M13" s="596"/>
      <c r="N13" s="596"/>
      <c r="O13" s="596"/>
      <c r="P13" s="596"/>
      <c r="Q13" s="596"/>
      <c r="R13" s="596"/>
      <c r="S13" s="596"/>
      <c r="T13" s="596"/>
      <c r="U13" s="596"/>
      <c r="V13" s="596"/>
      <c r="W13" s="596"/>
      <c r="X13" s="596"/>
      <c r="Y13" s="596"/>
      <c r="Z13" s="596"/>
      <c r="AA13" s="596"/>
      <c r="AB13" s="596"/>
      <c r="AC13" s="596"/>
      <c r="AD13" s="596"/>
      <c r="AE13" s="596"/>
      <c r="AF13" s="596"/>
      <c r="AG13" s="596"/>
      <c r="AH13" s="596"/>
      <c r="AI13" s="596"/>
      <c r="AJ13" s="596"/>
      <c r="AK13" s="596"/>
      <c r="AL13" s="596"/>
      <c r="AM13" s="596"/>
      <c r="AN13" s="596"/>
      <c r="AO13" s="596"/>
      <c r="AP13" s="596"/>
      <c r="AQ13" s="596"/>
      <c r="AR13" s="596"/>
      <c r="AS13" s="596"/>
      <c r="AT13" s="596"/>
      <c r="AU13" s="596"/>
      <c r="AV13" s="596"/>
      <c r="AW13" s="596"/>
      <c r="AX13" s="596"/>
      <c r="AY13" s="596"/>
      <c r="AZ13" s="596"/>
      <c r="BA13" s="596"/>
      <c r="BB13" s="596"/>
      <c r="BC13" s="596"/>
      <c r="BD13" s="596"/>
      <c r="BE13" s="596"/>
      <c r="BF13" s="596"/>
      <c r="BG13" s="596"/>
      <c r="BH13" s="596"/>
    </row>
    <row r="14" spans="1:60" s="597" customFormat="1" ht="27.95" customHeight="1">
      <c r="A14" s="601">
        <v>408</v>
      </c>
      <c r="B14" s="1449" t="s">
        <v>3848</v>
      </c>
      <c r="C14" s="1449"/>
      <c r="D14" s="1449"/>
      <c r="E14" s="1450"/>
      <c r="F14" s="604">
        <f>+F10-F11</f>
        <v>0</v>
      </c>
      <c r="G14" s="603"/>
      <c r="H14" s="596"/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  <c r="U14" s="596"/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596"/>
      <c r="AX14" s="596"/>
      <c r="AY14" s="596"/>
      <c r="AZ14" s="596"/>
      <c r="BA14" s="596"/>
      <c r="BB14" s="596"/>
      <c r="BC14" s="596"/>
      <c r="BD14" s="596"/>
      <c r="BE14" s="596"/>
      <c r="BF14" s="596"/>
      <c r="BG14" s="596"/>
      <c r="BH14" s="596"/>
    </row>
    <row r="15" spans="1:60" s="597" customFormat="1" ht="27.95" customHeight="1">
      <c r="A15" s="40">
        <v>409</v>
      </c>
      <c r="B15" s="1421" t="s">
        <v>3944</v>
      </c>
      <c r="C15" s="1421"/>
      <c r="D15" s="1421"/>
      <c r="E15" s="1422"/>
      <c r="F15" s="685">
        <f>+FLOOR(F12+F13+F14,100)</f>
        <v>0</v>
      </c>
      <c r="G15" s="65"/>
      <c r="H15" s="596"/>
      <c r="I15" s="596"/>
      <c r="J15" s="596"/>
      <c r="K15" s="596"/>
      <c r="L15" s="596"/>
      <c r="M15" s="596"/>
      <c r="N15" s="596"/>
      <c r="O15" s="596"/>
      <c r="P15" s="596"/>
      <c r="Q15" s="596"/>
      <c r="R15" s="596"/>
      <c r="S15" s="596"/>
      <c r="T15" s="596"/>
      <c r="U15" s="596"/>
      <c r="V15" s="596"/>
      <c r="W15" s="596"/>
      <c r="X15" s="596"/>
      <c r="Y15" s="596"/>
      <c r="Z15" s="596"/>
      <c r="AA15" s="596"/>
      <c r="AB15" s="596"/>
      <c r="AC15" s="596"/>
      <c r="AD15" s="596"/>
      <c r="AE15" s="596"/>
      <c r="AF15" s="596"/>
      <c r="AG15" s="596"/>
      <c r="AH15" s="596"/>
      <c r="AI15" s="596"/>
      <c r="AJ15" s="596"/>
      <c r="AK15" s="596"/>
      <c r="AL15" s="596"/>
      <c r="AM15" s="596"/>
      <c r="AN15" s="596"/>
      <c r="AO15" s="596"/>
      <c r="AP15" s="596"/>
      <c r="AQ15" s="596"/>
      <c r="AR15" s="596"/>
      <c r="AS15" s="596"/>
      <c r="AT15" s="596"/>
      <c r="AU15" s="596"/>
      <c r="AV15" s="596"/>
      <c r="AW15" s="596"/>
      <c r="AX15" s="596"/>
      <c r="AY15" s="596"/>
      <c r="AZ15" s="596"/>
      <c r="BA15" s="596"/>
      <c r="BB15" s="596"/>
      <c r="BC15" s="596"/>
      <c r="BD15" s="596"/>
      <c r="BE15" s="596"/>
      <c r="BF15" s="596"/>
      <c r="BG15" s="596"/>
      <c r="BH15" s="596"/>
    </row>
    <row r="16" spans="1:60" s="597" customFormat="1" ht="27.95" customHeight="1">
      <c r="A16" s="40">
        <v>410</v>
      </c>
      <c r="B16" s="1451" t="s">
        <v>3945</v>
      </c>
      <c r="C16" s="1421"/>
      <c r="D16" s="1421"/>
      <c r="E16" s="1422"/>
      <c r="F16" s="685">
        <f>+F15*0.15</f>
        <v>0</v>
      </c>
      <c r="G16" s="65"/>
      <c r="H16" s="596"/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596"/>
      <c r="BA16" s="596"/>
      <c r="BB16" s="596"/>
      <c r="BC16" s="596"/>
      <c r="BD16" s="596"/>
      <c r="BE16" s="596"/>
      <c r="BF16" s="596"/>
      <c r="BG16" s="596"/>
      <c r="BH16" s="596"/>
    </row>
    <row r="17" spans="1:60" s="597" customFormat="1" ht="27.95" customHeight="1">
      <c r="A17" s="40">
        <v>411</v>
      </c>
      <c r="B17" s="1421" t="s">
        <v>3849</v>
      </c>
      <c r="C17" s="1421"/>
      <c r="D17" s="1421"/>
      <c r="E17" s="1422"/>
      <c r="F17" s="602">
        <v>0</v>
      </c>
      <c r="G17" s="603"/>
      <c r="H17" s="596"/>
      <c r="I17" s="596"/>
      <c r="J17" s="596"/>
      <c r="K17" s="596"/>
      <c r="L17" s="596"/>
      <c r="M17" s="596"/>
      <c r="N17" s="596"/>
      <c r="O17" s="596"/>
      <c r="P17" s="596"/>
      <c r="Q17" s="596"/>
      <c r="R17" s="596"/>
      <c r="S17" s="596"/>
      <c r="T17" s="596"/>
      <c r="U17" s="596"/>
      <c r="V17" s="596"/>
      <c r="W17" s="596"/>
      <c r="X17" s="596"/>
      <c r="Y17" s="596"/>
      <c r="Z17" s="596"/>
      <c r="AA17" s="596"/>
      <c r="AB17" s="596"/>
      <c r="AC17" s="596"/>
      <c r="AD17" s="596"/>
      <c r="AE17" s="596"/>
      <c r="AF17" s="596"/>
      <c r="AG17" s="596"/>
      <c r="AH17" s="596"/>
      <c r="AI17" s="596"/>
      <c r="AJ17" s="596"/>
      <c r="AK17" s="596"/>
      <c r="AL17" s="596"/>
      <c r="AM17" s="596"/>
      <c r="AN17" s="596"/>
      <c r="AO17" s="596"/>
      <c r="AP17" s="596"/>
      <c r="AQ17" s="596"/>
      <c r="AR17" s="596"/>
      <c r="AS17" s="596"/>
      <c r="AT17" s="596"/>
      <c r="AU17" s="596"/>
      <c r="AV17" s="596"/>
      <c r="AW17" s="596"/>
      <c r="AX17" s="596"/>
      <c r="AY17" s="596"/>
      <c r="AZ17" s="596"/>
      <c r="BA17" s="596"/>
      <c r="BB17" s="596"/>
      <c r="BC17" s="596"/>
      <c r="BD17" s="596"/>
      <c r="BE17" s="596"/>
      <c r="BF17" s="596"/>
      <c r="BG17" s="596"/>
      <c r="BH17" s="596"/>
    </row>
    <row r="18" spans="1:60" s="597" customFormat="1" ht="27.95" customHeight="1">
      <c r="A18" s="40">
        <v>412</v>
      </c>
      <c r="B18" s="1421" t="s">
        <v>3946</v>
      </c>
      <c r="C18" s="1421"/>
      <c r="D18" s="1421"/>
      <c r="E18" s="1422"/>
      <c r="F18" s="602">
        <v>0</v>
      </c>
      <c r="G18" s="603"/>
      <c r="H18" s="596"/>
      <c r="I18" s="596"/>
      <c r="J18" s="596"/>
      <c r="K18" s="596"/>
      <c r="L18" s="596"/>
      <c r="M18" s="596"/>
      <c r="N18" s="596"/>
      <c r="O18" s="596"/>
      <c r="P18" s="596"/>
      <c r="Q18" s="596"/>
      <c r="R18" s="596"/>
      <c r="S18" s="596"/>
      <c r="T18" s="596"/>
      <c r="U18" s="596"/>
      <c r="V18" s="596"/>
      <c r="W18" s="596"/>
      <c r="X18" s="596"/>
      <c r="Y18" s="596"/>
      <c r="Z18" s="596"/>
      <c r="AA18" s="596"/>
      <c r="AB18" s="596"/>
      <c r="AC18" s="596"/>
      <c r="AD18" s="596"/>
      <c r="AE18" s="596"/>
      <c r="AF18" s="596"/>
      <c r="AG18" s="596"/>
      <c r="AH18" s="596"/>
      <c r="AI18" s="596"/>
      <c r="AJ18" s="596"/>
      <c r="AK18" s="596"/>
      <c r="AL18" s="596"/>
      <c r="AM18" s="596"/>
      <c r="AN18" s="596"/>
      <c r="AO18" s="596"/>
      <c r="AP18" s="596"/>
      <c r="AQ18" s="596"/>
      <c r="AR18" s="596"/>
      <c r="AS18" s="596"/>
      <c r="AT18" s="596"/>
      <c r="AU18" s="596"/>
      <c r="AV18" s="596"/>
      <c r="AW18" s="596"/>
      <c r="AX18" s="596"/>
      <c r="AY18" s="596"/>
      <c r="AZ18" s="596"/>
      <c r="BA18" s="596"/>
      <c r="BB18" s="596"/>
      <c r="BC18" s="596"/>
      <c r="BD18" s="596"/>
      <c r="BE18" s="596"/>
      <c r="BF18" s="596"/>
      <c r="BG18" s="596"/>
      <c r="BH18" s="596"/>
    </row>
    <row r="19" spans="1:60" s="597" customFormat="1" ht="27.95" customHeight="1">
      <c r="A19" s="40">
        <v>413</v>
      </c>
      <c r="B19" s="1421" t="s">
        <v>3947</v>
      </c>
      <c r="C19" s="1421"/>
      <c r="D19" s="1421"/>
      <c r="E19" s="1422"/>
      <c r="F19" s="604">
        <f>+ROUND(MIN(F18,0.15*F17),0)</f>
        <v>0</v>
      </c>
      <c r="G19" s="603"/>
      <c r="H19" s="596"/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596"/>
      <c r="T19" s="596"/>
      <c r="U19" s="596"/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6"/>
      <c r="AJ19" s="596"/>
      <c r="AK19" s="596"/>
      <c r="AL19" s="596"/>
      <c r="AM19" s="596"/>
      <c r="AN19" s="596"/>
      <c r="AO19" s="596"/>
      <c r="AP19" s="596"/>
      <c r="AQ19" s="596"/>
      <c r="AR19" s="596"/>
      <c r="AS19" s="596"/>
      <c r="AT19" s="596"/>
      <c r="AU19" s="596"/>
      <c r="AV19" s="596"/>
      <c r="AW19" s="596"/>
      <c r="AX19" s="596"/>
      <c r="AY19" s="596"/>
      <c r="AZ19" s="596"/>
      <c r="BA19" s="596"/>
      <c r="BB19" s="596"/>
      <c r="BC19" s="596"/>
      <c r="BD19" s="596"/>
      <c r="BE19" s="596"/>
      <c r="BF19" s="596"/>
      <c r="BG19" s="596"/>
      <c r="BH19" s="596"/>
    </row>
    <row r="20" spans="1:60" s="597" customFormat="1" ht="27.95" customHeight="1" thickBot="1">
      <c r="A20" s="40">
        <v>414</v>
      </c>
      <c r="B20" s="1421" t="s">
        <v>3948</v>
      </c>
      <c r="C20" s="1421"/>
      <c r="D20" s="1421"/>
      <c r="E20" s="1422"/>
      <c r="F20" s="604">
        <f>+F16-F19</f>
        <v>0</v>
      </c>
      <c r="G20" s="603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596"/>
      <c r="T20" s="596"/>
      <c r="U20" s="596"/>
      <c r="V20" s="596"/>
      <c r="W20" s="596"/>
      <c r="X20" s="596"/>
      <c r="Y20" s="596"/>
      <c r="Z20" s="596"/>
      <c r="AA20" s="596"/>
      <c r="AB20" s="596"/>
      <c r="AC20" s="596"/>
      <c r="AD20" s="596"/>
      <c r="AE20" s="596"/>
      <c r="AF20" s="596"/>
      <c r="AG20" s="596"/>
      <c r="AH20" s="596"/>
      <c r="AI20" s="596"/>
      <c r="AJ20" s="596"/>
      <c r="AK20" s="596"/>
      <c r="AL20" s="596"/>
      <c r="AM20" s="596"/>
      <c r="AN20" s="596"/>
      <c r="AO20" s="596"/>
      <c r="AP20" s="596"/>
      <c r="AQ20" s="596"/>
      <c r="AR20" s="596"/>
      <c r="AS20" s="596"/>
      <c r="AT20" s="596"/>
      <c r="AU20" s="596"/>
      <c r="AV20" s="596"/>
      <c r="AW20" s="596"/>
      <c r="AX20" s="596"/>
      <c r="AY20" s="596"/>
      <c r="AZ20" s="596"/>
      <c r="BA20" s="596"/>
      <c r="BB20" s="596"/>
      <c r="BC20" s="596"/>
      <c r="BD20" s="596"/>
      <c r="BE20" s="596"/>
      <c r="BF20" s="596"/>
      <c r="BG20" s="596"/>
      <c r="BH20" s="596"/>
    </row>
    <row r="21" spans="1:7" ht="222" customHeight="1">
      <c r="A21" s="1452"/>
      <c r="B21" s="1434"/>
      <c r="C21" s="1434"/>
      <c r="D21" s="1434"/>
      <c r="E21" s="1434"/>
      <c r="F21" s="1434"/>
      <c r="G21" s="1434"/>
    </row>
    <row r="22" spans="1:7" ht="15.95" customHeight="1">
      <c r="A22" s="1453" t="str">
        <f>+'DAP1'!A46</f>
        <v>Formulář zpracovala ASPEKT HM, daňová, účetní a auditorská kancelář, www.danovapriznani.cz, business.center.cz</v>
      </c>
      <c r="B22" s="1453"/>
      <c r="C22" s="1453"/>
      <c r="D22" s="1453"/>
      <c r="E22" s="1453"/>
      <c r="F22" s="1453"/>
      <c r="G22" s="1453"/>
    </row>
    <row r="23" spans="1:60" s="606" customFormat="1" ht="12" customHeight="1">
      <c r="A23" s="1454" t="s">
        <v>3949</v>
      </c>
      <c r="B23" s="1454"/>
      <c r="C23" s="1454"/>
      <c r="D23" s="1454"/>
      <c r="E23" s="1454"/>
      <c r="F23" s="1454"/>
      <c r="G23" s="1454"/>
      <c r="H23" s="605"/>
      <c r="I23" s="605"/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  <c r="W23" s="605"/>
      <c r="X23" s="605"/>
      <c r="Y23" s="605"/>
      <c r="Z23" s="605"/>
      <c r="AA23" s="605"/>
      <c r="AB23" s="605"/>
      <c r="AC23" s="605"/>
      <c r="AD23" s="605"/>
      <c r="AE23" s="605"/>
      <c r="AF23" s="605"/>
      <c r="AG23" s="605"/>
      <c r="AH23" s="605"/>
      <c r="AI23" s="605"/>
      <c r="AJ23" s="605"/>
      <c r="AK23" s="605"/>
      <c r="AL23" s="605"/>
      <c r="AM23" s="605"/>
      <c r="AN23" s="605"/>
      <c r="AO23" s="605"/>
      <c r="AP23" s="605"/>
      <c r="AQ23" s="605"/>
      <c r="AR23" s="605"/>
      <c r="AS23" s="605"/>
      <c r="AT23" s="605"/>
      <c r="AU23" s="605"/>
      <c r="AV23" s="605"/>
      <c r="AW23" s="605"/>
      <c r="AX23" s="605"/>
      <c r="AY23" s="605"/>
      <c r="AZ23" s="605"/>
      <c r="BA23" s="605"/>
      <c r="BB23" s="605"/>
      <c r="BC23" s="605"/>
      <c r="BD23" s="605"/>
      <c r="BE23" s="605"/>
      <c r="BF23" s="605"/>
      <c r="BG23" s="605"/>
      <c r="BH23" s="605"/>
    </row>
    <row r="24" spans="1:7" ht="12.75">
      <c r="A24" s="1455" t="s">
        <v>300</v>
      </c>
      <c r="B24" s="1455"/>
      <c r="C24" s="1455"/>
      <c r="D24" s="1455"/>
      <c r="E24" s="1456"/>
      <c r="F24" s="1456"/>
      <c r="G24" s="1456"/>
    </row>
    <row r="25" spans="1:7" ht="12.75">
      <c r="A25" s="595"/>
      <c r="B25" s="595"/>
      <c r="C25" s="595"/>
      <c r="D25" s="595"/>
      <c r="E25" s="595"/>
      <c r="F25" s="595"/>
      <c r="G25" s="595"/>
    </row>
    <row r="26" spans="1:7" ht="12.75">
      <c r="A26" s="595"/>
      <c r="B26" s="595"/>
      <c r="C26" s="595"/>
      <c r="D26" s="595"/>
      <c r="E26" s="595"/>
      <c r="F26" s="595"/>
      <c r="G26" s="595"/>
    </row>
    <row r="27" spans="1:7" ht="12.75">
      <c r="A27" s="595"/>
      <c r="B27" s="595"/>
      <c r="C27" s="595"/>
      <c r="D27" s="595"/>
      <c r="E27" s="595"/>
      <c r="F27" s="595"/>
      <c r="G27" s="595"/>
    </row>
    <row r="28" spans="1:7" ht="12.75">
      <c r="A28" s="595"/>
      <c r="B28" s="595"/>
      <c r="C28" s="595"/>
      <c r="D28" s="595"/>
      <c r="E28" s="595"/>
      <c r="F28" s="595"/>
      <c r="G28" s="595"/>
    </row>
    <row r="29" spans="1:7" ht="12.75">
      <c r="A29" s="595"/>
      <c r="B29" s="595"/>
      <c r="C29" s="595"/>
      <c r="D29" s="595"/>
      <c r="E29" s="595"/>
      <c r="F29" s="595"/>
      <c r="G29" s="595"/>
    </row>
    <row r="30" spans="1:7" ht="12.75">
      <c r="A30" s="595"/>
      <c r="B30" s="595"/>
      <c r="C30" s="595"/>
      <c r="D30" s="595"/>
      <c r="E30" s="595"/>
      <c r="F30" s="595"/>
      <c r="G30" s="595"/>
    </row>
    <row r="31" spans="1:7" ht="12.75">
      <c r="A31" s="595"/>
      <c r="B31" s="595"/>
      <c r="C31" s="595"/>
      <c r="D31" s="595"/>
      <c r="E31" s="595"/>
      <c r="F31" s="595"/>
      <c r="G31" s="595"/>
    </row>
    <row r="32" spans="1:7" ht="12.75">
      <c r="A32" s="595"/>
      <c r="B32" s="595"/>
      <c r="C32" s="595"/>
      <c r="D32" s="595"/>
      <c r="E32" s="595"/>
      <c r="F32" s="595"/>
      <c r="G32" s="595"/>
    </row>
    <row r="33" spans="1:7" ht="12.75">
      <c r="A33" s="595"/>
      <c r="B33" s="595"/>
      <c r="C33" s="595"/>
      <c r="D33" s="595"/>
      <c r="E33" s="595"/>
      <c r="F33" s="595"/>
      <c r="G33" s="595"/>
    </row>
    <row r="34" spans="1:7" ht="12.75">
      <c r="A34" s="595"/>
      <c r="B34" s="595"/>
      <c r="C34" s="595"/>
      <c r="D34" s="595"/>
      <c r="E34" s="595"/>
      <c r="F34" s="595"/>
      <c r="G34" s="595"/>
    </row>
    <row r="35" spans="1:7" ht="12.75">
      <c r="A35" s="595"/>
      <c r="B35" s="595"/>
      <c r="C35" s="595"/>
      <c r="D35" s="595"/>
      <c r="E35" s="595"/>
      <c r="F35" s="595"/>
      <c r="G35" s="595"/>
    </row>
    <row r="36" spans="1:7" ht="12.75">
      <c r="A36" s="595"/>
      <c r="B36" s="595"/>
      <c r="C36" s="595"/>
      <c r="D36" s="595"/>
      <c r="E36" s="595"/>
      <c r="F36" s="595"/>
      <c r="G36" s="595"/>
    </row>
    <row r="37" spans="1:7" ht="12.75">
      <c r="A37" s="595"/>
      <c r="B37" s="595"/>
      <c r="C37" s="595"/>
      <c r="D37" s="595"/>
      <c r="E37" s="595"/>
      <c r="F37" s="595"/>
      <c r="G37" s="595"/>
    </row>
    <row r="38" spans="1:7" ht="12.75">
      <c r="A38" s="595"/>
      <c r="B38" s="595"/>
      <c r="C38" s="595"/>
      <c r="D38" s="595"/>
      <c r="E38" s="595"/>
      <c r="F38" s="595"/>
      <c r="G38" s="595"/>
    </row>
    <row r="39" spans="1:7" ht="12.75">
      <c r="A39" s="595"/>
      <c r="B39" s="595"/>
      <c r="C39" s="595"/>
      <c r="D39" s="595"/>
      <c r="E39" s="595"/>
      <c r="F39" s="595"/>
      <c r="G39" s="595"/>
    </row>
    <row r="40" spans="1:7" ht="12.75">
      <c r="A40" s="595"/>
      <c r="B40" s="595"/>
      <c r="C40" s="595"/>
      <c r="D40" s="595"/>
      <c r="E40" s="595"/>
      <c r="F40" s="595"/>
      <c r="G40" s="595"/>
    </row>
    <row r="41" spans="1:7" ht="12.75">
      <c r="A41" s="595"/>
      <c r="B41" s="595"/>
      <c r="C41" s="595"/>
      <c r="D41" s="595"/>
      <c r="E41" s="595"/>
      <c r="F41" s="595"/>
      <c r="G41" s="595"/>
    </row>
    <row r="42" spans="1:7" ht="12.75">
      <c r="A42" s="595"/>
      <c r="B42" s="595"/>
      <c r="C42" s="595"/>
      <c r="D42" s="595"/>
      <c r="E42" s="595"/>
      <c r="F42" s="595"/>
      <c r="G42" s="595"/>
    </row>
    <row r="43" spans="1:7" ht="12.75">
      <c r="A43" s="595"/>
      <c r="B43" s="595"/>
      <c r="C43" s="595"/>
      <c r="D43" s="595"/>
      <c r="E43" s="595"/>
      <c r="F43" s="595"/>
      <c r="G43" s="595"/>
    </row>
    <row r="44" spans="1:7" ht="12.75">
      <c r="A44" s="595"/>
      <c r="B44" s="595"/>
      <c r="C44" s="595"/>
      <c r="D44" s="595"/>
      <c r="E44" s="595"/>
      <c r="F44" s="595"/>
      <c r="G44" s="595"/>
    </row>
    <row r="45" spans="1:7" ht="12.75">
      <c r="A45" s="595"/>
      <c r="B45" s="595"/>
      <c r="C45" s="595"/>
      <c r="D45" s="595"/>
      <c r="E45" s="595"/>
      <c r="F45" s="595"/>
      <c r="G45" s="595"/>
    </row>
    <row r="46" spans="1:7" ht="12.75">
      <c r="A46" s="595"/>
      <c r="B46" s="595"/>
      <c r="C46" s="595"/>
      <c r="D46" s="595"/>
      <c r="E46" s="595"/>
      <c r="F46" s="595"/>
      <c r="G46" s="595"/>
    </row>
    <row r="47" spans="1:7" ht="12.75">
      <c r="A47" s="595"/>
      <c r="B47" s="595"/>
      <c r="C47" s="595"/>
      <c r="D47" s="595"/>
      <c r="E47" s="595"/>
      <c r="F47" s="595"/>
      <c r="G47" s="595"/>
    </row>
    <row r="48" spans="1:7" ht="12.75">
      <c r="A48" s="595"/>
      <c r="B48" s="595"/>
      <c r="C48" s="595"/>
      <c r="D48" s="595"/>
      <c r="E48" s="595"/>
      <c r="F48" s="595"/>
      <c r="G48" s="595"/>
    </row>
    <row r="49" spans="1:7" ht="12.75">
      <c r="A49" s="595"/>
      <c r="B49" s="595"/>
      <c r="C49" s="595"/>
      <c r="D49" s="595"/>
      <c r="E49" s="595"/>
      <c r="F49" s="595"/>
      <c r="G49" s="595"/>
    </row>
    <row r="50" spans="1:7" ht="12.75">
      <c r="A50" s="595"/>
      <c r="B50" s="595"/>
      <c r="C50" s="595"/>
      <c r="D50" s="595"/>
      <c r="E50" s="595"/>
      <c r="F50" s="595"/>
      <c r="G50" s="595"/>
    </row>
    <row r="51" spans="1:7" ht="12.75">
      <c r="A51" s="595"/>
      <c r="B51" s="595"/>
      <c r="C51" s="595"/>
      <c r="D51" s="595"/>
      <c r="E51" s="595"/>
      <c r="F51" s="595"/>
      <c r="G51" s="595"/>
    </row>
    <row r="52" spans="1:7" ht="12.75">
      <c r="A52" s="595"/>
      <c r="B52" s="595"/>
      <c r="C52" s="595"/>
      <c r="D52" s="595"/>
      <c r="E52" s="595"/>
      <c r="F52" s="595"/>
      <c r="G52" s="595"/>
    </row>
    <row r="53" spans="1:7" ht="12.75">
      <c r="A53" s="595"/>
      <c r="B53" s="595"/>
      <c r="C53" s="595"/>
      <c r="D53" s="595"/>
      <c r="E53" s="595"/>
      <c r="F53" s="595"/>
      <c r="G53" s="595"/>
    </row>
    <row r="54" spans="1:7" ht="12.75">
      <c r="A54" s="595"/>
      <c r="B54" s="595"/>
      <c r="C54" s="595"/>
      <c r="D54" s="595"/>
      <c r="E54" s="595"/>
      <c r="F54" s="595"/>
      <c r="G54" s="595"/>
    </row>
    <row r="55" spans="1:7" ht="12.75">
      <c r="A55" s="595"/>
      <c r="B55" s="595"/>
      <c r="C55" s="595"/>
      <c r="D55" s="595"/>
      <c r="E55" s="595"/>
      <c r="F55" s="595"/>
      <c r="G55" s="595"/>
    </row>
    <row r="56" spans="1:7" ht="12.75">
      <c r="A56" s="595"/>
      <c r="B56" s="595"/>
      <c r="C56" s="595"/>
      <c r="D56" s="595"/>
      <c r="E56" s="595"/>
      <c r="F56" s="595"/>
      <c r="G56" s="595"/>
    </row>
    <row r="57" spans="1:7" ht="12.75">
      <c r="A57" s="595"/>
      <c r="B57" s="595"/>
      <c r="C57" s="595"/>
      <c r="D57" s="595"/>
      <c r="E57" s="595"/>
      <c r="F57" s="595"/>
      <c r="G57" s="595"/>
    </row>
    <row r="58" spans="1:7" ht="12.75">
      <c r="A58" s="595"/>
      <c r="B58" s="595"/>
      <c r="C58" s="595"/>
      <c r="D58" s="595"/>
      <c r="E58" s="595"/>
      <c r="F58" s="595"/>
      <c r="G58" s="595"/>
    </row>
    <row r="59" spans="1:7" ht="12.75">
      <c r="A59" s="595"/>
      <c r="B59" s="595"/>
      <c r="C59" s="595"/>
      <c r="D59" s="595"/>
      <c r="E59" s="595"/>
      <c r="F59" s="595"/>
      <c r="G59" s="595"/>
    </row>
    <row r="60" spans="1:7" ht="12.75">
      <c r="A60" s="595"/>
      <c r="B60" s="595"/>
      <c r="C60" s="595"/>
      <c r="D60" s="595"/>
      <c r="E60" s="595"/>
      <c r="F60" s="595"/>
      <c r="G60" s="595"/>
    </row>
    <row r="61" spans="1:7" ht="12.75">
      <c r="A61" s="595"/>
      <c r="B61" s="595"/>
      <c r="C61" s="595"/>
      <c r="D61" s="595"/>
      <c r="E61" s="595"/>
      <c r="F61" s="595"/>
      <c r="G61" s="595"/>
    </row>
    <row r="62" spans="1:7" ht="12.75">
      <c r="A62" s="595"/>
      <c r="B62" s="595"/>
      <c r="C62" s="595"/>
      <c r="D62" s="595"/>
      <c r="E62" s="595"/>
      <c r="F62" s="595"/>
      <c r="G62" s="595"/>
    </row>
    <row r="63" spans="1:7" ht="12.75">
      <c r="A63" s="595"/>
      <c r="B63" s="595"/>
      <c r="C63" s="595"/>
      <c r="D63" s="595"/>
      <c r="E63" s="595"/>
      <c r="F63" s="595"/>
      <c r="G63" s="595"/>
    </row>
    <row r="64" s="595" customFormat="1" ht="12.75"/>
    <row r="65" s="595" customFormat="1" ht="12.75"/>
    <row r="66" s="595" customFormat="1" ht="12.75"/>
    <row r="67" s="595" customFormat="1" ht="12.75"/>
    <row r="68" s="595" customFormat="1" ht="12.75"/>
    <row r="69" s="595" customFormat="1" ht="12.75"/>
    <row r="70" s="595" customFormat="1" ht="12.75"/>
    <row r="71" s="595" customFormat="1" ht="12.75"/>
    <row r="72" s="595" customFormat="1" ht="12.75"/>
    <row r="73" s="595" customFormat="1" ht="12.75"/>
    <row r="74" s="595" customFormat="1" ht="12.75"/>
    <row r="75" s="595" customFormat="1" ht="12.75"/>
    <row r="76" s="595" customFormat="1" ht="12.75"/>
    <row r="77" s="595" customFormat="1" ht="12.75"/>
    <row r="78" s="595" customFormat="1" ht="12.75"/>
    <row r="79" s="595" customFormat="1" ht="12.75"/>
    <row r="80" s="595" customFormat="1" ht="12.75"/>
    <row r="81" s="595" customFormat="1" ht="12.75"/>
    <row r="82" s="595" customFormat="1" ht="12.75"/>
    <row r="83" s="595" customFormat="1" ht="12.75"/>
    <row r="84" s="595" customFormat="1" ht="12.75"/>
    <row r="85" s="595" customFormat="1" ht="12.75"/>
    <row r="86" s="595" customFormat="1" ht="12.75"/>
    <row r="87" s="595" customFormat="1" ht="12.75"/>
    <row r="88" s="595" customFormat="1" ht="12.75"/>
    <row r="89" s="595" customFormat="1" ht="12.75"/>
    <row r="90" s="595" customFormat="1" ht="12.75"/>
    <row r="91" s="595" customFormat="1" ht="12.75"/>
    <row r="92" s="595" customFormat="1" ht="12.75"/>
    <row r="93" s="595" customFormat="1" ht="12.75"/>
    <row r="94" s="595" customFormat="1" ht="12.75"/>
    <row r="95" s="595" customFormat="1" ht="12.75"/>
    <row r="96" s="595" customFormat="1" ht="12.75"/>
    <row r="97" s="595" customFormat="1" ht="12.75"/>
    <row r="98" s="595" customFormat="1" ht="12.75"/>
    <row r="99" s="595" customFormat="1" ht="12.75"/>
    <row r="100" s="595" customFormat="1" ht="12.75"/>
    <row r="101" s="595" customFormat="1" ht="12.75"/>
    <row r="102" s="595" customFormat="1" ht="12.75"/>
    <row r="103" s="595" customFormat="1" ht="12.75"/>
    <row r="104" s="595" customFormat="1" ht="12.75"/>
    <row r="105" s="595" customFormat="1" ht="12.75"/>
    <row r="106" s="595" customFormat="1" ht="12.75"/>
    <row r="107" s="595" customFormat="1" ht="12.75"/>
    <row r="108" s="595" customFormat="1" ht="12.75"/>
    <row r="109" s="595" customFormat="1" ht="12.75"/>
    <row r="110" s="595" customFormat="1" ht="12.75"/>
    <row r="111" s="595" customFormat="1" ht="12.75"/>
    <row r="112" s="595" customFormat="1" ht="12.75"/>
    <row r="113" s="595" customFormat="1" ht="12.75"/>
    <row r="114" s="595" customFormat="1" ht="12.75"/>
    <row r="115" s="595" customFormat="1" ht="12.75" thickBot="1"/>
  </sheetData>
  <sheetProtection algorithmName="SHA-512" hashValue="dZ6Ncq8KTsqGYgsYF6zUcUDmpWfLPKewWOVG8V75ODK8ixP2w5QdLq49V0XXpI/xCwkGixGgy10ztF3G9ZsrLg==" saltValue="Z1mkg0UrXljaRUWaynANNg==" spinCount="100000" sheet="1" objects="1" scenarios="1"/>
  <mergeCells count="25">
    <mergeCell ref="B20:E20"/>
    <mergeCell ref="A21:G21"/>
    <mergeCell ref="A22:G22"/>
    <mergeCell ref="A23:G23"/>
    <mergeCell ref="A24:G24"/>
    <mergeCell ref="B19:E19"/>
    <mergeCell ref="B7:E7"/>
    <mergeCell ref="B8:E8"/>
    <mergeCell ref="B9:E9"/>
    <mergeCell ref="B10:E10"/>
    <mergeCell ref="B11:E11"/>
    <mergeCell ref="B12:E12"/>
    <mergeCell ref="B13:E13"/>
    <mergeCell ref="B14:E14"/>
    <mergeCell ref="B16:E16"/>
    <mergeCell ref="B17:E17"/>
    <mergeCell ref="B18:E18"/>
    <mergeCell ref="B15:E15"/>
    <mergeCell ref="A5:E6"/>
    <mergeCell ref="F5:G5"/>
    <mergeCell ref="A1:C1"/>
    <mergeCell ref="D1:F1"/>
    <mergeCell ref="A2:F2"/>
    <mergeCell ref="A3:G3"/>
    <mergeCell ref="A4:G4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F12" sqref="F1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3"/>
  </cols>
  <sheetData>
    <row r="1" spans="1:58" s="103" customFormat="1" ht="16.5" thickBot="1">
      <c r="A1" s="1282"/>
      <c r="B1" s="733"/>
      <c r="C1" s="733"/>
      <c r="D1" s="1374" t="s">
        <v>185</v>
      </c>
      <c r="E1" s="819"/>
      <c r="F1" s="1136"/>
      <c r="G1" s="252">
        <v>1</v>
      </c>
      <c r="H1" s="73"/>
      <c r="I1" s="73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</row>
    <row r="2" spans="1:7" ht="24" customHeight="1">
      <c r="A2" s="1281"/>
      <c r="B2" s="1281"/>
      <c r="C2" s="1281"/>
      <c r="D2" s="1281"/>
      <c r="E2" s="1281"/>
      <c r="F2" s="1281"/>
      <c r="G2" s="111"/>
    </row>
    <row r="3" spans="1:7" ht="36" customHeight="1">
      <c r="A3" s="1457" t="s">
        <v>186</v>
      </c>
      <c r="B3" s="1458"/>
      <c r="C3" s="1458"/>
      <c r="D3" s="1458"/>
      <c r="E3" s="1458"/>
      <c r="F3" s="1458"/>
      <c r="G3" s="1458"/>
    </row>
    <row r="4" spans="1:60" s="103" customFormat="1" ht="18" customHeight="1">
      <c r="A4" s="1459" t="s">
        <v>188</v>
      </c>
      <c r="B4" s="1460"/>
      <c r="C4" s="1460"/>
      <c r="D4" s="1460"/>
      <c r="E4" s="1460"/>
      <c r="F4" s="1460"/>
      <c r="G4" s="1460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</row>
    <row r="5" spans="1:7" ht="18" customHeight="1">
      <c r="A5" s="1461" t="s">
        <v>3666</v>
      </c>
      <c r="B5" s="1462"/>
      <c r="C5" s="1462"/>
      <c r="D5" s="1462"/>
      <c r="E5" s="1462"/>
      <c r="F5" s="1462"/>
      <c r="G5" s="1462"/>
    </row>
    <row r="6" spans="1:7" ht="18" customHeight="1">
      <c r="A6" s="1463" t="s">
        <v>108</v>
      </c>
      <c r="B6" s="1464"/>
      <c r="C6" s="1464"/>
      <c r="D6" s="1464"/>
      <c r="E6" s="1464"/>
      <c r="F6" s="1464"/>
      <c r="G6" s="1464"/>
    </row>
    <row r="7" spans="1:7" ht="18" customHeight="1">
      <c r="A7" s="1465"/>
      <c r="B7" s="1466"/>
      <c r="C7" s="1466"/>
      <c r="D7" s="1466"/>
      <c r="E7" s="1466"/>
      <c r="F7" s="1466"/>
      <c r="G7" s="1466"/>
    </row>
    <row r="8" spans="1:7" ht="24" customHeight="1">
      <c r="A8" s="1412" t="s">
        <v>3665</v>
      </c>
      <c r="B8" s="1136"/>
      <c r="C8" s="138"/>
      <c r="D8" s="1413"/>
      <c r="E8" s="782"/>
      <c r="F8" s="782"/>
      <c r="G8" s="782"/>
    </row>
    <row r="9" spans="1:7" ht="8.1" customHeight="1" thickBot="1">
      <c r="A9" s="1414"/>
      <c r="B9" s="1415"/>
      <c r="C9" s="1415"/>
      <c r="D9" s="1415"/>
      <c r="E9" s="1415"/>
      <c r="F9" s="1415"/>
      <c r="G9" s="1415"/>
    </row>
    <row r="10" spans="1:7" ht="15" customHeight="1">
      <c r="A10" s="1472"/>
      <c r="B10" s="780"/>
      <c r="C10" s="780"/>
      <c r="D10" s="780"/>
      <c r="E10" s="1473"/>
      <c r="F10" s="1474" t="s">
        <v>261</v>
      </c>
      <c r="G10" s="1475"/>
    </row>
    <row r="11" spans="1:7" ht="15" customHeight="1">
      <c r="A11" s="1431"/>
      <c r="B11" s="868"/>
      <c r="C11" s="868"/>
      <c r="D11" s="868"/>
      <c r="E11" s="869"/>
      <c r="F11" s="74" t="s">
        <v>149</v>
      </c>
      <c r="G11" s="84" t="s">
        <v>157</v>
      </c>
    </row>
    <row r="12" spans="1:7" ht="24" customHeight="1">
      <c r="A12" s="249">
        <v>321</v>
      </c>
      <c r="B12" s="1421" t="s">
        <v>254</v>
      </c>
      <c r="C12" s="1421"/>
      <c r="D12" s="1421"/>
      <c r="E12" s="1422"/>
      <c r="F12" s="105">
        <v>0</v>
      </c>
      <c r="G12" s="65"/>
    </row>
    <row r="13" spans="1:7" ht="24" customHeight="1">
      <c r="A13" s="249">
        <v>322</v>
      </c>
      <c r="B13" s="1421" t="s">
        <v>255</v>
      </c>
      <c r="C13" s="1421"/>
      <c r="D13" s="1421"/>
      <c r="E13" s="1422"/>
      <c r="F13" s="105">
        <v>0</v>
      </c>
      <c r="G13" s="65"/>
    </row>
    <row r="14" spans="1:7" ht="24" customHeight="1">
      <c r="A14" s="249">
        <v>323</v>
      </c>
      <c r="B14" s="1421" t="s">
        <v>113</v>
      </c>
      <c r="C14" s="1421"/>
      <c r="D14" s="1421"/>
      <c r="E14" s="1422"/>
      <c r="F14" s="105">
        <v>0</v>
      </c>
      <c r="G14" s="65"/>
    </row>
    <row r="15" spans="1:7" ht="24" customHeight="1">
      <c r="A15" s="249">
        <v>324</v>
      </c>
      <c r="B15" s="1421" t="s">
        <v>3850</v>
      </c>
      <c r="C15" s="1421"/>
      <c r="D15" s="1421"/>
      <c r="E15" s="1422"/>
      <c r="F15" s="160">
        <f>ROUND(+IF(+IF(IF('DAP2'!E16=0,0,(F12-F13)/'DAP2'!E16)&lt;0,0,IF('DAP2'!E16=0,0,(F12-F13)/'DAP2'!E16))&gt;1,1,+IF(IF('DAP2'!E16=0,0,(F12-F13)/'DAP2'!E16)&lt;0,0,IF('DAP2'!E16=0,0,(F12-F13)/'DAP2'!E16))),4)</f>
        <v>0</v>
      </c>
      <c r="G15" s="65"/>
    </row>
    <row r="16" spans="1:7" ht="24" customHeight="1">
      <c r="A16" s="249">
        <v>325</v>
      </c>
      <c r="B16" s="1421" t="s">
        <v>3851</v>
      </c>
      <c r="C16" s="1421"/>
      <c r="D16" s="1421"/>
      <c r="E16" s="1422"/>
      <c r="F16" s="259">
        <f>ROUND((+'DAP2'!F34+'DAP2'!F37)*F15,2)</f>
        <v>0</v>
      </c>
      <c r="G16" s="65"/>
    </row>
    <row r="17" spans="1:7" ht="24" customHeight="1" thickBot="1">
      <c r="A17" s="250">
        <v>326</v>
      </c>
      <c r="B17" s="1423" t="s">
        <v>144</v>
      </c>
      <c r="C17" s="1423"/>
      <c r="D17" s="1423"/>
      <c r="E17" s="1424"/>
      <c r="F17" s="260">
        <f>+MIN(F14,F16)</f>
        <v>0</v>
      </c>
      <c r="G17" s="82"/>
    </row>
    <row r="18" spans="1:7" ht="24" customHeight="1" thickBot="1">
      <c r="A18" s="251">
        <v>327</v>
      </c>
      <c r="B18" s="1470" t="s">
        <v>3667</v>
      </c>
      <c r="C18" s="1470"/>
      <c r="D18" s="1470"/>
      <c r="E18" s="1471"/>
      <c r="F18" s="261">
        <f>+F14-F17</f>
        <v>0</v>
      </c>
      <c r="G18" s="83"/>
    </row>
    <row r="19" spans="1:7" ht="24" customHeight="1">
      <c r="A19" s="1467" t="s">
        <v>3525</v>
      </c>
      <c r="B19" s="1468"/>
      <c r="C19" s="1468"/>
      <c r="D19" s="1468"/>
      <c r="E19" s="1468"/>
      <c r="F19" s="1468"/>
      <c r="G19" s="1468"/>
    </row>
    <row r="20" spans="1:7" ht="330" customHeight="1">
      <c r="A20" s="1469"/>
      <c r="B20" s="733"/>
      <c r="C20" s="733"/>
      <c r="D20" s="733"/>
      <c r="E20" s="733"/>
      <c r="F20" s="733"/>
      <c r="G20" s="733"/>
    </row>
    <row r="21" spans="1:7" ht="15.95" customHeight="1">
      <c r="A21" s="1426" t="str">
        <f>+'DAP1'!A46</f>
        <v>Formulář zpracovala ASPEKT HM, daňová, účetní a auditorská kancelář, www.danovapriznani.cz, business.center.cz</v>
      </c>
      <c r="B21" s="1426"/>
      <c r="C21" s="1426"/>
      <c r="D21" s="1426"/>
      <c r="E21" s="1426"/>
      <c r="F21" s="1426"/>
      <c r="G21" s="1426"/>
    </row>
    <row r="22" spans="1:60" s="159" customFormat="1" ht="12" customHeight="1">
      <c r="A22" s="1425" t="s">
        <v>3852</v>
      </c>
      <c r="B22" s="1425"/>
      <c r="C22" s="1425"/>
      <c r="D22" s="1425"/>
      <c r="E22" s="1425"/>
      <c r="F22" s="1425"/>
      <c r="G22" s="1425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</row>
    <row r="23" spans="1:7" ht="12.75">
      <c r="A23" s="1419" t="s">
        <v>300</v>
      </c>
      <c r="B23" s="1419"/>
      <c r="C23" s="1419"/>
      <c r="D23" s="1419"/>
      <c r="E23" s="1420"/>
      <c r="F23" s="1420"/>
      <c r="G23" s="1420"/>
    </row>
    <row r="24" spans="1:7" ht="12.75">
      <c r="A24" s="73"/>
      <c r="B24" s="73"/>
      <c r="C24" s="73"/>
      <c r="D24" s="73"/>
      <c r="E24" s="73"/>
      <c r="F24" s="73"/>
      <c r="G24" s="73"/>
    </row>
    <row r="25" spans="1:7" ht="12.75">
      <c r="A25" s="73"/>
      <c r="B25" s="73"/>
      <c r="C25" s="73"/>
      <c r="D25" s="73"/>
      <c r="E25" s="73"/>
      <c r="F25" s="73"/>
      <c r="G25" s="73"/>
    </row>
    <row r="26" spans="1:7" ht="12.75">
      <c r="A26" s="73"/>
      <c r="B26" s="73"/>
      <c r="C26" s="73"/>
      <c r="D26" s="73"/>
      <c r="E26" s="73"/>
      <c r="F26" s="73"/>
      <c r="G26" s="73"/>
    </row>
    <row r="27" spans="1:7" ht="12.75">
      <c r="A27" s="73"/>
      <c r="B27" s="73"/>
      <c r="C27" s="73"/>
      <c r="D27" s="73"/>
      <c r="E27" s="73"/>
      <c r="F27" s="73"/>
      <c r="G27" s="73"/>
    </row>
    <row r="28" spans="1:7" ht="12.75">
      <c r="A28" s="73"/>
      <c r="B28" s="73"/>
      <c r="C28" s="73"/>
      <c r="D28" s="73"/>
      <c r="E28" s="73"/>
      <c r="F28" s="73"/>
      <c r="G28" s="73"/>
    </row>
    <row r="29" spans="1:7" ht="12.75">
      <c r="A29" s="73"/>
      <c r="B29" s="73"/>
      <c r="C29" s="73"/>
      <c r="D29" s="73"/>
      <c r="E29" s="73"/>
      <c r="F29" s="73"/>
      <c r="G29" s="73"/>
    </row>
    <row r="30" spans="1:7" ht="12.75">
      <c r="A30" s="73"/>
      <c r="B30" s="73"/>
      <c r="C30" s="73"/>
      <c r="D30" s="73"/>
      <c r="E30" s="73"/>
      <c r="F30" s="73"/>
      <c r="G30" s="73"/>
    </row>
    <row r="31" spans="1:7" ht="12.75">
      <c r="A31" s="73"/>
      <c r="B31" s="73"/>
      <c r="C31" s="73"/>
      <c r="D31" s="73"/>
      <c r="E31" s="73"/>
      <c r="F31" s="73"/>
      <c r="G31" s="73"/>
    </row>
    <row r="32" spans="1:7" ht="12.75">
      <c r="A32" s="73"/>
      <c r="B32" s="73"/>
      <c r="C32" s="73"/>
      <c r="D32" s="73"/>
      <c r="E32" s="73"/>
      <c r="F32" s="73"/>
      <c r="G32" s="73"/>
    </row>
    <row r="33" spans="1:7" ht="12.75">
      <c r="A33" s="73"/>
      <c r="B33" s="73"/>
      <c r="C33" s="73"/>
      <c r="D33" s="73"/>
      <c r="E33" s="73"/>
      <c r="F33" s="73"/>
      <c r="G33" s="73"/>
    </row>
    <row r="34" spans="1:7" ht="12.75">
      <c r="A34" s="73"/>
      <c r="B34" s="73"/>
      <c r="C34" s="73"/>
      <c r="D34" s="73"/>
      <c r="E34" s="73"/>
      <c r="F34" s="73"/>
      <c r="G34" s="73"/>
    </row>
    <row r="35" spans="1:7" ht="12.75">
      <c r="A35" s="73"/>
      <c r="B35" s="73"/>
      <c r="C35" s="73"/>
      <c r="D35" s="73"/>
      <c r="E35" s="73"/>
      <c r="F35" s="73"/>
      <c r="G35" s="73"/>
    </row>
    <row r="36" spans="1:7" ht="12.75">
      <c r="A36" s="73"/>
      <c r="B36" s="73"/>
      <c r="C36" s="73"/>
      <c r="D36" s="73"/>
      <c r="E36" s="73"/>
      <c r="F36" s="73"/>
      <c r="G36" s="73"/>
    </row>
    <row r="37" spans="1:7" ht="12.75">
      <c r="A37" s="73"/>
      <c r="B37" s="73"/>
      <c r="C37" s="73"/>
      <c r="D37" s="73"/>
      <c r="E37" s="73"/>
      <c r="F37" s="73"/>
      <c r="G37" s="73"/>
    </row>
    <row r="38" spans="1:7" ht="12.75">
      <c r="A38" s="73"/>
      <c r="B38" s="73"/>
      <c r="C38" s="73"/>
      <c r="D38" s="73"/>
      <c r="E38" s="73"/>
      <c r="F38" s="73"/>
      <c r="G38" s="73"/>
    </row>
    <row r="39" spans="1:7" ht="12.75">
      <c r="A39" s="73"/>
      <c r="B39" s="73"/>
      <c r="C39" s="73"/>
      <c r="D39" s="73"/>
      <c r="E39" s="73"/>
      <c r="F39" s="73"/>
      <c r="G39" s="73"/>
    </row>
    <row r="40" spans="1:7" ht="12.75">
      <c r="A40" s="73"/>
      <c r="B40" s="73"/>
      <c r="C40" s="73"/>
      <c r="D40" s="73"/>
      <c r="E40" s="73"/>
      <c r="F40" s="73"/>
      <c r="G40" s="73"/>
    </row>
    <row r="41" spans="1:7" ht="12.75">
      <c r="A41" s="73"/>
      <c r="B41" s="73"/>
      <c r="C41" s="73"/>
      <c r="D41" s="73"/>
      <c r="E41" s="73"/>
      <c r="F41" s="73"/>
      <c r="G41" s="73"/>
    </row>
    <row r="42" spans="1:7" ht="12.75">
      <c r="A42" s="73"/>
      <c r="B42" s="73"/>
      <c r="C42" s="73"/>
      <c r="D42" s="73"/>
      <c r="E42" s="73"/>
      <c r="F42" s="73"/>
      <c r="G42" s="73"/>
    </row>
    <row r="43" spans="1:7" ht="12.75">
      <c r="A43" s="73"/>
      <c r="B43" s="73"/>
      <c r="C43" s="73"/>
      <c r="D43" s="73"/>
      <c r="E43" s="73"/>
      <c r="F43" s="73"/>
      <c r="G43" s="73"/>
    </row>
    <row r="44" spans="1:7" ht="12.75">
      <c r="A44" s="73"/>
      <c r="B44" s="73"/>
      <c r="C44" s="73"/>
      <c r="D44" s="73"/>
      <c r="E44" s="73"/>
      <c r="F44" s="73"/>
      <c r="G44" s="73"/>
    </row>
    <row r="45" spans="1:7" ht="12.75">
      <c r="A45" s="73"/>
      <c r="B45" s="73"/>
      <c r="C45" s="73"/>
      <c r="D45" s="73"/>
      <c r="E45" s="73"/>
      <c r="F45" s="73"/>
      <c r="G45" s="73"/>
    </row>
    <row r="46" spans="1:7" ht="12.75">
      <c r="A46" s="73"/>
      <c r="B46" s="73"/>
      <c r="C46" s="73"/>
      <c r="D46" s="73"/>
      <c r="E46" s="73"/>
      <c r="F46" s="73"/>
      <c r="G46" s="73"/>
    </row>
    <row r="47" spans="1:7" ht="12.75">
      <c r="A47" s="73"/>
      <c r="B47" s="73"/>
      <c r="C47" s="73"/>
      <c r="D47" s="73"/>
      <c r="E47" s="73"/>
      <c r="F47" s="73"/>
      <c r="G47" s="73"/>
    </row>
    <row r="48" spans="1:7" ht="12.75">
      <c r="A48" s="73"/>
      <c r="B48" s="73"/>
      <c r="C48" s="73"/>
      <c r="D48" s="73"/>
      <c r="E48" s="73"/>
      <c r="F48" s="73"/>
      <c r="G48" s="73"/>
    </row>
    <row r="49" spans="1:7" ht="12.75">
      <c r="A49" s="73"/>
      <c r="B49" s="73"/>
      <c r="C49" s="73"/>
      <c r="D49" s="73"/>
      <c r="E49" s="73"/>
      <c r="F49" s="73"/>
      <c r="G49" s="73"/>
    </row>
    <row r="50" spans="1:7" ht="12.75">
      <c r="A50" s="73"/>
      <c r="B50" s="73"/>
      <c r="C50" s="73"/>
      <c r="D50" s="73"/>
      <c r="E50" s="73"/>
      <c r="F50" s="73"/>
      <c r="G50" s="73"/>
    </row>
    <row r="51" spans="1:7" ht="12.75">
      <c r="A51" s="73"/>
      <c r="B51" s="73"/>
      <c r="C51" s="73"/>
      <c r="D51" s="73"/>
      <c r="E51" s="73"/>
      <c r="F51" s="73"/>
      <c r="G51" s="73"/>
    </row>
    <row r="52" spans="1:7" ht="12.75">
      <c r="A52" s="73"/>
      <c r="B52" s="73"/>
      <c r="C52" s="73"/>
      <c r="D52" s="73"/>
      <c r="E52" s="73"/>
      <c r="F52" s="73"/>
      <c r="G52" s="73"/>
    </row>
    <row r="53" spans="1:7" ht="12.75">
      <c r="A53" s="73"/>
      <c r="B53" s="73"/>
      <c r="C53" s="73"/>
      <c r="D53" s="73"/>
      <c r="E53" s="73"/>
      <c r="F53" s="73"/>
      <c r="G53" s="73"/>
    </row>
    <row r="54" spans="1:7" ht="12.75">
      <c r="A54" s="73"/>
      <c r="B54" s="73"/>
      <c r="C54" s="73"/>
      <c r="D54" s="73"/>
      <c r="E54" s="73"/>
      <c r="F54" s="73"/>
      <c r="G54" s="73"/>
    </row>
    <row r="55" spans="1:7" ht="12.75">
      <c r="A55" s="73"/>
      <c r="B55" s="73"/>
      <c r="C55" s="73"/>
      <c r="D55" s="73"/>
      <c r="E55" s="73"/>
      <c r="F55" s="73"/>
      <c r="G55" s="73"/>
    </row>
    <row r="56" spans="1:7" ht="12.75">
      <c r="A56" s="73"/>
      <c r="B56" s="73"/>
      <c r="C56" s="73"/>
      <c r="D56" s="73"/>
      <c r="E56" s="73"/>
      <c r="F56" s="73"/>
      <c r="G56" s="73"/>
    </row>
    <row r="57" spans="1:7" ht="12.75">
      <c r="A57" s="73"/>
      <c r="B57" s="73"/>
      <c r="C57" s="73"/>
      <c r="D57" s="73"/>
      <c r="E57" s="73"/>
      <c r="F57" s="73"/>
      <c r="G57" s="73"/>
    </row>
    <row r="58" spans="1:7" ht="12.75">
      <c r="A58" s="73"/>
      <c r="B58" s="73"/>
      <c r="C58" s="73"/>
      <c r="D58" s="73"/>
      <c r="E58" s="73"/>
      <c r="F58" s="73"/>
      <c r="G58" s="73"/>
    </row>
    <row r="59" spans="1:7" ht="12.75">
      <c r="A59" s="73"/>
      <c r="B59" s="73"/>
      <c r="C59" s="73"/>
      <c r="D59" s="73"/>
      <c r="E59" s="73"/>
      <c r="F59" s="73"/>
      <c r="G59" s="73"/>
    </row>
    <row r="60" spans="1:7" ht="12.75">
      <c r="A60" s="73"/>
      <c r="B60" s="73"/>
      <c r="C60" s="73"/>
      <c r="D60" s="73"/>
      <c r="E60" s="73"/>
      <c r="F60" s="73"/>
      <c r="G60" s="73"/>
    </row>
    <row r="61" spans="1:7" ht="12.75">
      <c r="A61" s="73"/>
      <c r="B61" s="73"/>
      <c r="C61" s="73"/>
      <c r="D61" s="73"/>
      <c r="E61" s="73"/>
      <c r="F61" s="73"/>
      <c r="G61" s="73"/>
    </row>
    <row r="62" spans="1:7" ht="12.75">
      <c r="A62" s="73"/>
      <c r="B62" s="73"/>
      <c r="C62" s="73"/>
      <c r="D62" s="73"/>
      <c r="E62" s="73"/>
      <c r="F62" s="73"/>
      <c r="G62" s="73"/>
    </row>
    <row r="63" spans="1:7" ht="12.75">
      <c r="A63" s="73"/>
      <c r="B63" s="73"/>
      <c r="C63" s="73"/>
      <c r="D63" s="73"/>
      <c r="E63" s="73"/>
      <c r="F63" s="73"/>
      <c r="G63" s="73"/>
    </row>
    <row r="64" spans="1:7" ht="12.75">
      <c r="A64" s="73"/>
      <c r="B64" s="73"/>
      <c r="C64" s="73"/>
      <c r="D64" s="73"/>
      <c r="E64" s="73"/>
      <c r="F64" s="73"/>
      <c r="G64" s="73"/>
    </row>
    <row r="65" s="73" customFormat="1" ht="12.75"/>
    <row r="66" s="73" customFormat="1" ht="12.75"/>
    <row r="67" s="73" customFormat="1" ht="12.75"/>
    <row r="68" s="73" customFormat="1" ht="12.75"/>
    <row r="69" s="73" customFormat="1" ht="12.75"/>
    <row r="70" s="73" customFormat="1" ht="12.75"/>
    <row r="71" s="73" customFormat="1" ht="12.75"/>
    <row r="72" s="73" customFormat="1" ht="12.75"/>
    <row r="73" s="73" customFormat="1" ht="12.75"/>
    <row r="74" s="73" customFormat="1" ht="12.75"/>
    <row r="75" s="73" customFormat="1" ht="12.75"/>
    <row r="76" s="73" customFormat="1" ht="12.75"/>
    <row r="77" s="73" customFormat="1" ht="12.75"/>
    <row r="78" s="73" customFormat="1" ht="12.75"/>
    <row r="79" s="73" customFormat="1" ht="12.75"/>
    <row r="80" s="73" customFormat="1" ht="12.75"/>
    <row r="81" s="73" customFormat="1" ht="12.75"/>
    <row r="82" s="73" customFormat="1" ht="12.75"/>
    <row r="83" s="73" customFormat="1" ht="12.75"/>
    <row r="84" s="73" customFormat="1" ht="12.75"/>
    <row r="85" s="73" customFormat="1" ht="12.75"/>
    <row r="86" s="73" customFormat="1" ht="12.75"/>
    <row r="87" s="73" customFormat="1" ht="12.75"/>
    <row r="88" s="73" customFormat="1" ht="12.75"/>
    <row r="89" s="73" customFormat="1" ht="12.75"/>
    <row r="90" s="73" customFormat="1" ht="12.75"/>
    <row r="91" s="73" customFormat="1" ht="12.75"/>
    <row r="92" s="73" customFormat="1" ht="12.75"/>
    <row r="93" s="73" customFormat="1" ht="12.75"/>
    <row r="94" s="73" customFormat="1" ht="12.75"/>
    <row r="95" s="73" customFormat="1" ht="12.75"/>
    <row r="96" s="73" customFormat="1" ht="12.75"/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 thickBot="1"/>
  </sheetData>
  <sheetProtection algorithmName="SHA-512" hashValue="//dTVtLgOYHhCTzGr4XxkIJ8qrhtQKUeF/49EwRPNSdDJbs6c0OTgWsLGKr9CY8hzK8fpTiE93DBJjxo1FVCPQ==" saltValue="CUAWzNA7b8CiAYpknfR18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1">
      <selection pane="topLeft" activeCell="B13" sqref="B13"/>
    </sheetView>
  </sheetViews>
  <sheetFormatPr defaultRowHeight="12.75"/>
  <cols>
    <col min="2" max="6" width="18.7142857142857" customWidth="1"/>
    <col min="7" max="38" width="9.14285714285714" style="22"/>
  </cols>
  <sheetData>
    <row r="1" spans="1:6" ht="20.1" customHeight="1" thickBot="1">
      <c r="A1" s="1154"/>
      <c r="B1" s="1154"/>
      <c r="C1" s="1485" t="s">
        <v>37</v>
      </c>
      <c r="D1" s="1486"/>
      <c r="E1" s="1487"/>
      <c r="F1" s="168" t="str">
        <f>+'2Př'!I1</f>
        <v/>
      </c>
    </row>
    <row r="2" spans="1:6" ht="27.95" customHeight="1">
      <c r="A2" s="1154"/>
      <c r="B2" s="1154"/>
      <c r="C2" s="1154"/>
      <c r="D2" s="1154"/>
      <c r="E2" s="1154"/>
      <c r="F2" s="1154"/>
    </row>
    <row r="3" spans="1:6" ht="27.95" customHeight="1">
      <c r="A3" s="1488" t="s">
        <v>183</v>
      </c>
      <c r="B3" s="1488"/>
      <c r="C3" s="1488"/>
      <c r="D3" s="1488"/>
      <c r="E3" s="1488"/>
      <c r="F3" s="1488"/>
    </row>
    <row r="4" spans="1:6" ht="27.95" customHeight="1" thickBot="1">
      <c r="A4" s="1154"/>
      <c r="B4" s="1154"/>
      <c r="C4" s="1154"/>
      <c r="D4" s="1154"/>
      <c r="E4" s="1154"/>
      <c r="F4" s="1154"/>
    </row>
    <row r="5" spans="1:38" s="164" customFormat="1" ht="18.75" thickBot="1">
      <c r="A5" s="1489" t="s">
        <v>125</v>
      </c>
      <c r="B5" s="1489"/>
      <c r="C5" s="1489"/>
      <c r="D5" s="1489"/>
      <c r="E5" s="1490"/>
      <c r="F5" s="165">
        <f>+'DAP1'!F24</f>
        <v>2022</v>
      </c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</row>
    <row r="6" spans="1:6" ht="18">
      <c r="A6" s="1480" t="s">
        <v>184</v>
      </c>
      <c r="B6" s="1480"/>
      <c r="C6" s="1480"/>
      <c r="D6" s="1480"/>
      <c r="E6" s="1480"/>
      <c r="F6" s="1480"/>
    </row>
    <row r="7" spans="1:6" ht="15">
      <c r="A7" s="1481" t="s">
        <v>45</v>
      </c>
      <c r="B7" s="1481"/>
      <c r="C7" s="1481"/>
      <c r="D7" s="1481"/>
      <c r="E7" s="1481"/>
      <c r="F7" s="1481"/>
    </row>
    <row r="8" spans="1:6" ht="13.5" thickBot="1">
      <c r="A8" s="1154"/>
      <c r="B8" s="1154"/>
      <c r="C8" s="1154"/>
      <c r="D8" s="1154"/>
      <c r="E8" s="1154"/>
      <c r="F8" s="1154"/>
    </row>
    <row r="9" spans="1:6" ht="12.75">
      <c r="A9" s="206" t="s">
        <v>177</v>
      </c>
      <c r="B9" s="207" t="s">
        <v>182</v>
      </c>
      <c r="C9" s="207" t="s">
        <v>181</v>
      </c>
      <c r="D9" s="207" t="s">
        <v>180</v>
      </c>
      <c r="E9" s="207" t="s">
        <v>179</v>
      </c>
      <c r="F9" s="208" t="s">
        <v>178</v>
      </c>
    </row>
    <row r="10" spans="1:6" ht="12.75" customHeight="1">
      <c r="A10" s="1482" t="s">
        <v>6</v>
      </c>
      <c r="B10" s="1478" t="s">
        <v>3781</v>
      </c>
      <c r="C10" s="1478" t="s">
        <v>3782</v>
      </c>
      <c r="D10" s="1478" t="s">
        <v>3783</v>
      </c>
      <c r="E10" s="1478" t="s">
        <v>3784</v>
      </c>
      <c r="F10" s="1483" t="s">
        <v>3785</v>
      </c>
    </row>
    <row r="11" spans="1:6" ht="45.75" customHeight="1">
      <c r="A11" s="1482"/>
      <c r="B11" s="1478"/>
      <c r="C11" s="1478"/>
      <c r="D11" s="1479"/>
      <c r="E11" s="1479"/>
      <c r="F11" s="1484"/>
    </row>
    <row r="12" spans="1:6" ht="18" customHeight="1">
      <c r="A12" s="169">
        <v>1</v>
      </c>
      <c r="B12" s="209">
        <v>2021</v>
      </c>
      <c r="C12" s="210">
        <v>0</v>
      </c>
      <c r="D12" s="210">
        <v>0</v>
      </c>
      <c r="E12" s="210">
        <v>0</v>
      </c>
      <c r="F12" s="211">
        <f t="shared" si="0" ref="F12:F19">+C12-D12-E12</f>
        <v>0</v>
      </c>
    </row>
    <row r="13" spans="1:6" ht="18" customHeight="1">
      <c r="A13" s="169">
        <v>2</v>
      </c>
      <c r="B13" s="212"/>
      <c r="C13" s="210"/>
      <c r="D13" s="210"/>
      <c r="E13" s="210"/>
      <c r="F13" s="211">
        <f t="shared" si="0"/>
        <v>0</v>
      </c>
    </row>
    <row r="14" spans="1:6" ht="18" customHeight="1">
      <c r="A14" s="169">
        <v>3</v>
      </c>
      <c r="B14" s="212"/>
      <c r="C14" s="210"/>
      <c r="D14" s="210"/>
      <c r="E14" s="210"/>
      <c r="F14" s="211">
        <f t="shared" si="0"/>
        <v>0</v>
      </c>
    </row>
    <row r="15" spans="1:6" ht="18" customHeight="1">
      <c r="A15" s="169">
        <v>4</v>
      </c>
      <c r="B15" s="212"/>
      <c r="C15" s="210"/>
      <c r="D15" s="210"/>
      <c r="E15" s="210"/>
      <c r="F15" s="211">
        <f t="shared" si="0"/>
        <v>0</v>
      </c>
    </row>
    <row r="16" spans="1:6" ht="18" customHeight="1">
      <c r="A16" s="169">
        <v>5</v>
      </c>
      <c r="B16" s="212"/>
      <c r="C16" s="210"/>
      <c r="D16" s="210"/>
      <c r="E16" s="210"/>
      <c r="F16" s="211">
        <f t="shared" si="0"/>
        <v>0</v>
      </c>
    </row>
    <row r="17" spans="1:6" ht="18" customHeight="1">
      <c r="A17" s="169">
        <v>6</v>
      </c>
      <c r="B17" s="212"/>
      <c r="C17" s="210"/>
      <c r="D17" s="210"/>
      <c r="E17" s="210"/>
      <c r="F17" s="211">
        <f t="shared" si="0"/>
        <v>0</v>
      </c>
    </row>
    <row r="18" spans="1:6" ht="18" customHeight="1">
      <c r="A18" s="169">
        <v>7</v>
      </c>
      <c r="B18" s="212"/>
      <c r="C18" s="210"/>
      <c r="D18" s="210"/>
      <c r="E18" s="210"/>
      <c r="F18" s="211">
        <f t="shared" si="0"/>
        <v>0</v>
      </c>
    </row>
    <row r="19" spans="1:6" ht="18" customHeight="1">
      <c r="A19" s="169">
        <v>8</v>
      </c>
      <c r="B19" s="212"/>
      <c r="C19" s="210"/>
      <c r="D19" s="210"/>
      <c r="E19" s="210"/>
      <c r="F19" s="211">
        <f t="shared" si="0"/>
        <v>0</v>
      </c>
    </row>
    <row r="20" spans="1:6" ht="18" customHeight="1" thickBot="1">
      <c r="A20" s="213">
        <v>9</v>
      </c>
      <c r="B20" s="1476" t="s">
        <v>59</v>
      </c>
      <c r="C20" s="1477"/>
      <c r="D20" s="1477"/>
      <c r="E20" s="214">
        <f>SUM(E12:E19)</f>
        <v>0</v>
      </c>
      <c r="F20" s="215">
        <f>SUM(F12:F19)</f>
        <v>0</v>
      </c>
    </row>
    <row r="21" spans="1:6" ht="24" customHeight="1">
      <c r="A21" s="1491" t="s">
        <v>3786</v>
      </c>
      <c r="B21" s="1491"/>
      <c r="C21" s="1491"/>
      <c r="D21" s="1491"/>
      <c r="E21" s="1491"/>
      <c r="F21" s="1491"/>
    </row>
    <row r="22" spans="1:6" ht="24" customHeight="1">
      <c r="A22" s="1154"/>
      <c r="B22" s="1154"/>
      <c r="C22" s="1154"/>
      <c r="D22" s="1154"/>
      <c r="E22" s="1154"/>
      <c r="F22" s="1154"/>
    </row>
    <row r="23" spans="1:6" ht="24" customHeight="1">
      <c r="A23" s="1154"/>
      <c r="B23" s="1154"/>
      <c r="C23" s="1154"/>
      <c r="D23" s="1154"/>
      <c r="E23" s="1154"/>
      <c r="F23" s="1154"/>
    </row>
    <row r="24" spans="1:6" ht="24" customHeight="1">
      <c r="A24" s="1154"/>
      <c r="B24" s="1154"/>
      <c r="C24" s="1154"/>
      <c r="D24" s="1154"/>
      <c r="E24" s="1154"/>
      <c r="F24" s="1154"/>
    </row>
    <row r="25" spans="1:6" ht="24" customHeight="1">
      <c r="A25" s="1154"/>
      <c r="B25" s="1154"/>
      <c r="C25" s="1154"/>
      <c r="D25" s="1154"/>
      <c r="E25" s="1154"/>
      <c r="F25" s="1154"/>
    </row>
    <row r="26" spans="1:6" ht="24" customHeight="1">
      <c r="A26" s="1154"/>
      <c r="B26" s="1154"/>
      <c r="C26" s="1154"/>
      <c r="D26" s="1154"/>
      <c r="E26" s="1154"/>
      <c r="F26" s="1154"/>
    </row>
    <row r="27" spans="1:6" ht="24" customHeight="1">
      <c r="A27" s="1154"/>
      <c r="B27" s="1154"/>
      <c r="C27" s="1154"/>
      <c r="D27" s="1154"/>
      <c r="E27" s="1154"/>
      <c r="F27" s="1154"/>
    </row>
    <row r="28" spans="1:6" ht="24" customHeight="1">
      <c r="A28" s="1154"/>
      <c r="B28" s="1154"/>
      <c r="C28" s="1154"/>
      <c r="D28" s="1154"/>
      <c r="E28" s="1154"/>
      <c r="F28" s="1154"/>
    </row>
    <row r="29" spans="1:6" ht="24" customHeight="1">
      <c r="A29" s="1154"/>
      <c r="B29" s="1154"/>
      <c r="C29" s="1154"/>
      <c r="D29" s="1154"/>
      <c r="E29" s="1154"/>
      <c r="F29" s="1154"/>
    </row>
    <row r="30" spans="1:6" ht="24" customHeight="1">
      <c r="A30" s="1154"/>
      <c r="B30" s="1154"/>
      <c r="C30" s="1154"/>
      <c r="D30" s="1154"/>
      <c r="E30" s="1154"/>
      <c r="F30" s="1154"/>
    </row>
    <row r="31" spans="1:6" ht="24" customHeight="1">
      <c r="A31" s="1154"/>
      <c r="B31" s="1154"/>
      <c r="C31" s="1154"/>
      <c r="D31" s="1154"/>
      <c r="E31" s="1154"/>
      <c r="F31" s="1154"/>
    </row>
    <row r="32" spans="1:6" ht="24" customHeight="1">
      <c r="A32" s="1154"/>
      <c r="B32" s="1154"/>
      <c r="C32" s="1154"/>
      <c r="D32" s="1154"/>
      <c r="E32" s="1154"/>
      <c r="F32" s="1154"/>
    </row>
    <row r="33" spans="1:6" ht="24" customHeight="1">
      <c r="A33" s="1154"/>
      <c r="B33" s="1154"/>
      <c r="C33" s="1154"/>
      <c r="D33" s="1154"/>
      <c r="E33" s="1154"/>
      <c r="F33" s="1154"/>
    </row>
    <row r="34" spans="1:6" ht="12.75">
      <c r="A34" s="1494" t="str">
        <f>+'DAP1'!A46</f>
        <v>Formulář zpracovala ASPEKT HM, daňová, účetní a auditorská kancelář, www.danovapriznani.cz, business.center.cz</v>
      </c>
      <c r="B34" s="1495"/>
      <c r="C34" s="1495"/>
      <c r="D34" s="1495"/>
      <c r="E34" s="1495"/>
      <c r="F34" s="1495"/>
    </row>
    <row r="35" spans="1:6" ht="12.75">
      <c r="A35" s="1492" t="s">
        <v>3787</v>
      </c>
      <c r="B35" s="1492"/>
      <c r="C35" s="1492"/>
      <c r="D35" s="1492"/>
      <c r="E35" s="1492"/>
      <c r="F35" s="1492"/>
    </row>
    <row r="36" spans="1:6" ht="12.75">
      <c r="A36" s="1493" t="s">
        <v>300</v>
      </c>
      <c r="B36" s="1493"/>
      <c r="C36" s="1493"/>
      <c r="D36" s="1493"/>
      <c r="E36" s="1493"/>
      <c r="F36" s="1493"/>
    </row>
    <row r="37" spans="1:6" ht="12.75">
      <c r="A37" s="22"/>
      <c r="B37" s="22"/>
      <c r="C37" s="22"/>
      <c r="D37" s="22"/>
      <c r="E37" s="22"/>
      <c r="F37" s="22"/>
    </row>
    <row r="38" spans="1:6" ht="12.75">
      <c r="A38" s="22"/>
      <c r="B38" s="22"/>
      <c r="C38" s="22"/>
      <c r="D38" s="22"/>
      <c r="E38" s="22"/>
      <c r="F38" s="22"/>
    </row>
    <row r="39" spans="1:6" ht="12.75">
      <c r="A39" s="22"/>
      <c r="B39" s="22"/>
      <c r="C39" s="22"/>
      <c r="D39" s="22"/>
      <c r="E39" s="22"/>
      <c r="F39" s="22"/>
    </row>
    <row r="40" spans="1:6" ht="12.75">
      <c r="A40" s="22"/>
      <c r="B40" s="22"/>
      <c r="C40" s="22"/>
      <c r="D40" s="22"/>
      <c r="E40" s="22"/>
      <c r="F40" s="22"/>
    </row>
    <row r="41" spans="1:6" ht="12.75">
      <c r="A41" s="22"/>
      <c r="B41" s="22"/>
      <c r="C41" s="22"/>
      <c r="D41" s="22"/>
      <c r="E41" s="22"/>
      <c r="F41" s="22"/>
    </row>
    <row r="42" spans="1:6" ht="12.75">
      <c r="A42" s="22"/>
      <c r="B42" s="22"/>
      <c r="C42" s="22"/>
      <c r="D42" s="22"/>
      <c r="E42" s="22"/>
      <c r="F42" s="22"/>
    </row>
    <row r="43" spans="1:6" ht="12.75">
      <c r="A43" s="22"/>
      <c r="B43" s="22"/>
      <c r="C43" s="22"/>
      <c r="D43" s="22"/>
      <c r="E43" s="22"/>
      <c r="F43" s="22"/>
    </row>
    <row r="44" spans="1:6" ht="12.75">
      <c r="A44" s="22"/>
      <c r="B44" s="22"/>
      <c r="C44" s="22"/>
      <c r="D44" s="22"/>
      <c r="E44" s="22"/>
      <c r="F44" s="22"/>
    </row>
    <row r="45" spans="1:6" ht="12.75">
      <c r="A45" s="22"/>
      <c r="B45" s="22"/>
      <c r="C45" s="22"/>
      <c r="D45" s="22"/>
      <c r="E45" s="22"/>
      <c r="F45" s="22"/>
    </row>
    <row r="46" spans="1:6" ht="12.75">
      <c r="A46" s="22"/>
      <c r="B46" s="22"/>
      <c r="C46" s="22"/>
      <c r="D46" s="22"/>
      <c r="E46" s="22"/>
      <c r="F46" s="22"/>
    </row>
    <row r="47" spans="1:6" ht="12.75">
      <c r="A47" s="22"/>
      <c r="B47" s="22"/>
      <c r="C47" s="22"/>
      <c r="D47" s="22"/>
      <c r="E47" s="22"/>
      <c r="F47" s="22"/>
    </row>
    <row r="48" spans="1:6" ht="12.75">
      <c r="A48" s="22"/>
      <c r="B48" s="22"/>
      <c r="C48" s="22"/>
      <c r="D48" s="22"/>
      <c r="E48" s="22"/>
      <c r="F48" s="22"/>
    </row>
    <row r="49" s="22" customFormat="1" ht="12.75"/>
    <row r="50" s="22" customFormat="1" ht="12.75"/>
    <row r="51" s="22" customFormat="1" ht="12.75"/>
    <row r="52" s="22" customFormat="1" ht="12.75"/>
    <row r="53" s="22" customFormat="1" ht="12.75"/>
    <row r="54" s="22" customFormat="1" ht="12.75"/>
    <row r="55" s="22" customFormat="1" ht="12.75"/>
    <row r="56" s="22" customFormat="1" ht="12.75"/>
    <row r="57" s="22" customFormat="1" ht="12.75"/>
    <row r="58" s="22" customFormat="1" ht="12.75"/>
    <row r="59" s="22" customFormat="1" ht="12.75"/>
    <row r="60" s="22" customFormat="1" ht="12.75"/>
    <row r="61" s="22" customFormat="1" ht="12.75" thickBot="1"/>
  </sheetData>
  <sheetProtection algorithmName="SHA-512" hashValue="LrjmfJ5BKh9UnCjm8l0s8BMKCG9xdksLG4TjGCL36+f4mCwKgrcX9PlgseuAB9KyYrq5qBJ5oK8CIIh2aG0vjQ==" saltValue="0nQAdBdeDUJUQpHVDN4HN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B11" sqref="B11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2"/>
  </cols>
  <sheetData>
    <row r="1" spans="1:6" ht="18" customHeight="1">
      <c r="A1" s="1485" t="s">
        <v>37</v>
      </c>
      <c r="B1" s="1154"/>
      <c r="C1" s="1154"/>
      <c r="D1" s="1505"/>
      <c r="E1" s="1503" t="str">
        <f>+'6Př'!F1</f>
        <v/>
      </c>
      <c r="F1" s="1504"/>
    </row>
    <row r="2" spans="1:6" ht="12.75">
      <c r="A2" s="1154"/>
      <c r="B2" s="1154"/>
      <c r="C2" s="1154"/>
      <c r="D2" s="1154"/>
      <c r="E2" s="1154"/>
      <c r="F2" s="1154"/>
    </row>
    <row r="3" spans="1:21" s="103" customFormat="1" ht="27.75">
      <c r="A3" s="1506" t="s">
        <v>118</v>
      </c>
      <c r="B3" s="1506"/>
      <c r="C3" s="1506"/>
      <c r="D3" s="1506"/>
      <c r="E3" s="1506"/>
      <c r="F3" s="15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s="103" customFormat="1" ht="18">
      <c r="A4" s="740" t="s">
        <v>46</v>
      </c>
      <c r="B4" s="740"/>
      <c r="C4" s="740"/>
      <c r="D4" s="740"/>
      <c r="E4" s="740"/>
      <c r="F4" s="740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s="103" customFormat="1" ht="18">
      <c r="A5" s="740" t="s">
        <v>3526</v>
      </c>
      <c r="B5" s="740"/>
      <c r="C5" s="740"/>
      <c r="D5" s="740"/>
      <c r="E5" s="740"/>
      <c r="F5" s="740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3" customFormat="1" ht="18">
      <c r="A6" s="1498" t="s">
        <v>125</v>
      </c>
      <c r="B6" s="1498"/>
      <c r="C6" s="1498"/>
      <c r="D6" s="1499"/>
      <c r="E6" s="167">
        <f>+'DAP1'!F24</f>
        <v>2022</v>
      </c>
      <c r="F6" s="137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</row>
    <row r="7" spans="1:6" ht="13.5" thickBot="1">
      <c r="A7" s="1154"/>
      <c r="B7" s="1154"/>
      <c r="C7" s="1154"/>
      <c r="D7" s="1154"/>
      <c r="E7" s="1154"/>
      <c r="F7" s="1154"/>
    </row>
    <row r="8" spans="1:6" ht="18" customHeight="1">
      <c r="A8" s="216" t="s">
        <v>6</v>
      </c>
      <c r="B8" s="217" t="s">
        <v>47</v>
      </c>
      <c r="C8" s="217" t="s">
        <v>48</v>
      </c>
      <c r="D8" s="217" t="s">
        <v>49</v>
      </c>
      <c r="E8" s="217" t="s">
        <v>50</v>
      </c>
      <c r="F8" s="218" t="s">
        <v>51</v>
      </c>
    </row>
    <row r="9" spans="1:6" ht="18" customHeight="1" thickBot="1">
      <c r="A9" s="219" t="s">
        <v>126</v>
      </c>
      <c r="B9" s="220" t="s">
        <v>3527</v>
      </c>
      <c r="C9" s="220" t="s">
        <v>127</v>
      </c>
      <c r="D9" s="220" t="s">
        <v>128</v>
      </c>
      <c r="E9" s="220" t="s">
        <v>129</v>
      </c>
      <c r="F9" s="221" t="s">
        <v>130</v>
      </c>
    </row>
    <row r="10" spans="1:6" ht="18" customHeight="1">
      <c r="A10" s="222">
        <v>1</v>
      </c>
      <c r="B10" s="223"/>
      <c r="C10" s="224"/>
      <c r="D10" s="224"/>
      <c r="E10" s="224"/>
      <c r="F10" s="225"/>
    </row>
    <row r="11" spans="1:6" ht="18" customHeight="1">
      <c r="A11" s="226"/>
      <c r="B11" s="138"/>
      <c r="C11" s="227"/>
      <c r="D11" s="227"/>
      <c r="E11" s="227"/>
      <c r="F11" s="228"/>
    </row>
    <row r="12" spans="1:6" ht="18" customHeight="1">
      <c r="A12" s="226"/>
      <c r="B12" s="138"/>
      <c r="C12" s="227"/>
      <c r="D12" s="227"/>
      <c r="E12" s="227"/>
      <c r="F12" s="228"/>
    </row>
    <row r="13" spans="1:6" ht="18" customHeight="1">
      <c r="A13" s="226"/>
      <c r="B13" s="138"/>
      <c r="C13" s="227"/>
      <c r="D13" s="227"/>
      <c r="E13" s="227"/>
      <c r="F13" s="228"/>
    </row>
    <row r="14" spans="1:6" ht="18" customHeight="1">
      <c r="A14" s="226"/>
      <c r="B14" s="138"/>
      <c r="C14" s="227"/>
      <c r="D14" s="227"/>
      <c r="E14" s="227"/>
      <c r="F14" s="228"/>
    </row>
    <row r="15" spans="1:6" ht="18" customHeight="1">
      <c r="A15" s="226"/>
      <c r="B15" s="138"/>
      <c r="C15" s="227"/>
      <c r="D15" s="227"/>
      <c r="E15" s="227"/>
      <c r="F15" s="228"/>
    </row>
    <row r="16" spans="1:6" ht="18" customHeight="1">
      <c r="A16" s="226"/>
      <c r="B16" s="138"/>
      <c r="C16" s="227"/>
      <c r="D16" s="227"/>
      <c r="E16" s="227"/>
      <c r="F16" s="228"/>
    </row>
    <row r="17" spans="1:6" ht="18" customHeight="1">
      <c r="A17" s="226"/>
      <c r="B17" s="138"/>
      <c r="C17" s="227"/>
      <c r="D17" s="227"/>
      <c r="E17" s="227"/>
      <c r="F17" s="228"/>
    </row>
    <row r="18" spans="1:6" ht="18" customHeight="1">
      <c r="A18" s="226"/>
      <c r="B18" s="138"/>
      <c r="C18" s="227"/>
      <c r="D18" s="227"/>
      <c r="E18" s="227"/>
      <c r="F18" s="228"/>
    </row>
    <row r="19" spans="1:6" ht="18" customHeight="1">
      <c r="A19" s="226"/>
      <c r="B19" s="138"/>
      <c r="C19" s="227"/>
      <c r="D19" s="227"/>
      <c r="E19" s="227"/>
      <c r="F19" s="228"/>
    </row>
    <row r="20" spans="1:6" ht="18" customHeight="1">
      <c r="A20" s="226"/>
      <c r="B20" s="138"/>
      <c r="C20" s="227"/>
      <c r="D20" s="227"/>
      <c r="E20" s="227"/>
      <c r="F20" s="228"/>
    </row>
    <row r="21" spans="1:6" ht="18" customHeight="1">
      <c r="A21" s="226"/>
      <c r="B21" s="138"/>
      <c r="C21" s="227"/>
      <c r="D21" s="227"/>
      <c r="E21" s="227"/>
      <c r="F21" s="228"/>
    </row>
    <row r="22" spans="1:6" ht="18" customHeight="1">
      <c r="A22" s="226"/>
      <c r="B22" s="138"/>
      <c r="C22" s="227"/>
      <c r="D22" s="227"/>
      <c r="E22" s="227"/>
      <c r="F22" s="228"/>
    </row>
    <row r="23" spans="1:6" ht="18" customHeight="1">
      <c r="A23" s="226"/>
      <c r="B23" s="138"/>
      <c r="C23" s="227"/>
      <c r="D23" s="227"/>
      <c r="E23" s="227"/>
      <c r="F23" s="228"/>
    </row>
    <row r="24" spans="1:6" ht="18" customHeight="1">
      <c r="A24" s="226"/>
      <c r="B24" s="138"/>
      <c r="C24" s="227"/>
      <c r="D24" s="227"/>
      <c r="E24" s="227"/>
      <c r="F24" s="228"/>
    </row>
    <row r="25" spans="1:6" ht="18" customHeight="1" thickBot="1">
      <c r="A25" s="229"/>
      <c r="B25" s="230"/>
      <c r="C25" s="231"/>
      <c r="D25" s="231"/>
      <c r="E25" s="231"/>
      <c r="F25" s="232"/>
    </row>
    <row r="26" spans="1:6" ht="12.75">
      <c r="A26" s="1500"/>
      <c r="B26" s="1500"/>
      <c r="C26" s="1500"/>
      <c r="D26" s="1500"/>
      <c r="E26" s="1500"/>
      <c r="F26" s="1500"/>
    </row>
    <row r="27" spans="1:21" s="103" customFormat="1" ht="12.75">
      <c r="A27" s="1501" t="s">
        <v>3542</v>
      </c>
      <c r="B27" s="1136"/>
      <c r="C27" s="1136"/>
      <c r="D27" s="1136"/>
      <c r="E27" s="1136"/>
      <c r="F27" s="113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1" s="103" customFormat="1" ht="24" customHeight="1">
      <c r="A28" s="1502" t="s">
        <v>3528</v>
      </c>
      <c r="B28" s="767"/>
      <c r="C28" s="767"/>
      <c r="D28" s="767"/>
      <c r="E28" s="767"/>
      <c r="F28" s="767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</row>
    <row r="29" spans="1:21" s="103" customFormat="1" ht="12.75">
      <c r="A29" s="1501" t="s">
        <v>131</v>
      </c>
      <c r="B29" s="1136"/>
      <c r="C29" s="1136"/>
      <c r="D29" s="1136"/>
      <c r="E29" s="1136"/>
      <c r="F29" s="113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</row>
    <row r="30" spans="1:21" s="103" customFormat="1" ht="12.75">
      <c r="A30" s="1501" t="s">
        <v>132</v>
      </c>
      <c r="B30" s="1136"/>
      <c r="C30" s="1136"/>
      <c r="D30" s="1136"/>
      <c r="E30" s="1136"/>
      <c r="F30" s="113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</row>
    <row r="31" spans="1:21" s="103" customFormat="1" ht="24" customHeight="1">
      <c r="A31" s="1502" t="s">
        <v>133</v>
      </c>
      <c r="B31" s="767"/>
      <c r="C31" s="767"/>
      <c r="D31" s="767"/>
      <c r="E31" s="767"/>
      <c r="F31" s="767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</row>
    <row r="32" spans="1:21" s="103" customFormat="1" ht="24" customHeight="1">
      <c r="A32" s="1502" t="s">
        <v>52</v>
      </c>
      <c r="B32" s="767"/>
      <c r="C32" s="767"/>
      <c r="D32" s="767"/>
      <c r="E32" s="767"/>
      <c r="F32" s="767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</row>
    <row r="33" spans="1:6" ht="12.75">
      <c r="A33" s="73"/>
      <c r="B33" s="73"/>
      <c r="C33" s="73"/>
      <c r="D33" s="73"/>
      <c r="E33" s="73"/>
      <c r="F33" s="73"/>
    </row>
    <row r="34" spans="1:6" ht="12.75">
      <c r="A34" s="1494" t="str">
        <f>+'DAP1'!A46</f>
        <v>Formulář zpracovala ASPEKT HM, daňová, účetní a auditorská kancelář, www.danovapriznani.cz, business.center.cz</v>
      </c>
      <c r="B34" s="1496"/>
      <c r="C34" s="1496"/>
      <c r="D34" s="1496"/>
      <c r="E34" s="1496"/>
      <c r="F34" s="1496"/>
    </row>
    <row r="35" spans="1:6" ht="12.75">
      <c r="A35" s="1497" t="s">
        <v>3853</v>
      </c>
      <c r="B35" s="1497"/>
      <c r="C35" s="1497"/>
      <c r="D35" s="1497"/>
      <c r="E35" s="1497"/>
      <c r="F35" s="1497"/>
    </row>
    <row r="36" spans="1:6" ht="12.75">
      <c r="A36" s="1493" t="s">
        <v>300</v>
      </c>
      <c r="B36" s="1493"/>
      <c r="C36" s="1493"/>
      <c r="D36" s="1493"/>
      <c r="E36" s="1493"/>
      <c r="F36" s="1493"/>
    </row>
    <row r="37" spans="1:6" ht="13.5" customHeight="1">
      <c r="A37" s="22"/>
      <c r="B37" s="22"/>
      <c r="C37" s="22"/>
      <c r="D37" s="22"/>
      <c r="E37" s="22"/>
      <c r="F37" s="22"/>
    </row>
    <row r="38" spans="1:6" ht="12.75">
      <c r="A38" s="22"/>
      <c r="B38" s="22"/>
      <c r="C38" s="22"/>
      <c r="D38" s="22"/>
      <c r="E38" s="22"/>
      <c r="F38" s="22"/>
    </row>
    <row r="39" spans="1:6" ht="12.75">
      <c r="A39" s="22"/>
      <c r="B39" s="22"/>
      <c r="C39" s="22"/>
      <c r="D39" s="22"/>
      <c r="E39" s="22"/>
      <c r="F39" s="22"/>
    </row>
    <row r="40" spans="1:6" ht="12.75">
      <c r="A40" s="22"/>
      <c r="B40" s="22"/>
      <c r="C40" s="22"/>
      <c r="D40" s="22"/>
      <c r="E40" s="22"/>
      <c r="F40" s="22"/>
    </row>
    <row r="41" spans="1:6" ht="12.75">
      <c r="A41" s="22"/>
      <c r="B41" s="22"/>
      <c r="C41" s="22"/>
      <c r="D41" s="22"/>
      <c r="E41" s="22"/>
      <c r="F41" s="22"/>
    </row>
    <row r="42" spans="1:6" ht="12.75">
      <c r="A42" s="22"/>
      <c r="B42" s="22"/>
      <c r="C42" s="22"/>
      <c r="D42" s="22"/>
      <c r="E42" s="22"/>
      <c r="F42" s="22"/>
    </row>
    <row r="43" spans="1:6" ht="12.75">
      <c r="A43" s="22"/>
      <c r="B43" s="22"/>
      <c r="C43" s="22"/>
      <c r="D43" s="22"/>
      <c r="E43" s="22"/>
      <c r="F43" s="22"/>
    </row>
    <row r="44" spans="1:6" ht="12.75">
      <c r="A44" s="22"/>
      <c r="B44" s="22"/>
      <c r="C44" s="22"/>
      <c r="D44" s="22"/>
      <c r="E44" s="22"/>
      <c r="F44" s="22"/>
    </row>
    <row r="45" spans="1:6" ht="12.75">
      <c r="A45" s="22"/>
      <c r="B45" s="22"/>
      <c r="C45" s="22"/>
      <c r="D45" s="22"/>
      <c r="E45" s="22"/>
      <c r="F45" s="22"/>
    </row>
    <row r="46" spans="1:6" ht="12.75">
      <c r="A46" s="22"/>
      <c r="B46" s="22"/>
      <c r="C46" s="22"/>
      <c r="D46" s="22"/>
      <c r="E46" s="22"/>
      <c r="F46" s="22"/>
    </row>
    <row r="47" spans="1:6" ht="12.75">
      <c r="A47" s="22"/>
      <c r="B47" s="22"/>
      <c r="C47" s="22"/>
      <c r="D47" s="22"/>
      <c r="E47" s="22"/>
      <c r="F47" s="22"/>
    </row>
    <row r="48" spans="1:6" ht="12.75">
      <c r="A48" s="22"/>
      <c r="B48" s="22"/>
      <c r="C48" s="22"/>
      <c r="D48" s="22"/>
      <c r="E48" s="22"/>
      <c r="F48" s="22"/>
    </row>
    <row r="49" s="22" customFormat="1" ht="12.75"/>
    <row r="50" s="22" customFormat="1" ht="12.75"/>
    <row r="51" s="22" customFormat="1" ht="12.75"/>
    <row r="52" s="22" customFormat="1" ht="12.75"/>
    <row r="53" s="22" customFormat="1" ht="12.75"/>
    <row r="54" s="22" customFormat="1" ht="12.75"/>
    <row r="55" s="22" customFormat="1" ht="12.75"/>
    <row r="56" s="22" customFormat="1" ht="12.75"/>
    <row r="57" s="22" customFormat="1" ht="12.75"/>
    <row r="58" s="22" customFormat="1" ht="12.75"/>
    <row r="59" s="22" customFormat="1" ht="12.75"/>
    <row r="60" s="22" customFormat="1" ht="12.75"/>
    <row r="61" s="22" customFormat="1" ht="12.75"/>
    <row r="62" s="22" customFormat="1" ht="12.75"/>
    <row r="63" s="22" customFormat="1" ht="12.75"/>
    <row r="64" s="22" customFormat="1" ht="12.75"/>
    <row r="65" s="22" customFormat="1" ht="12.75"/>
    <row r="66" s="22" customFormat="1" ht="12.75"/>
    <row r="67" s="22" customFormat="1" ht="12.75"/>
    <row r="68" s="22" customFormat="1" ht="12.75"/>
    <row r="69" s="22" customFormat="1" ht="12.75"/>
    <row r="70" s="22" customFormat="1" ht="12.75"/>
    <row r="71" s="22" customFormat="1" ht="12.75"/>
    <row r="72" s="22" customFormat="1" ht="12.75"/>
    <row r="73" s="22" customFormat="1" ht="12.75"/>
    <row r="74" s="22" customFormat="1" ht="12.75"/>
    <row r="75" s="22" customFormat="1" ht="12.75"/>
    <row r="76" s="22" customFormat="1" ht="12.75"/>
    <row r="77" s="22" customFormat="1" ht="12.75"/>
    <row r="78" s="22" customFormat="1" ht="12.75"/>
    <row r="79" s="22" customFormat="1" ht="12.75"/>
    <row r="80" s="22" customFormat="1" ht="12.75"/>
    <row r="81" s="22" customFormat="1" ht="12.75"/>
    <row r="82" s="22" customFormat="1" ht="12.75"/>
    <row r="83" s="22" customFormat="1" ht="12.75"/>
    <row r="84" s="22" customFormat="1" ht="12.75"/>
    <row r="85" s="22" customFormat="1" ht="12.75"/>
    <row r="86" s="22" customFormat="1" ht="12.75"/>
    <row r="87" s="22" customFormat="1" ht="12.75"/>
    <row r="88" s="22" customFormat="1" ht="12.75"/>
    <row r="89" s="22" customFormat="1" ht="12.75"/>
    <row r="90" s="22" customFormat="1" ht="12.75"/>
    <row r="91" s="22" customFormat="1" ht="12.75"/>
    <row r="92" s="22" customFormat="1" ht="12.75"/>
    <row r="93" s="22" customFormat="1" ht="12.75"/>
    <row r="94" s="22" customFormat="1" ht="12.75"/>
    <row r="95" s="22" customFormat="1" ht="12.75"/>
    <row r="96" s="22" customFormat="1" ht="12.75"/>
    <row r="97" s="22" customFormat="1" ht="12.75"/>
    <row r="98" s="22" customFormat="1" ht="12.75"/>
    <row r="99" s="22" customFormat="1" ht="12.75"/>
    <row r="100" s="22" customFormat="1" ht="12.75"/>
    <row r="101" s="22" customFormat="1" ht="12.75"/>
    <row r="102" s="22" customFormat="1" ht="12.75"/>
    <row r="103" s="22" customFormat="1" ht="12.75"/>
    <row r="104" s="22" customFormat="1" ht="12.75"/>
    <row r="105" s="22" customFormat="1" ht="12.75"/>
    <row r="106" s="22" customFormat="1" ht="12.75"/>
    <row r="107" s="22" customFormat="1" ht="12.75"/>
    <row r="108" s="22" customFormat="1" ht="12.75"/>
    <row r="109" s="22" customFormat="1" ht="12.75"/>
    <row r="110" s="22" customFormat="1" ht="12.75"/>
    <row r="111" s="22" customFormat="1" ht="12.75"/>
    <row r="112" s="22" customFormat="1" ht="12.75"/>
    <row r="113" s="22" customFormat="1" ht="12.75"/>
    <row r="114" s="22" customFormat="1" ht="12.75"/>
    <row r="115" s="22" customFormat="1" ht="12.75"/>
    <row r="116" s="22" customFormat="1" ht="12.75"/>
    <row r="117" s="22" customFormat="1" ht="12.75"/>
    <row r="118" s="22" customFormat="1" ht="12.75"/>
    <row r="119" s="22" customFormat="1" ht="12.75"/>
    <row r="120" s="22" customFormat="1" ht="12.75"/>
    <row r="121" s="22" customFormat="1" ht="12.75"/>
    <row r="122" s="22" customFormat="1" ht="12.75"/>
    <row r="123" s="22" customFormat="1" ht="12.75"/>
    <row r="124" s="22" customFormat="1" ht="12.75"/>
    <row r="125" s="22" customFormat="1" ht="12.75"/>
    <row r="126" s="22" customFormat="1" ht="12.75"/>
    <row r="127" s="22" customFormat="1" ht="12.75"/>
    <row r="128" s="22" customFormat="1" ht="12.75"/>
    <row r="129" s="22" customFormat="1" ht="12.75"/>
    <row r="130" s="22" customFormat="1" ht="12.75"/>
    <row r="131" s="22" customFormat="1" ht="12.75"/>
    <row r="132" s="22" customFormat="1" ht="12.75"/>
    <row r="133" s="22" customFormat="1" ht="12.75"/>
    <row r="134" s="22" customFormat="1" ht="12.75"/>
    <row r="135" s="22" customFormat="1" ht="12.75"/>
    <row r="136" s="22" customFormat="1" ht="12.75"/>
    <row r="137" s="22" customFormat="1" ht="12.75"/>
    <row r="138" s="22" customFormat="1" ht="12.75"/>
    <row r="139" s="22" customFormat="1" ht="12.75"/>
    <row r="140" s="22" customFormat="1" ht="12.75"/>
    <row r="141" s="22" customFormat="1" ht="12.75"/>
    <row r="142" s="22" customFormat="1" ht="12.75"/>
    <row r="143" s="22" customFormat="1" ht="12.75" thickBot="1"/>
  </sheetData>
  <sheetProtection algorithmName="SHA-512" hashValue="UCzZkIXaIavNJBS7M0/ZLyn2QQyR01uCsPaYW2oXzpE0cYyvFQoMvE5WPoQfXxFVDtRPPLv96lEdTLP+TE26RQ==" saltValue="6OQzPHTjNDnHmF2gM7oKmg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70" zoomScaleNormal="70" workbookViewId="0" topLeftCell="XFD1048576">
      <selection pane="topLeft" activeCell="A38" sqref="A1:XFD1048576"/>
    </sheetView>
  </sheetViews>
  <sheetFormatPr defaultColWidth="0" defaultRowHeight="15" customHeight="1" zeroHeight="1"/>
  <cols>
    <col min="1" max="16384" width="7.28571428571429" hidden="1"/>
  </cols>
  <sheetData>
    <row r="1" spans="1:27" ht="15" customHeight="1" hidden="1">
      <c r="A1" s="321" t="s">
        <v>364</v>
      </c>
      <c r="E1" t="s">
        <v>434</v>
      </c>
      <c r="I1" t="s">
        <v>481</v>
      </c>
      <c r="M1" t="s">
        <v>502</v>
      </c>
      <c r="Q1" t="s">
        <v>520</v>
      </c>
      <c r="R1" s="326" t="s">
        <v>3580</v>
      </c>
      <c r="S1" s="326" t="s">
        <v>519</v>
      </c>
      <c r="T1" s="326" t="s">
        <v>521</v>
      </c>
      <c r="U1" s="326" t="s">
        <v>3581</v>
      </c>
      <c r="V1" s="326" t="s">
        <v>3582</v>
      </c>
      <c r="W1" s="326" t="s">
        <v>522</v>
      </c>
      <c r="X1" s="326" t="s">
        <v>523</v>
      </c>
      <c r="Y1" s="266" t="s">
        <v>524</v>
      </c>
      <c r="Z1" s="266" t="s">
        <v>3579</v>
      </c>
      <c r="AA1" s="266" t="s">
        <v>3578</v>
      </c>
    </row>
    <row r="2" spans="1:27" ht="15" customHeight="1" hidden="1">
      <c r="A2" s="266" t="s">
        <v>365</v>
      </c>
      <c r="B2" s="322" t="str">
        <f>IF('DAP1'!J19&lt;&gt;"","A",IF('DAP1'!L19&lt;&gt;"","N",""))</f>
        <v>N</v>
      </c>
      <c r="C2" s="273" t="s">
        <v>3437</v>
      </c>
      <c r="E2" s="266" t="s">
        <v>435</v>
      </c>
      <c r="F2" s="322" t="str">
        <f>IF(ZAKL_DATA!B26&lt;&gt;"",ZAKL_DATA!B26,"")</f>
        <v/>
      </c>
      <c r="G2" s="273" t="s">
        <v>3438</v>
      </c>
      <c r="I2" s="266" t="s">
        <v>482</v>
      </c>
      <c r="J2" s="324">
        <f>'6Př'!E20</f>
        <v>0</v>
      </c>
      <c r="M2" s="266" t="s">
        <v>503</v>
      </c>
      <c r="N2" s="324">
        <f>'DAP2'!F34</f>
        <v>0</v>
      </c>
      <c r="O2" s="273" t="s">
        <v>3438</v>
      </c>
      <c r="R2" s="322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22" t="e">
        <f>IF('DAP3'!B17&lt;&gt;"XXX",MID('DAP3'!B17,(FIND(" ",'DAP3'!B17,1))+1,LEN('DAP3'!B17)),"")</f>
        <v>#VALUE!</v>
      </c>
      <c r="T2" s="273" t="str">
        <f>IF('DAP3'!F17&lt;&gt;"",'DAP3'!F17,"")</f>
        <v/>
      </c>
      <c r="U2" s="273" t="str">
        <f>IF('DAP3'!H17&lt;&gt;"",'DAP3'!H17,"")</f>
        <v/>
      </c>
      <c r="V2" t="str">
        <f>IF('DAP3'!J17&lt;&gt;"",'DAP3'!J17,"")</f>
        <v/>
      </c>
      <c r="W2" s="322" t="e">
        <f>IF('DAP3'!B17&lt;&gt;"XXX",LEFT('DAP3'!B17,(FIND(" ",'DAP3'!B17,1))-1),"")</f>
        <v>#VALUE!</v>
      </c>
      <c r="X2" s="267" t="str">
        <f>IF('DAP3'!D17&lt;&gt;"",'DAP3'!D17,"")</f>
        <v/>
      </c>
      <c r="Y2" t="str">
        <f>IF('DAP3'!G17&lt;&gt;"",'DAP3'!G17,"")</f>
        <v/>
      </c>
      <c r="Z2" t="str">
        <f>IF('DAP3'!I17&lt;&gt;"",'DAP3'!I17,"")</f>
        <v/>
      </c>
      <c r="AA2" t="str">
        <f>IF('DAP3'!K17&lt;&gt;"",'DAP3'!K17,"")</f>
        <v/>
      </c>
    </row>
    <row r="3" spans="1:27" ht="15" customHeight="1" hidden="1">
      <c r="A3" s="266" t="s">
        <v>366</v>
      </c>
      <c r="B3" t="e">
        <f>VLOOKUP(ZAKL_DATA!B13,FU!B3:C17,2,FALSE)</f>
        <v>#N/A</v>
      </c>
      <c r="E3" s="266" t="s">
        <v>436</v>
      </c>
      <c r="I3" s="266" t="s">
        <v>483</v>
      </c>
      <c r="J3" s="324">
        <f>'6Př'!F20</f>
        <v>0</v>
      </c>
      <c r="M3" s="266" t="s">
        <v>504</v>
      </c>
      <c r="N3" s="324">
        <f>'DAP2'!F27</f>
        <v>0</v>
      </c>
      <c r="O3" s="273" t="s">
        <v>3438</v>
      </c>
      <c r="R3" s="267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67" t="e">
        <f>IF('DAP3'!B18&lt;&gt;"XXX",MID('DAP3'!B18,(FIND(" ",'DAP3'!B18,1))+1,LEN('DAP3'!B18)),"")</f>
        <v>#VALUE!</v>
      </c>
      <c r="T3" t="str">
        <f>IF('DAP3'!F18&lt;&gt;"",'DAP3'!F18,"")</f>
        <v/>
      </c>
      <c r="U3" t="str">
        <f>IF('DAP3'!H18&lt;&gt;"",'DAP3'!H18,"")</f>
        <v/>
      </c>
      <c r="V3" t="str">
        <f>IF('DAP3'!J18&lt;&gt;"",'DAP3'!J18,"")</f>
        <v/>
      </c>
      <c r="W3" s="267" t="e">
        <f>IF('DAP3'!B18&lt;&gt;"XXX",LEFT('DAP3'!B18,(FIND(" ",'DAP3'!B18,1))-1),"")</f>
        <v>#VALUE!</v>
      </c>
      <c r="X3" s="267" t="str">
        <f>IF('DAP3'!D18&lt;&gt;"",'DAP3'!D18,"")</f>
        <v/>
      </c>
      <c r="Y3" t="str">
        <f>IF('DAP3'!G18&lt;&gt;"",'DAP3'!G18,"")</f>
        <v/>
      </c>
      <c r="Z3" t="str">
        <f>IF('DAP3'!I18&lt;&gt;"",'DAP3'!I18,"")</f>
        <v/>
      </c>
      <c r="AA3" t="str">
        <f>IF('DAP3'!K18&lt;&gt;"",'DAP3'!K18,"")</f>
        <v/>
      </c>
    </row>
    <row r="4" spans="1:27" ht="15" customHeight="1" hidden="1">
      <c r="A4" s="266" t="s">
        <v>367</v>
      </c>
      <c r="B4" s="267" t="str">
        <f>IF('DAP1'!K15&lt;&gt;"",TEXT('DAP1'!K15,"DD.MM.RRRR"),"")</f>
        <v/>
      </c>
      <c r="C4" s="329"/>
      <c r="E4" s="266" t="s">
        <v>437</v>
      </c>
      <c r="F4" s="322" t="str">
        <f>IF(ISNUMBER(FIND("/",ZAKL_DATA!B17)),MID(ZAKL_DATA!B17,(FIND("/",ZAKL_DATA!B17,1))+1,LEN(ZAKL_DATA!B17)),"")</f>
        <v/>
      </c>
      <c r="G4" s="273" t="s">
        <v>3438</v>
      </c>
      <c r="I4" s="266" t="s">
        <v>484</v>
      </c>
      <c r="J4" s="324">
        <f>'DAP2'!E6</f>
        <v>0</v>
      </c>
      <c r="K4" s="273" t="s">
        <v>3438</v>
      </c>
      <c r="M4" s="266" t="s">
        <v>505</v>
      </c>
      <c r="N4" s="324">
        <f>'DAP2'!F31</f>
        <v>0</v>
      </c>
      <c r="O4" s="273" t="s">
        <v>3438</v>
      </c>
      <c r="R4" s="267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67" t="e">
        <f>IF('DAP3'!B19&lt;&gt;"XXX",MID('DAP3'!B19,(FIND(" ",'DAP3'!B19,1))+1,LEN('DAP3'!B19)),"")</f>
        <v>#VALUE!</v>
      </c>
      <c r="T4" t="str">
        <f>IF('DAP3'!F19&lt;&gt;"",'DAP3'!F19,"")</f>
        <v/>
      </c>
      <c r="U4" t="str">
        <f>IF('DAP3'!H19&lt;&gt;"",'DAP3'!H19,"")</f>
        <v/>
      </c>
      <c r="V4" t="str">
        <f>IF('DAP3'!J19&lt;&gt;"",'DAP3'!J19,"")</f>
        <v/>
      </c>
      <c r="W4" s="267" t="e">
        <f>IF('DAP3'!B19&lt;&gt;"XXX",LEFT('DAP3'!B19,(FIND(" ",'DAP3'!B19,1))-1),"")</f>
        <v>#VALUE!</v>
      </c>
      <c r="X4" s="267" t="str">
        <f>IF('DAP3'!D19&lt;&gt;"",'DAP3'!D19,"")</f>
        <v/>
      </c>
      <c r="Y4" t="str">
        <f>IF('DAP3'!G19&lt;&gt;"",'DAP3'!G19,"")</f>
        <v/>
      </c>
      <c r="Z4" t="str">
        <f>IF('DAP3'!I19&lt;&gt;"",'DAP3'!I19,"")</f>
        <v/>
      </c>
      <c r="AA4" t="str">
        <f>IF('DAP3'!K19&lt;&gt;"",'DAP3'!K19,"")</f>
        <v/>
      </c>
    </row>
    <row r="5" spans="1:27" ht="15" customHeight="1" hidden="1">
      <c r="A5" s="266" t="s">
        <v>368</v>
      </c>
      <c r="B5" s="322" t="str">
        <f ca="1">TEXT('DAP4'!A43,"DD.MM.RRRR")</f>
        <v>09.03.2023</v>
      </c>
      <c r="C5" s="273" t="s">
        <v>3438</v>
      </c>
      <c r="E5" s="266" t="s">
        <v>438</v>
      </c>
      <c r="F5" s="322" t="str">
        <f>IF('DAP1'!J29&lt;&gt;"",'DAP1'!J29,"")</f>
        <v/>
      </c>
      <c r="G5" s="273" t="s">
        <v>3438</v>
      </c>
      <c r="I5" s="266" t="s">
        <v>485</v>
      </c>
      <c r="J5" s="324">
        <f>'DAP2'!E5</f>
        <v>0</v>
      </c>
      <c r="K5" s="273" t="s">
        <v>3438</v>
      </c>
      <c r="M5" s="266" t="s">
        <v>506</v>
      </c>
      <c r="N5" s="324">
        <f>'DAP2'!F24</f>
        <v>0</v>
      </c>
      <c r="O5" s="273" t="s">
        <v>3438</v>
      </c>
      <c r="R5" s="267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67" t="e">
        <f>IF('DAP3'!B20&lt;&gt;"XXX",MID('DAP3'!B20,(FIND(" ",'DAP3'!B20,1))+1,LEN('DAP3'!B20)),"")</f>
        <v>#VALUE!</v>
      </c>
      <c r="T5" t="str">
        <f>IF('DAP3'!F20&lt;&gt;"",'DAP3'!F20,"")</f>
        <v/>
      </c>
      <c r="U5" t="str">
        <f>IF('DAP3'!H20&lt;&gt;"",'DAP3'!H20,"")</f>
        <v/>
      </c>
      <c r="V5" t="str">
        <f>IF('DAP3'!J20&lt;&gt;"",'DAP3'!J20,"")</f>
        <v/>
      </c>
      <c r="W5" s="267" t="e">
        <f>IF('DAP3'!B20&lt;&gt;"XXX",LEFT('DAP3'!B20,(FIND(" ",'DAP3'!B20,1))-1),"")</f>
        <v>#VALUE!</v>
      </c>
      <c r="X5" s="267" t="str">
        <f>IF('DAP3'!D20&lt;&gt;"",'DAP3'!D20,"")</f>
        <v/>
      </c>
      <c r="Y5" t="str">
        <f>IF('DAP3'!G20&lt;&gt;"",'DAP3'!G20,"")</f>
        <v/>
      </c>
      <c r="Z5" t="str">
        <f>IF('DAP3'!I20&lt;&gt;"",'DAP3'!I20,"")</f>
        <v/>
      </c>
      <c r="AA5" t="str">
        <f>IF('DAP3'!K20&lt;&gt;"",'DAP3'!K20,"")</f>
        <v/>
      </c>
    </row>
    <row r="6" spans="1:15" ht="15" customHeight="1" hidden="1">
      <c r="A6" s="266" t="s">
        <v>369</v>
      </c>
      <c r="B6" s="322" t="str">
        <f>IF('DAP1'!K13&gt;0,TEXT('DAP1'!K13,"DD.MM.RRRR"),"")</f>
        <v/>
      </c>
      <c r="C6" s="273" t="s">
        <v>3438</v>
      </c>
      <c r="E6" s="266" t="s">
        <v>439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273" t="s">
        <v>3438</v>
      </c>
      <c r="I6" s="266" t="s">
        <v>486</v>
      </c>
      <c r="K6" s="273" t="s">
        <v>3441</v>
      </c>
      <c r="M6" s="266" t="s">
        <v>507</v>
      </c>
      <c r="N6" s="324">
        <f>'DAP2'!F25</f>
        <v>0</v>
      </c>
      <c r="O6" s="273" t="s">
        <v>3438</v>
      </c>
    </row>
    <row r="7" spans="1:22" ht="15" customHeight="1" hidden="1">
      <c r="A7" s="266" t="s">
        <v>370</v>
      </c>
      <c r="B7" s="324">
        <f>'DAP2'!F38</f>
        <v>0</v>
      </c>
      <c r="C7" s="273" t="s">
        <v>3438</v>
      </c>
      <c r="E7" s="266" t="s">
        <v>440</v>
      </c>
      <c r="F7" t="e">
        <f>VLOOKUP(ZAKL_DATA!B14,FU!E3:F204,2,FALSE)</f>
        <v>#N/A</v>
      </c>
      <c r="G7" s="273" t="s">
        <v>3438</v>
      </c>
      <c r="I7" s="266" t="s">
        <v>487</v>
      </c>
      <c r="J7" s="324">
        <f>'DAP2'!E4</f>
        <v>0</v>
      </c>
      <c r="K7" s="273" t="s">
        <v>3438</v>
      </c>
      <c r="M7" s="266" t="s">
        <v>508</v>
      </c>
      <c r="N7" s="324">
        <f>'DAP2'!F26</f>
        <v>0</v>
      </c>
      <c r="O7" s="273" t="s">
        <v>3438</v>
      </c>
      <c r="R7" s="349"/>
      <c r="S7" s="273" t="s">
        <v>3438</v>
      </c>
      <c r="T7" s="273" t="s">
        <v>3438</v>
      </c>
      <c r="U7" s="273" t="s">
        <v>3438</v>
      </c>
      <c r="V7" s="273" t="s">
        <v>3438</v>
      </c>
    </row>
    <row r="8" spans="1:15" ht="15" customHeight="1" hidden="1">
      <c r="A8" s="266" t="s">
        <v>371</v>
      </c>
      <c r="B8" s="324">
        <f>'DAP2'!F41</f>
        <v>0</v>
      </c>
      <c r="C8" s="273" t="s">
        <v>3438</v>
      </c>
      <c r="E8" s="266" t="s">
        <v>441</v>
      </c>
      <c r="F8" s="322" t="str">
        <f>IF(ZAKL_DATA!B25&lt;&gt;"",ZAKL_DATA!B25,"")</f>
        <v/>
      </c>
      <c r="G8" t="s">
        <v>3438</v>
      </c>
      <c r="I8" s="266" t="s">
        <v>488</v>
      </c>
      <c r="J8" s="324">
        <f>'DAP2'!E17</f>
        <v>0</v>
      </c>
      <c r="K8" s="273" t="s">
        <v>3438</v>
      </c>
      <c r="M8" s="266" t="s">
        <v>509</v>
      </c>
      <c r="N8" s="324">
        <f>'DAP2'!F22</f>
        <v>0</v>
      </c>
      <c r="O8" s="273" t="s">
        <v>3438</v>
      </c>
    </row>
    <row r="9" spans="1:15" ht="15" customHeight="1" hidden="1">
      <c r="A9" s="266" t="s">
        <v>372</v>
      </c>
      <c r="B9" s="324">
        <f>'DAP3'!E12</f>
        <v>0</v>
      </c>
      <c r="C9" s="273" t="s">
        <v>3438</v>
      </c>
      <c r="E9" s="266" t="s">
        <v>442</v>
      </c>
      <c r="F9" s="267" t="str">
        <f>MID(ZAKL_DATA!D2,3,10)</f>
        <v/>
      </c>
      <c r="G9" t="s">
        <v>3438</v>
      </c>
      <c r="I9" s="266" t="s">
        <v>489</v>
      </c>
      <c r="J9" s="324">
        <f>'DAP2'!E8</f>
        <v>0</v>
      </c>
      <c r="K9" s="273" t="s">
        <v>3438</v>
      </c>
      <c r="M9" s="266" t="s">
        <v>510</v>
      </c>
      <c r="N9" s="324">
        <f>'DAP2'!F23</f>
        <v>0</v>
      </c>
      <c r="O9" s="273" t="s">
        <v>3438</v>
      </c>
    </row>
    <row r="10" spans="1:15" ht="15" customHeight="1" hidden="1">
      <c r="A10" s="266" t="s">
        <v>373</v>
      </c>
      <c r="B10" s="324">
        <f>'DAP3'!D26</f>
        <v>0</v>
      </c>
      <c r="C10" s="273" t="s">
        <v>3438</v>
      </c>
      <c r="E10" s="266" t="s">
        <v>443</v>
      </c>
      <c r="F10" s="322" t="str">
        <f>IF(ZAKL_DATA!B27&lt;&gt;"",ZAKL_DATA!B27,"")</f>
        <v/>
      </c>
      <c r="G10" t="s">
        <v>3438</v>
      </c>
      <c r="I10" s="266" t="s">
        <v>490</v>
      </c>
      <c r="J10" s="324">
        <f>'DAP2'!E15</f>
        <v>0</v>
      </c>
      <c r="K10" s="273" t="s">
        <v>3438</v>
      </c>
      <c r="M10" s="266" t="s">
        <v>511</v>
      </c>
      <c r="N10" s="324">
        <f>'DAP2'!F28</f>
        <v>0</v>
      </c>
      <c r="O10" s="273" t="s">
        <v>3438</v>
      </c>
    </row>
    <row r="11" spans="1:24" ht="15" customHeight="1" hidden="1">
      <c r="A11" s="266" t="s">
        <v>374</v>
      </c>
      <c r="B11" s="325">
        <f>'DAP2'!F36</f>
        <v>0</v>
      </c>
      <c r="C11" s="273" t="s">
        <v>3438</v>
      </c>
      <c r="E11" s="266" t="s">
        <v>444</v>
      </c>
      <c r="F11" s="322" t="str">
        <f>IF(ZAKL_DATA!B4&lt;&gt;"",ZAKL_DATA!B4,"")</f>
        <v/>
      </c>
      <c r="G11" t="s">
        <v>3438</v>
      </c>
      <c r="I11" s="266" t="s">
        <v>491</v>
      </c>
      <c r="J11" s="324" t="e">
        <f>'DAP2'!#REF!</f>
        <v>#REF!</v>
      </c>
      <c r="K11" s="273" t="s">
        <v>3438</v>
      </c>
      <c r="M11" s="266" t="s">
        <v>512</v>
      </c>
      <c r="N11" s="324">
        <f>'DAP2'!F29</f>
        <v>0</v>
      </c>
      <c r="O11" s="273" t="s">
        <v>3438</v>
      </c>
      <c r="X11" s="273"/>
    </row>
    <row r="12" spans="1:15" ht="15" customHeight="1" hidden="1">
      <c r="A12" s="266" t="s">
        <v>375</v>
      </c>
      <c r="B12" s="322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273" t="s">
        <v>3438</v>
      </c>
      <c r="E12" s="266" t="s">
        <v>445</v>
      </c>
      <c r="F12" s="267" t="str">
        <f>IF(AND(ZAKL_DATA!B20&lt;&gt;"",ZAKL_DATA!B20&lt;&gt;0),IF(ZAKL_DATA!B20&lt;&gt;"ČESKÁ REPUBLIKA",VLOOKUP(ZAKL_DATA!B20,FU!J3:K253,2,FALSE),"CZ"),"CZ")</f>
        <v>CZ</v>
      </c>
      <c r="G12" t="s">
        <v>3438</v>
      </c>
      <c r="I12" s="266" t="s">
        <v>492</v>
      </c>
      <c r="J12" s="324" t="e">
        <f>'DAP2'!#REF!</f>
        <v>#REF!</v>
      </c>
      <c r="K12" s="273" t="s">
        <v>3438</v>
      </c>
      <c r="M12" s="266" t="s">
        <v>513</v>
      </c>
      <c r="N12" s="324">
        <f>'DAP2'!F29</f>
        <v>0</v>
      </c>
      <c r="O12" s="273" t="s">
        <v>3438</v>
      </c>
    </row>
    <row r="13" spans="1:15" ht="15" customHeight="1" hidden="1">
      <c r="A13" s="266" t="s">
        <v>376</v>
      </c>
      <c r="B13" s="337" t="s">
        <v>3909</v>
      </c>
      <c r="C13" s="273" t="s">
        <v>3439</v>
      </c>
      <c r="E13" s="266" t="s">
        <v>446</v>
      </c>
      <c r="I13" s="266" t="s">
        <v>493</v>
      </c>
      <c r="J13" s="324">
        <f>'DAP2'!E19</f>
        <v>0</v>
      </c>
      <c r="K13" s="273" t="s">
        <v>3438</v>
      </c>
      <c r="M13" s="266" t="s">
        <v>514</v>
      </c>
      <c r="N13" s="324">
        <f>'DAP2'!F32</f>
        <v>0</v>
      </c>
      <c r="O13" s="273" t="s">
        <v>3438</v>
      </c>
    </row>
    <row r="14" spans="1:25" ht="15" customHeight="1" hidden="1">
      <c r="A14" s="266" t="s">
        <v>377</v>
      </c>
      <c r="B14" s="322" t="str">
        <f>IF(OR('DAP1'!A15="i",'DAP1'!A15="I"),"I",IF(OR('DAP1'!A15="g",'DAP1'!A15="G"),"G",""))</f>
        <v/>
      </c>
      <c r="C14" s="273" t="s">
        <v>3438</v>
      </c>
      <c r="E14" s="266" t="s">
        <v>447</v>
      </c>
      <c r="F14" s="322" t="str">
        <f>IF(ISNUMBER(FIND("/",'DAP1'!J35)),MID('DAP1'!J35,(FIND("/",'DAP1'!J35,1))+1,LEN('DAP1'!J35)),"")</f>
        <v/>
      </c>
      <c r="I14" s="266" t="s">
        <v>494</v>
      </c>
      <c r="J14" s="324">
        <f>'DAP2'!E16</f>
        <v>0</v>
      </c>
      <c r="K14" s="273" t="s">
        <v>3438</v>
      </c>
      <c r="M14" s="266" t="s">
        <v>515</v>
      </c>
      <c r="N14" s="324">
        <f>'DAP2'!F33</f>
        <v>0</v>
      </c>
      <c r="O14" s="273" t="s">
        <v>3438</v>
      </c>
      <c r="Y14" s="348"/>
    </row>
    <row r="15" spans="1:15" ht="15" customHeight="1" hidden="1">
      <c r="A15" s="266" t="s">
        <v>378</v>
      </c>
      <c r="B15" s="322" t="s">
        <v>3440</v>
      </c>
      <c r="C15" s="273" t="s">
        <v>3439</v>
      </c>
      <c r="E15" s="266" t="s">
        <v>448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I15" s="266" t="s">
        <v>495</v>
      </c>
      <c r="J15" s="324">
        <f>'DAP2'!E12</f>
        <v>0</v>
      </c>
      <c r="K15" s="273" t="s">
        <v>3438</v>
      </c>
      <c r="M15" s="266" t="s">
        <v>516</v>
      </c>
      <c r="N15">
        <f>'DAP2'!E29</f>
        <v>0</v>
      </c>
      <c r="O15" s="273" t="s">
        <v>3438</v>
      </c>
    </row>
    <row r="16" spans="1:15" ht="15" customHeight="1" hidden="1">
      <c r="A16" s="266" t="s">
        <v>379</v>
      </c>
      <c r="B16">
        <f>'DAP1'!K41</f>
        <v>0</v>
      </c>
      <c r="C16" s="273" t="s">
        <v>3438</v>
      </c>
      <c r="E16" s="266" t="s">
        <v>449</v>
      </c>
      <c r="F16" s="322" t="str">
        <f>IF('DAP1'!B35&lt;&gt;"",'DAP1'!B35,"")</f>
        <v/>
      </c>
      <c r="I16" s="266" t="s">
        <v>496</v>
      </c>
      <c r="J16" s="324">
        <f>'DAP2'!E14</f>
        <v>0</v>
      </c>
      <c r="K16" s="273" t="s">
        <v>3438</v>
      </c>
      <c r="M16" s="266" t="s">
        <v>517</v>
      </c>
      <c r="N16">
        <f>'DAP2'!E23</f>
        <v>0</v>
      </c>
      <c r="O16" s="273" t="s">
        <v>3438</v>
      </c>
    </row>
    <row r="17" spans="1:15" ht="15" customHeight="1" hidden="1">
      <c r="A17" s="266" t="s">
        <v>380</v>
      </c>
      <c r="B17" s="324">
        <f>'DAP3'!D29</f>
        <v>0</v>
      </c>
      <c r="C17" s="273" t="s">
        <v>3438</v>
      </c>
      <c r="E17" s="266" t="s">
        <v>450</v>
      </c>
      <c r="F17" s="322" t="str">
        <f>IF('DAP1'!L35&lt;&gt;"",'DAP1'!L35,"")</f>
        <v/>
      </c>
      <c r="I17" s="266" t="s">
        <v>497</v>
      </c>
      <c r="J17" s="324">
        <f>'DAP2'!E10</f>
        <v>0</v>
      </c>
      <c r="K17" s="273" t="s">
        <v>3438</v>
      </c>
      <c r="M17" s="266" t="s">
        <v>518</v>
      </c>
      <c r="N17" s="267">
        <f>'DAP2'!C29</f>
        <v>0</v>
      </c>
      <c r="O17" s="273" t="s">
        <v>3438</v>
      </c>
    </row>
    <row r="18" spans="1:11" ht="15" customHeight="1" hidden="1">
      <c r="A18" s="266" t="s">
        <v>381</v>
      </c>
      <c r="B18" s="324">
        <f>'DAP3'!D23</f>
        <v>0</v>
      </c>
      <c r="C18" s="273" t="s">
        <v>3438</v>
      </c>
      <c r="E18" s="266" t="s">
        <v>451</v>
      </c>
      <c r="F18" s="322" t="str">
        <f>IF('DAP1'!G35&lt;&gt;"",'DAP1'!G35,"")</f>
        <v/>
      </c>
      <c r="I18" s="266" t="s">
        <v>498</v>
      </c>
      <c r="J18" s="324">
        <f>'DAP2'!E7</f>
        <v>0</v>
      </c>
      <c r="K18" s="273" t="s">
        <v>3438</v>
      </c>
    </row>
    <row r="19" spans="1:11" ht="15" customHeight="1" hidden="1">
      <c r="A19" s="266" t="s">
        <v>382</v>
      </c>
      <c r="B19" s="324">
        <f>'DAP3'!E9</f>
        <v>0</v>
      </c>
      <c r="C19" s="273" t="s">
        <v>3438</v>
      </c>
      <c r="E19" s="266" t="s">
        <v>452</v>
      </c>
      <c r="F19" s="267" t="str">
        <f>IF(ZAKL_DATA!B18&lt;&gt;"",ZAKL_DATA!B18,"")</f>
        <v/>
      </c>
      <c r="G19" t="s">
        <v>3438</v>
      </c>
      <c r="I19" s="266" t="s">
        <v>499</v>
      </c>
      <c r="J19" s="324">
        <f>'DAP2'!E11</f>
        <v>0</v>
      </c>
      <c r="K19" s="273" t="s">
        <v>3438</v>
      </c>
    </row>
    <row r="20" spans="1:21" ht="15" customHeight="1" hidden="1">
      <c r="A20" s="266" t="s">
        <v>383</v>
      </c>
      <c r="B20" s="324">
        <f>'DAP2'!F39</f>
        <v>0</v>
      </c>
      <c r="C20" s="273" t="s">
        <v>3438</v>
      </c>
      <c r="E20" s="266" t="s">
        <v>453</v>
      </c>
      <c r="F20" s="267" t="str">
        <f>IF(AND(ZAKL_DATA!D4&lt;&gt;"",ZAKL_DATA!D14&lt;&gt;"",'DAP4'!C30&lt;&gt;"4a",'DAP4'!C30&lt;&gt;"4b"),ZAKL_DATA!D14,"")</f>
        <v/>
      </c>
      <c r="G20" t="s">
        <v>3449</v>
      </c>
      <c r="I20" s="266" t="s">
        <v>500</v>
      </c>
      <c r="J20" s="324">
        <f>'DAP2'!E13</f>
        <v>0</v>
      </c>
      <c r="K20" s="273" t="s">
        <v>3438</v>
      </c>
      <c r="Q20" t="s">
        <v>600</v>
      </c>
      <c r="R20" s="266" t="s">
        <v>578</v>
      </c>
      <c r="S20" s="269" t="s">
        <v>579</v>
      </c>
      <c r="T20" s="269" t="s">
        <v>576</v>
      </c>
      <c r="U20" s="269" t="s">
        <v>580</v>
      </c>
    </row>
    <row r="21" spans="1:23" ht="15" customHeight="1" hidden="1">
      <c r="A21" s="266" t="s">
        <v>384</v>
      </c>
      <c r="B21" s="324">
        <f>'DAP3'!D47</f>
        <v>0</v>
      </c>
      <c r="C21" s="273" t="s">
        <v>3438</v>
      </c>
      <c r="E21" s="266" t="s">
        <v>454</v>
      </c>
      <c r="F21" s="267" t="str">
        <f>IF(AND(ZAKL_DATA!D4&lt;&gt;"",ZAKL_DATA!D17&lt;&gt;"",'DAP4'!C30&lt;&gt;"4a",'DAP4'!C30&lt;&gt;"4b"),ZAKL_DATA!D17,"")</f>
        <v/>
      </c>
      <c r="G21" t="s">
        <v>3449</v>
      </c>
      <c r="I21" s="266" t="s">
        <v>501</v>
      </c>
      <c r="J21" s="324">
        <f>'DAP2'!E18</f>
        <v>0</v>
      </c>
      <c r="K21" s="273" t="s">
        <v>3438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24" t="str">
        <f>IF('1Př1'!F32&lt;&gt;0,'1Př1'!F32,"")</f>
        <v/>
      </c>
      <c r="T21" t="str">
        <f>IF(AND('1Př1'!D32&lt;&gt;0,'1Př1'!D32&lt;&gt;""),100*'1Př1'!D32,"")</f>
        <v/>
      </c>
      <c r="U21" s="324" t="str">
        <f>IF(ISNUMBER(W21),'1Př1'!H32,"")</f>
        <v/>
      </c>
      <c r="W21" t="e">
        <f>UPPER(VLOOKUP('1Př1'!A32,FU!N3:O992,2,FALSE))</f>
        <v>#N/A</v>
      </c>
    </row>
    <row r="22" spans="1:23" ht="15" customHeight="1" hidden="1">
      <c r="A22" s="266" t="s">
        <v>385</v>
      </c>
      <c r="B22" s="324">
        <f>'DAP3'!E4</f>
        <v>0</v>
      </c>
      <c r="C22" s="273" t="s">
        <v>3438</v>
      </c>
      <c r="E22" s="266" t="s">
        <v>455</v>
      </c>
      <c r="F22" s="267" t="str">
        <f>IF(AND(ZAKL_DATA!D4&lt;&gt;"",ZAKL_DATA!D15&lt;&gt;"",'DAP4'!C30&lt;&gt;"4a",'DAP4'!C30&lt;&gt;"4b"),ZAKL_DATA!D15,"")</f>
        <v/>
      </c>
      <c r="G22" t="s">
        <v>3449</v>
      </c>
      <c r="R22" t="str">
        <f t="shared" si="0"/>
        <v/>
      </c>
      <c r="S22" s="324" t="str">
        <f>IF('1Př1'!F33&lt;&gt;0,'1Př1'!F33,"")</f>
        <v/>
      </c>
      <c r="T22" t="str">
        <f>IF(AND('1Př1'!D33&lt;&gt;0,'1Př1'!D33&lt;&gt;""),100*'1Př1'!D33,"")</f>
        <v/>
      </c>
      <c r="U22" s="324" t="str">
        <f>IF(ISNUMBER(W22),'1Př1'!H33,"")</f>
        <v/>
      </c>
      <c r="W22" t="e">
        <f>UPPER(VLOOKUP('1Př1'!A33,FU!N3:O992,2,FALSE))</f>
        <v>#N/A</v>
      </c>
    </row>
    <row r="23" spans="1:23" ht="15" customHeight="1" hidden="1">
      <c r="A23" s="266" t="s">
        <v>386</v>
      </c>
      <c r="B23" s="324">
        <f>'DAP3'!E2</f>
        <v>30840</v>
      </c>
      <c r="C23" s="273" t="s">
        <v>3438</v>
      </c>
      <c r="E23" s="266" t="s">
        <v>456</v>
      </c>
      <c r="F23" s="322" t="str">
        <f>IF(ZAKL_DATA!B5&lt;&gt;"",ZAKL_DATA!B5,"")</f>
        <v/>
      </c>
      <c r="G23" t="s">
        <v>3438</v>
      </c>
      <c r="R23" t="str">
        <f t="shared" si="0"/>
        <v/>
      </c>
      <c r="S23" s="324" t="str">
        <f>IF('1Př1'!F34&lt;&gt;0,'1Př1'!F34,"")</f>
        <v/>
      </c>
      <c r="T23" t="str">
        <f>IF(AND('1Př1'!D34&lt;&gt;0,'1Př1'!D34&lt;&gt;""),100*'1Př1'!D34,"")</f>
        <v/>
      </c>
      <c r="U23" s="324" t="str">
        <f>IF(ISNUMBER(W23),'1Př1'!H34,"")</f>
        <v/>
      </c>
      <c r="W23" t="e">
        <f>UPPER(VLOOKUP('1Př1'!A34,FU!N3:O992,2,FALSE))</f>
        <v>#N/A</v>
      </c>
    </row>
    <row r="24" spans="1:11" ht="15" customHeight="1" hidden="1">
      <c r="A24" s="266" t="s">
        <v>387</v>
      </c>
      <c r="B24" s="324">
        <f>'DAP3'!E3</f>
        <v>0</v>
      </c>
      <c r="C24" s="273" t="s">
        <v>3438</v>
      </c>
      <c r="E24" s="266" t="s">
        <v>457</v>
      </c>
      <c r="F24" s="322" t="str">
        <f>IF(ZAKL_DATA!B19&lt;&gt;"",ZAKL_DATA!B19,"")</f>
        <v/>
      </c>
      <c r="G24" t="s">
        <v>3438</v>
      </c>
      <c r="K24" t="e">
        <f>LEN(LEFT('DAP3'!#REF!,(FIND(" ",'DAP3'!#REF!,1))))</f>
        <v>#REF!</v>
      </c>
    </row>
    <row r="25" spans="1:21" ht="15" customHeight="1" hidden="1">
      <c r="A25" s="266" t="s">
        <v>388</v>
      </c>
      <c r="B25" s="324">
        <f>'DAP3'!E5</f>
        <v>0</v>
      </c>
      <c r="C25" s="273" t="s">
        <v>3438</v>
      </c>
      <c r="E25" s="266" t="s">
        <v>458</v>
      </c>
      <c r="F25" s="322" t="str">
        <f>IF(ZAKL_DATA!B9&lt;&gt;"",ZAKL_DATA!B9,"")</f>
        <v/>
      </c>
      <c r="G25" t="s">
        <v>3438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3438</v>
      </c>
      <c r="S25" t="s">
        <v>3438</v>
      </c>
      <c r="T25" t="s">
        <v>3438</v>
      </c>
      <c r="U25" t="s">
        <v>3438</v>
      </c>
    </row>
    <row r="26" spans="1:12" ht="15" customHeight="1" hidden="1">
      <c r="A26" s="266" t="s">
        <v>389</v>
      </c>
      <c r="B26" s="324">
        <f>'DAP3'!E6</f>
        <v>0</v>
      </c>
      <c r="C26" s="273" t="s">
        <v>3438</v>
      </c>
      <c r="E26" s="266" t="s">
        <v>459</v>
      </c>
      <c r="F26" s="322" t="str">
        <f>IF(ZAKL_DATA!B6&lt;&gt;"",ZAKL_DATA!B6,"")</f>
        <v/>
      </c>
      <c r="G26" t="s">
        <v>3438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5" customHeight="1" hidden="1">
      <c r="A27" s="266" t="s">
        <v>390</v>
      </c>
      <c r="B27" s="324">
        <f>'DAP3'!E7</f>
        <v>0</v>
      </c>
      <c r="C27" s="273" t="s">
        <v>3438</v>
      </c>
      <c r="E27" s="266" t="s">
        <v>460</v>
      </c>
      <c r="F27" s="267"/>
      <c r="G27" s="273" t="s">
        <v>3442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5" customHeight="1" hidden="1">
      <c r="A28" s="266" t="s">
        <v>391</v>
      </c>
      <c r="B28" s="324">
        <f>'DAP3'!D42</f>
        <v>0</v>
      </c>
      <c r="C28" s="273" t="s">
        <v>3438</v>
      </c>
      <c r="E28" s="266" t="s">
        <v>461</v>
      </c>
      <c r="F28" s="322" t="str">
        <f>IF(AND(ZAKL_DATA!B20&lt;&gt;"ČESKÁ REPUBLIKA",ZAKL_DATA!B20&lt;&gt;""),VLOOKUP(ZAKL_DATA!B20,FU!J3:K253,2,FALSE),"")</f>
        <v/>
      </c>
      <c r="G28" s="273" t="s">
        <v>3438</v>
      </c>
    </row>
    <row r="29" spans="1:7" ht="15" customHeight="1" hidden="1">
      <c r="A29" s="266" t="s">
        <v>392</v>
      </c>
      <c r="B29" s="324"/>
      <c r="C29" s="273" t="s">
        <v>3441</v>
      </c>
      <c r="E29" s="266" t="s">
        <v>462</v>
      </c>
      <c r="F29" s="322" t="str">
        <f>IF(ZAKL_DATA!B7&lt;&gt;"",ZAKL_DATA!B7,"")</f>
        <v/>
      </c>
      <c r="G29" s="273" t="s">
        <v>3438</v>
      </c>
    </row>
    <row r="30" spans="1:13" ht="15" customHeight="1" hidden="1">
      <c r="A30" s="266" t="s">
        <v>393</v>
      </c>
      <c r="B30" s="324" t="str">
        <f>IF(AND('DAP3'!D33&lt;&gt;"",'DAP3'!D33&lt;&gt;0),'DAP3'!D33,"")</f>
        <v/>
      </c>
      <c r="C30" s="273" t="s">
        <v>3438</v>
      </c>
      <c r="E30" s="266" t="s">
        <v>463</v>
      </c>
      <c r="F30" s="322" t="str">
        <f>IF(ZAKL_DATA!B16&lt;&gt;"",ZAKL_DATA!B16,"")</f>
        <v/>
      </c>
      <c r="G30" s="273" t="s">
        <v>3438</v>
      </c>
      <c r="I30" t="s">
        <v>525</v>
      </c>
      <c r="M30" t="s">
        <v>547</v>
      </c>
    </row>
    <row r="31" spans="1:15" ht="15" customHeight="1" hidden="1">
      <c r="A31" s="266" t="s">
        <v>394</v>
      </c>
      <c r="B31" s="324" t="str">
        <f>IF(AND('DAP3'!D36&lt;&gt;"",'DAP3'!D36&lt;&gt;0),'DAP3'!D36,"")</f>
        <v/>
      </c>
      <c r="C31" s="273" t="s">
        <v>3438</v>
      </c>
      <c r="E31" s="266" t="s">
        <v>464</v>
      </c>
      <c r="F31" s="322" t="str">
        <f>IF(ISNUMBER('DAP1'!I39),'DAP1'!I39,"")</f>
        <v/>
      </c>
      <c r="I31" s="266" t="s">
        <v>526</v>
      </c>
      <c r="J31">
        <f>'DAP4'!K25</f>
        <v>0</v>
      </c>
      <c r="K31" t="s">
        <v>3438</v>
      </c>
      <c r="M31" s="266" t="s">
        <v>548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5" customHeight="1" hidden="1">
      <c r="A32" s="266" t="s">
        <v>395</v>
      </c>
      <c r="B32" s="324">
        <f>'DAP3'!D31</f>
        <v>0</v>
      </c>
      <c r="C32" s="273" t="s">
        <v>3438</v>
      </c>
      <c r="E32" s="266" t="s">
        <v>465</v>
      </c>
      <c r="I32" s="266" t="s">
        <v>527</v>
      </c>
      <c r="J32">
        <f>'DAP4'!K10</f>
        <v>0</v>
      </c>
      <c r="K32" t="s">
        <v>3438</v>
      </c>
      <c r="M32" s="266" t="s">
        <v>549</v>
      </c>
      <c r="N32" s="324">
        <f>'1Př1'!F35</f>
        <v>0</v>
      </c>
      <c r="O32" s="273" t="s">
        <v>3438</v>
      </c>
    </row>
    <row r="33" spans="1:15" ht="15" customHeight="1" hidden="1">
      <c r="A33" s="266" t="s">
        <v>396</v>
      </c>
      <c r="B33" s="324" t="str">
        <f>IF(AND('DAP3'!D35&lt;&gt;"",'DAP3'!D35&lt;&gt;0),'DAP3'!D35,"")</f>
        <v/>
      </c>
      <c r="C33" s="273" t="s">
        <v>3438</v>
      </c>
      <c r="E33" s="266" t="s">
        <v>466</v>
      </c>
      <c r="F33" s="322" t="str">
        <f>IF(ISNUMBER(FIND("/",'DAP1'!L38)),MID('DAP1'!L38,(FIND("/",'DAP1'!L38,1))+1,LEN('DAP1'!L38)),"")</f>
        <v/>
      </c>
      <c r="I33" s="266" t="s">
        <v>528</v>
      </c>
      <c r="J33">
        <f>'DAP4'!K18</f>
        <v>0</v>
      </c>
      <c r="K33" t="s">
        <v>3438</v>
      </c>
      <c r="M33" s="266" t="s">
        <v>550</v>
      </c>
      <c r="N33" s="324">
        <f>'1Př1'!H35</f>
        <v>0</v>
      </c>
      <c r="O33" s="273" t="s">
        <v>3438</v>
      </c>
    </row>
    <row r="34" spans="1:15" ht="15" customHeight="1" hidden="1">
      <c r="A34" s="266" t="s">
        <v>397</v>
      </c>
      <c r="B34" s="324" t="str">
        <f>IF(AND('DAP3'!D38&lt;&gt;"",'DAP3'!D38&lt;&gt;0),'DAP3'!D38,"")</f>
        <v/>
      </c>
      <c r="C34" s="273" t="s">
        <v>3438</v>
      </c>
      <c r="E34" s="266" t="s">
        <v>467</v>
      </c>
      <c r="F34" t="str">
        <f>IF(IF(ISNUMBER(FIND("/",'DAP1'!L38)),LEFT('DAP1'!L38,(FIND("/",'DAP1'!L38,1))-1),'DAP1'!L38)&lt;&gt;0,IF(ISNUMBER(FIND("/",'DAP1'!L38)),LEFT('DAP1'!L38,(FIND("/",'DAP1'!L38,1))-1),'DAP1'!L38),"")</f>
        <v/>
      </c>
      <c r="I34" s="266" t="s">
        <v>529</v>
      </c>
      <c r="K34" s="273" t="s">
        <v>3705</v>
      </c>
      <c r="M34" s="266" t="s">
        <v>551</v>
      </c>
      <c r="N34" s="322" t="str">
        <f>IF('1Př2'!F3&lt;&gt;0,TEXT('1Př2'!F3,"DD.MM.RRRR"),"")</f>
        <v/>
      </c>
      <c r="O34" s="273" t="s">
        <v>3438</v>
      </c>
    </row>
    <row r="35" spans="1:15" ht="15" customHeight="1" hidden="1">
      <c r="A35" s="266" t="s">
        <v>398</v>
      </c>
      <c r="B35" s="324">
        <f>'DAP3'!D24</f>
        <v>0</v>
      </c>
      <c r="C35" s="273" t="s">
        <v>3438</v>
      </c>
      <c r="E35" s="266" t="s">
        <v>468</v>
      </c>
      <c r="F35" s="322" t="str">
        <f>IF('DAP1'!F39&lt;&gt;"",'DAP1'!F39,"")</f>
        <v/>
      </c>
      <c r="I35" s="266" t="s">
        <v>530</v>
      </c>
      <c r="J35">
        <f>'DAP4'!K19</f>
        <v>0</v>
      </c>
      <c r="K35" t="s">
        <v>3438</v>
      </c>
      <c r="M35" s="266" t="s">
        <v>552</v>
      </c>
      <c r="N35" s="322" t="str">
        <f>IF('1Př2'!C3&lt;&gt;0,TEXT('1Př2'!C3,"DD.MM.RRRR"),"")</f>
        <v/>
      </c>
      <c r="O35" s="273" t="s">
        <v>3438</v>
      </c>
    </row>
    <row r="36" spans="1:15" ht="15" customHeight="1" hidden="1">
      <c r="A36" s="266" t="s">
        <v>399</v>
      </c>
      <c r="B36" s="325">
        <f>'DAP2'!F37</f>
        <v>0</v>
      </c>
      <c r="C36" s="273" t="s">
        <v>3438</v>
      </c>
      <c r="E36" s="266" t="s">
        <v>469</v>
      </c>
      <c r="F36" s="322" t="str">
        <f>IF(ISNUMBER(FIND("@",'DAP1'!I39)),'DAP1'!I39,"")</f>
        <v/>
      </c>
      <c r="I36" s="266" t="s">
        <v>531</v>
      </c>
      <c r="J36">
        <f>'DAP4'!K15</f>
        <v>0</v>
      </c>
      <c r="K36" t="s">
        <v>3438</v>
      </c>
      <c r="M36" s="266" t="s">
        <v>553</v>
      </c>
      <c r="N36" s="322" t="str">
        <f>IF('1Př2'!E3&lt;&gt;0,TEXT('1Př2'!E3,"DD.MM.RRRR"),"")</f>
        <v/>
      </c>
      <c r="O36" s="273" t="s">
        <v>3438</v>
      </c>
    </row>
    <row r="37" spans="1:15" ht="15" customHeight="1" hidden="1">
      <c r="A37" s="266" t="s">
        <v>400</v>
      </c>
      <c r="B37" s="324">
        <f>'DAP3'!D43</f>
        <v>0</v>
      </c>
      <c r="C37" s="273" t="s">
        <v>3438</v>
      </c>
      <c r="E37" s="266" t="s">
        <v>470</v>
      </c>
      <c r="F37" s="322" t="str">
        <f>IF('DAP1'!B38&lt;&gt;"",'DAP1'!B38,"")</f>
        <v/>
      </c>
      <c r="I37" s="266" t="s">
        <v>532</v>
      </c>
      <c r="J37">
        <f>'DAP4'!K16</f>
        <v>0</v>
      </c>
      <c r="K37" t="s">
        <v>3438</v>
      </c>
      <c r="M37" s="266" t="s">
        <v>554</v>
      </c>
      <c r="N37" s="322" t="str">
        <f>IF('1Př2'!A3&lt;&gt;0,TEXT('1Př2'!A3,"DD.MM.RRRR"),"")</f>
        <v/>
      </c>
      <c r="O37" s="273" t="s">
        <v>3438</v>
      </c>
    </row>
    <row r="38" spans="1:15" ht="15" customHeight="1" hidden="1">
      <c r="A38" s="266"/>
      <c r="B38" s="324" t="str">
        <f>IF(Účetní_závěrka!C12&lt;&gt;"",IF(Účetní_závěrka!C88&gt;0,"P","Z"),"")</f>
        <v/>
      </c>
      <c r="C38" s="273" t="s">
        <v>3438</v>
      </c>
      <c r="E38" s="266" t="s">
        <v>471</v>
      </c>
      <c r="F38" s="322" t="str">
        <f>IF('DAP1'!B39&lt;&gt;"",'DAP1'!B39,"")</f>
        <v/>
      </c>
      <c r="I38" s="266" t="s">
        <v>533</v>
      </c>
      <c r="J38">
        <f>'DAP4'!K12</f>
        <v>0</v>
      </c>
      <c r="K38" t="s">
        <v>3438</v>
      </c>
      <c r="M38" s="266" t="s">
        <v>555</v>
      </c>
      <c r="N38" s="324">
        <f>'1Př1'!A27</f>
        <v>0</v>
      </c>
      <c r="O38" s="273" t="s">
        <v>3438</v>
      </c>
    </row>
    <row r="39" spans="1:15" ht="15" customHeight="1" hidden="1">
      <c r="A39" s="266" t="s">
        <v>402</v>
      </c>
      <c r="B39" s="324">
        <f>'DAP3'!D45</f>
        <v>0</v>
      </c>
      <c r="C39" s="273" t="s">
        <v>3438</v>
      </c>
      <c r="E39" s="266" t="s">
        <v>472</v>
      </c>
      <c r="F39" s="322" t="str">
        <f>IF('DAP1'!G38&lt;&gt;"",'DAP1'!G35,"")</f>
        <v/>
      </c>
      <c r="I39" s="266" t="s">
        <v>534</v>
      </c>
      <c r="K39" s="273" t="s">
        <v>3441</v>
      </c>
      <c r="M39" s="266" t="s">
        <v>556</v>
      </c>
      <c r="N39" s="324">
        <f>'1Př1'!F14</f>
        <v>0</v>
      </c>
      <c r="O39" s="273" t="s">
        <v>3438</v>
      </c>
    </row>
    <row r="40" spans="1:19" ht="15" customHeight="1" hidden="1">
      <c r="A40" s="266" t="s">
        <v>403</v>
      </c>
      <c r="B40" s="324">
        <f>'DAP3'!D44</f>
        <v>0</v>
      </c>
      <c r="C40" s="273" t="s">
        <v>3438</v>
      </c>
      <c r="E40" s="266" t="s">
        <v>473</v>
      </c>
      <c r="F40" s="267" t="str">
        <f>IF(AND(LEN('DAP4'!A34)&gt;6,ISNUMBER(SEARCH(".",'DAP4'!A34))),'DAP4'!A34,"")</f>
        <v/>
      </c>
      <c r="G40" s="273" t="s">
        <v>3449</v>
      </c>
      <c r="I40" s="266" t="s">
        <v>535</v>
      </c>
      <c r="J40">
        <f>'DAP4'!K11</f>
        <v>0</v>
      </c>
      <c r="K40" s="273" t="s">
        <v>3438</v>
      </c>
      <c r="M40" s="266" t="s">
        <v>557</v>
      </c>
      <c r="N40" s="324">
        <f>'1Př1'!E27</f>
        <v>0</v>
      </c>
      <c r="O40" s="273" t="s">
        <v>3438</v>
      </c>
      <c r="Q40" t="s">
        <v>577</v>
      </c>
      <c r="R40" s="266" t="s">
        <v>601</v>
      </c>
      <c r="S40" s="269" t="s">
        <v>599</v>
      </c>
    </row>
    <row r="41" spans="1:19" ht="15" customHeight="1" hidden="1">
      <c r="A41" s="266" t="s">
        <v>404</v>
      </c>
      <c r="B41" s="324" t="str">
        <f>IF(AND('DAP3'!D44&lt;&gt;"",'DAP3'!D44&lt;&gt;0),'DAP3'!D44,"")</f>
        <v/>
      </c>
      <c r="C41" s="273" t="s">
        <v>3438</v>
      </c>
      <c r="E41" s="266" t="s">
        <v>474</v>
      </c>
      <c r="F41" s="267" t="str">
        <f>IF(AND(LEN('DAP4'!A34)&lt;=4,'DAP4'!A34&lt;&gt;""),'DAP4'!A34,"")</f>
        <v/>
      </c>
      <c r="G41" s="273" t="s">
        <v>3449</v>
      </c>
      <c r="I41" s="266" t="s">
        <v>536</v>
      </c>
      <c r="J41">
        <f>'DAP4'!K20</f>
        <v>0</v>
      </c>
      <c r="K41" s="273" t="s">
        <v>3438</v>
      </c>
      <c r="M41" s="266" t="s">
        <v>558</v>
      </c>
      <c r="N41" s="324">
        <f>'1Př1'!I27</f>
        <v>0</v>
      </c>
      <c r="O41" s="273" t="s">
        <v>3438</v>
      </c>
      <c r="R41" s="324" t="str">
        <f>IF('1Př2'!F20&lt;&gt;"",'1Př2'!F20,"")</f>
        <v/>
      </c>
      <c r="S41" s="267" t="str">
        <f>IF('1Př2'!B20&lt;&gt;"",'1Př2'!B20,"")</f>
        <v/>
      </c>
    </row>
    <row r="42" spans="1:19" ht="15" customHeight="1" hidden="1">
      <c r="A42" s="266" t="s">
        <v>405</v>
      </c>
      <c r="B42" s="324">
        <f>'DAP3'!E8</f>
        <v>0</v>
      </c>
      <c r="C42" s="273" t="s">
        <v>3438</v>
      </c>
      <c r="E42" s="266" t="s">
        <v>475</v>
      </c>
      <c r="F42" s="267" t="str">
        <f>IF(AND(LEN('DAP4'!A34)&lt;9,LEN('DAP4'!A34)&gt;5),'DAP4'!A34,"")</f>
        <v/>
      </c>
      <c r="G42" s="273" t="s">
        <v>3449</v>
      </c>
      <c r="I42" s="266" t="s">
        <v>537</v>
      </c>
      <c r="J42">
        <f>'DAP4'!K9</f>
        <v>0</v>
      </c>
      <c r="K42" s="273" t="s">
        <v>3438</v>
      </c>
      <c r="M42" s="266" t="s">
        <v>559</v>
      </c>
      <c r="N42" s="324">
        <f>'1Př1'!F22</f>
        <v>0</v>
      </c>
      <c r="O42" s="273" t="s">
        <v>3438</v>
      </c>
      <c r="R42" s="324" t="str">
        <f>IF('1Př2'!F21&lt;&gt;"",'1Př2'!F21,"")</f>
        <v/>
      </c>
      <c r="S42" s="267" t="str">
        <f>IF('1Př2'!B21&lt;&gt;"",'1Př2'!B21,"")</f>
        <v/>
      </c>
    </row>
    <row r="43" spans="1:19" ht="15" customHeight="1" hidden="1">
      <c r="A43" s="266" t="s">
        <v>406</v>
      </c>
      <c r="B43" s="324">
        <f>'DAP3'!D46</f>
        <v>0</v>
      </c>
      <c r="C43" s="273" t="s">
        <v>3438</v>
      </c>
      <c r="E43" s="266" t="s">
        <v>476</v>
      </c>
      <c r="F43" s="267" t="str">
        <f>IF(AND(OR(F40&lt;&gt;"",F41&lt;&gt;""),ZAKL_DATA!D20&lt;&gt;""),ZAKL_DATA!D20,"")</f>
        <v/>
      </c>
      <c r="G43" s="273" t="s">
        <v>3449</v>
      </c>
      <c r="I43" s="266" t="s">
        <v>538</v>
      </c>
      <c r="J43">
        <f>'DAP4'!K13</f>
        <v>0</v>
      </c>
      <c r="K43" s="273" t="s">
        <v>3438</v>
      </c>
      <c r="M43" s="266" t="s">
        <v>560</v>
      </c>
      <c r="N43" s="324">
        <f>'1Př1'!F17</f>
        <v>0</v>
      </c>
      <c r="O43" s="273" t="s">
        <v>3438</v>
      </c>
      <c r="R43" s="324" t="str">
        <f>IF('1Př2'!F22&lt;&gt;"",'1Př2'!F22,"")</f>
        <v/>
      </c>
      <c r="S43" s="267" t="str">
        <f>IF('1Př2'!B22&lt;&gt;"",'1Př2'!B22,"")</f>
        <v/>
      </c>
    </row>
    <row r="44" spans="1:19" ht="15" customHeight="1" hidden="1">
      <c r="A44" s="266" t="s">
        <v>407</v>
      </c>
      <c r="B44" s="324">
        <f>'DAP3'!D41</f>
        <v>0</v>
      </c>
      <c r="C44" s="273" t="s">
        <v>3438</v>
      </c>
      <c r="E44" s="266" t="s">
        <v>477</v>
      </c>
      <c r="F44" s="267" t="str">
        <f>IF('DAP4'!C30&lt;&gt;0,'DAP4'!C30,"")</f>
        <v/>
      </c>
      <c r="G44" s="273" t="s">
        <v>3449</v>
      </c>
      <c r="I44" s="266" t="s">
        <v>539</v>
      </c>
      <c r="J44">
        <f>'DAP4'!K6</f>
        <v>0</v>
      </c>
      <c r="K44" s="273" t="s">
        <v>3438</v>
      </c>
      <c r="M44" s="266" t="s">
        <v>561</v>
      </c>
      <c r="N44" s="324">
        <f>'1Př1'!F19</f>
        <v>0</v>
      </c>
      <c r="O44" s="273" t="s">
        <v>3438</v>
      </c>
      <c r="R44" s="324" t="str">
        <f>IF('1Př2'!F23&lt;&gt;"",'1Př2'!F23,"")</f>
        <v/>
      </c>
      <c r="S44" s="267" t="str">
        <f>IF('1Př2'!B23&lt;&gt;"",'1Př2'!B23,"")</f>
        <v/>
      </c>
    </row>
    <row r="45" spans="1:15" ht="15" customHeight="1" hidden="1">
      <c r="A45" s="266" t="s">
        <v>408</v>
      </c>
      <c r="B45" s="324">
        <f>'DAP3'!D40</f>
        <v>0</v>
      </c>
      <c r="C45" s="273" t="s">
        <v>3438</v>
      </c>
      <c r="E45" s="266" t="s">
        <v>478</v>
      </c>
      <c r="F45" s="267" t="str">
        <f>'DAP4'!A32</f>
        <v xml:space="preserve">  </v>
      </c>
      <c r="G45" s="273" t="s">
        <v>3449</v>
      </c>
      <c r="I45" s="266" t="s">
        <v>540</v>
      </c>
      <c r="J45">
        <f>'DAP4'!K8</f>
        <v>0</v>
      </c>
      <c r="K45" s="273" t="s">
        <v>3438</v>
      </c>
      <c r="M45" s="266" t="s">
        <v>562</v>
      </c>
      <c r="N45" s="324">
        <f>'1Př1'!F11</f>
        <v>0</v>
      </c>
      <c r="O45" s="273" t="s">
        <v>3438</v>
      </c>
    </row>
    <row r="46" spans="1:19" ht="15" customHeight="1" hidden="1">
      <c r="A46" s="266" t="s">
        <v>409</v>
      </c>
      <c r="B46" s="324">
        <f>'DAP3'!D48</f>
        <v>0</v>
      </c>
      <c r="C46" s="273" t="s">
        <v>3438</v>
      </c>
      <c r="E46" s="266" t="s">
        <v>479</v>
      </c>
      <c r="F46" s="267" t="str">
        <f>IF(AND(OR(F40&lt;&gt;"",F41&lt;&gt;""),ZAKL_DATA!D21&lt;&gt;""),ZAKL_DATA!D21,"")</f>
        <v/>
      </c>
      <c r="G46" s="273" t="s">
        <v>3449</v>
      </c>
      <c r="I46" s="266" t="s">
        <v>541</v>
      </c>
      <c r="J46" t="str">
        <f>IF((ABS('6Př'!E20)+ABS('6Př'!F20))&lt;&gt;0,"1","0")</f>
        <v>0</v>
      </c>
      <c r="M46" s="266" t="s">
        <v>563</v>
      </c>
      <c r="N46" s="324">
        <f>'1Př1'!F16</f>
        <v>0</v>
      </c>
      <c r="O46" s="273" t="s">
        <v>3438</v>
      </c>
      <c r="R46" s="273" t="s">
        <v>3438</v>
      </c>
      <c r="S46" s="273" t="s">
        <v>3438</v>
      </c>
    </row>
    <row r="47" spans="1:15" ht="15" customHeight="1" hidden="1">
      <c r="A47" s="266" t="s">
        <v>410</v>
      </c>
      <c r="B47" s="324" t="str">
        <f>IF(AND('DAP3'!D34&lt;&gt;"",'DAP3'!D34&lt;&gt;0),'DAP3'!D34,"")</f>
        <v/>
      </c>
      <c r="C47" s="273" t="s">
        <v>3438</v>
      </c>
      <c r="E47" s="266" t="s">
        <v>480</v>
      </c>
      <c r="F47" s="267" t="str">
        <f>IF(OR('DAP4'!C30="4a",'DAP4'!C30="4b"),"F",IF(OR('DAP4'!C30="4c",'DAP4'!C30="4d"),"P",""))</f>
        <v/>
      </c>
      <c r="G47" s="273" t="s">
        <v>3449</v>
      </c>
      <c r="I47" s="266" t="s">
        <v>542</v>
      </c>
      <c r="J47">
        <f>IF('DAP4'!K26&lt;&gt;"",'DAP4'!K26,"")</f>
        <v>0</v>
      </c>
      <c r="M47" s="266" t="s">
        <v>564</v>
      </c>
      <c r="N47" s="324">
        <f>'1Př1'!F15</f>
        <v>0</v>
      </c>
      <c r="O47" s="273" t="s">
        <v>3438</v>
      </c>
    </row>
    <row r="48" spans="1:15" ht="15" customHeight="1" hidden="1">
      <c r="A48" s="266" t="s">
        <v>411</v>
      </c>
      <c r="B48" s="324" t="str">
        <f>IF(AND('DAP3'!D37&lt;&gt;"",'DAP3'!D37&lt;&gt;0),'DAP3'!D37,"")</f>
        <v/>
      </c>
      <c r="C48" s="273" t="s">
        <v>3438</v>
      </c>
      <c r="I48" s="266" t="s">
        <v>543</v>
      </c>
      <c r="J48" s="322">
        <f>'DAP4'!K4</f>
        <v>0</v>
      </c>
      <c r="K48" s="273" t="s">
        <v>3438</v>
      </c>
      <c r="M48" s="266" t="s">
        <v>565</v>
      </c>
      <c r="N48" s="324">
        <f>'1Př1'!F12</f>
        <v>0</v>
      </c>
      <c r="O48" s="273" t="s">
        <v>3438</v>
      </c>
    </row>
    <row r="49" spans="1:15" ht="15" customHeight="1" hidden="1">
      <c r="A49" s="266" t="s">
        <v>412</v>
      </c>
      <c r="B49" s="322" t="str">
        <f>IF('DAP1'!F41&lt;&gt;"",'DAP1'!F41,"")</f>
        <v/>
      </c>
      <c r="C49" s="273" t="s">
        <v>3438</v>
      </c>
      <c r="I49" s="266" t="s">
        <v>544</v>
      </c>
      <c r="J49" s="322">
        <f>'DAP4'!K5</f>
        <v>0</v>
      </c>
      <c r="K49" s="273" t="s">
        <v>3438</v>
      </c>
      <c r="M49" s="266" t="s">
        <v>566</v>
      </c>
      <c r="N49" s="324">
        <f>'1Př1'!F18</f>
        <v>0</v>
      </c>
      <c r="O49" s="273" t="s">
        <v>3438</v>
      </c>
    </row>
    <row r="50" spans="1:19" ht="15" customHeight="1" hidden="1">
      <c r="A50" s="266" t="s">
        <v>413</v>
      </c>
      <c r="B50">
        <f>'DAP3'!D5</f>
        <v>0</v>
      </c>
      <c r="C50" s="273" t="s">
        <v>3438</v>
      </c>
      <c r="E50" s="266" t="s">
        <v>3704</v>
      </c>
      <c r="F50" s="267" t="str">
        <f>IF(Účetní_závěrka!C12&lt;&gt;"",IF(Účetní_závěrka!C88&gt;0,"P","Z"),"")</f>
        <v/>
      </c>
      <c r="I50" s="266" t="s">
        <v>545</v>
      </c>
      <c r="J50">
        <f>'DAP4'!K22</f>
        <v>0</v>
      </c>
      <c r="K50" s="273" t="s">
        <v>3438</v>
      </c>
      <c r="M50" s="266" t="s">
        <v>567</v>
      </c>
      <c r="N50" s="324">
        <f>'1Př1'!F20</f>
        <v>0</v>
      </c>
      <c r="O50" s="273" t="s">
        <v>3438</v>
      </c>
      <c r="Q50" t="s">
        <v>603</v>
      </c>
      <c r="R50" s="266" t="s">
        <v>604</v>
      </c>
      <c r="S50" s="269" t="s">
        <v>602</v>
      </c>
    </row>
    <row r="51" spans="1:19" ht="15" customHeight="1" hidden="1">
      <c r="A51" s="266" t="s">
        <v>3573</v>
      </c>
      <c r="B51">
        <f>'DAP3'!F21</f>
        <v>0</v>
      </c>
      <c r="C51" s="273" t="s">
        <v>3438</v>
      </c>
      <c r="E51" s="266" t="s">
        <v>3704</v>
      </c>
      <c r="F51" s="267" t="str">
        <f>IF(Účetní_závěrka!C12&lt;&gt;"",IF(Účetní_závěrka!C88&gt;0,"P","Z"),"")</f>
        <v/>
      </c>
      <c r="I51" s="266" t="s">
        <v>546</v>
      </c>
      <c r="J51">
        <f>'DAP4'!K21</f>
        <v>0</v>
      </c>
      <c r="K51" s="273" t="s">
        <v>3438</v>
      </c>
      <c r="M51" s="266" t="s">
        <v>568</v>
      </c>
      <c r="N51" s="324">
        <f>'1Př1'!F23</f>
        <v>0</v>
      </c>
      <c r="O51" s="273" t="s">
        <v>3438</v>
      </c>
      <c r="R51" t="str">
        <f>IF('1Př2'!F26&lt;&gt;"",'1Př2'!F26,"")</f>
        <v/>
      </c>
      <c r="S51" s="322" t="str">
        <f>IF('1Př2'!B26&lt;&gt;"",'1Př2'!B26,"")</f>
        <v/>
      </c>
    </row>
    <row r="52" spans="1:19" ht="15" customHeight="1" hidden="1">
      <c r="A52" s="266" t="s">
        <v>3574</v>
      </c>
      <c r="B52">
        <f>'DAP3'!G21</f>
        <v>0</v>
      </c>
      <c r="C52" s="273" t="s">
        <v>3438</v>
      </c>
      <c r="E52" s="266" t="s">
        <v>3704</v>
      </c>
      <c r="F52" s="267" t="str">
        <f>IF(Účetní_závěrka!C12&lt;&gt;"",IF(Účetní_závěrka!C88&gt;0,"P","Z"),"")</f>
        <v/>
      </c>
      <c r="I52" s="266" t="s">
        <v>3583</v>
      </c>
      <c r="J52" t="str">
        <f>IF('DAP4'!K17&lt;&gt;"",'DAP4'!K17,"")</f>
        <v/>
      </c>
      <c r="K52" s="338"/>
      <c r="M52" s="266" t="s">
        <v>569</v>
      </c>
      <c r="N52" s="324" t="e">
        <f>'1Př1'!#REF!</f>
        <v>#REF!</v>
      </c>
      <c r="O52" s="273" t="s">
        <v>3438</v>
      </c>
      <c r="R52" t="str">
        <f>IF('1Př2'!F27&lt;&gt;"",'1Př2'!F27,"")</f>
        <v/>
      </c>
      <c r="S52" s="267" t="str">
        <f>IF('1Př2'!B27&lt;&gt;"",'1Př2'!B27,"")</f>
        <v/>
      </c>
    </row>
    <row r="53" spans="1:19" ht="15" customHeight="1" hidden="1">
      <c r="A53" s="266" t="s">
        <v>414</v>
      </c>
      <c r="B53">
        <f>'DAP3'!D6</f>
        <v>0</v>
      </c>
      <c r="C53" s="273" t="s">
        <v>3438</v>
      </c>
      <c r="I53" s="266" t="s">
        <v>3914</v>
      </c>
      <c r="J53">
        <f>'DAP4'!K24</f>
        <v>0</v>
      </c>
      <c r="K53" s="273" t="s">
        <v>3438</v>
      </c>
      <c r="M53" s="266" t="s">
        <v>570</v>
      </c>
      <c r="N53">
        <f>'1Př2'!G3</f>
        <v>12</v>
      </c>
      <c r="O53" s="273" t="s">
        <v>3438</v>
      </c>
      <c r="R53" t="str">
        <f>IF('1Př2'!F28&lt;&gt;"",'1Př2'!F28,"")</f>
        <v/>
      </c>
      <c r="S53" s="267" t="str">
        <f>IF('1Př2'!B28&lt;&gt;"",'1Př2'!B28,"")</f>
        <v/>
      </c>
    </row>
    <row r="54" spans="1:19" ht="15" customHeight="1" hidden="1">
      <c r="A54" s="266" t="s">
        <v>415</v>
      </c>
      <c r="B54">
        <f>'DAP3'!D4</f>
        <v>0</v>
      </c>
      <c r="C54" s="273" t="s">
        <v>3438</v>
      </c>
      <c r="I54" s="266" t="s">
        <v>3915</v>
      </c>
      <c r="J54">
        <f>'DAP4'!K7</f>
        <v>0</v>
      </c>
      <c r="K54" s="273" t="s">
        <v>3438</v>
      </c>
      <c r="M54" s="266" t="s">
        <v>571</v>
      </c>
      <c r="N54" s="324">
        <f>'1Př1'!F30</f>
        <v>0</v>
      </c>
      <c r="O54" s="273" t="s">
        <v>3438</v>
      </c>
      <c r="R54" t="str">
        <f>IF('1Př2'!F29&lt;&gt;"",'1Př2'!F29,"")</f>
        <v/>
      </c>
      <c r="S54" s="267" t="str">
        <f>IF('1Př2'!B29&lt;&gt;"",'1Př2'!B29,"")</f>
        <v/>
      </c>
    </row>
    <row r="55" spans="1:15" ht="15" customHeight="1" hidden="1">
      <c r="A55" s="266" t="s">
        <v>416</v>
      </c>
      <c r="B55">
        <f>'DAP3'!D8</f>
        <v>0</v>
      </c>
      <c r="C55" s="273" t="s">
        <v>3438</v>
      </c>
      <c r="I55" s="266"/>
      <c r="M55" s="266" t="s">
        <v>572</v>
      </c>
      <c r="N55" s="328" t="str">
        <f>IF(AND('1Př1'!E30*100&lt;&gt;0,'1Př1'!E30&lt;&gt;""),'1Př1'!E30*100,"")</f>
        <v/>
      </c>
      <c r="O55" s="273" t="s">
        <v>3438</v>
      </c>
    </row>
    <row r="56" spans="1:19" ht="15" customHeight="1" hidden="1">
      <c r="A56" s="266" t="s">
        <v>417</v>
      </c>
      <c r="B56">
        <f>'DAP3'!D3</f>
        <v>0</v>
      </c>
      <c r="C56" s="273" t="s">
        <v>3438</v>
      </c>
      <c r="M56" s="266" t="s">
        <v>573</v>
      </c>
      <c r="N56" s="324">
        <f>'1Př1'!H30</f>
        <v>0</v>
      </c>
      <c r="O56" s="273" t="s">
        <v>3438</v>
      </c>
      <c r="R56" s="273" t="s">
        <v>3438</v>
      </c>
      <c r="S56" s="273" t="s">
        <v>3438</v>
      </c>
    </row>
    <row r="57" spans="1:15" ht="15" customHeight="1" hidden="1">
      <c r="A57" s="266" t="s">
        <v>418</v>
      </c>
      <c r="B57">
        <f>'DAP3'!D7</f>
        <v>0</v>
      </c>
      <c r="C57" s="273" t="s">
        <v>3438</v>
      </c>
      <c r="M57" s="266" t="s">
        <v>574</v>
      </c>
      <c r="N57" s="322">
        <f>IF(AND('1Př1'!C8&lt;&gt;"",'1Př1'!G8=""),1,IF(AND('1Př1'!C8="",'1Př1'!G8&lt;&gt;""),2,""))</f>
        <v>2</v>
      </c>
      <c r="O57" s="273" t="s">
        <v>3438</v>
      </c>
    </row>
    <row r="58" spans="1:14" ht="15" customHeight="1" hidden="1">
      <c r="A58" s="266" t="s">
        <v>419</v>
      </c>
      <c r="B58" s="273" t="str">
        <f>IF(ISNUMBER(FIND(" ",'DAP2'!C45)),MID('DAP2'!C45,(FIND(" ",'DAP2'!C45,1))+1,IF(ISNUMBER(FIND(" ",'DAP2'!C45,FIND(" ",'DAP2'!C45,1)+1)),FIND(" ",'DAP2'!C45,LEN(LEFT('DAP2'!C45,(FIND(" ",'DAP2'!C45,1))))+1)-LEN(LEFT('DAP2'!C45,(FIND(" ",'DAP2'!C45,1)))),LEN('DAP2'!C45)-LEN(LEFT('DAP2'!C45,(FIND(" ",'DAP2'!C45,1)))))),"")</f>
        <v/>
      </c>
      <c r="C58" s="273" t="s">
        <v>3438</v>
      </c>
      <c r="M58" s="266" t="s">
        <v>575</v>
      </c>
      <c r="N58" s="322" t="str">
        <f>IF('1Př1'!K8&lt;&gt;"","A","N")</f>
        <v>N</v>
      </c>
    </row>
    <row r="59" spans="1:14" ht="15" customHeight="1" hidden="1">
      <c r="A59" s="266" t="s">
        <v>420</v>
      </c>
      <c r="B59" s="273" t="str">
        <f>IF(ISNUMBER(FIND(" ",'DAP2'!C45)),LEFT('DAP2'!C45,(FIND(" ",'DAP2'!C45,1))-1),"")</f>
        <v/>
      </c>
      <c r="C59" s="273" t="s">
        <v>3438</v>
      </c>
      <c r="M59" s="266" t="s">
        <v>3746</v>
      </c>
      <c r="N59" s="267" t="e">
        <f>IF('1Př1'!#REF!&lt;&gt;"","A","N")</f>
        <v>#REF!</v>
      </c>
    </row>
    <row r="60" spans="1:22" ht="15" customHeight="1" hidden="1">
      <c r="A60" s="266" t="s">
        <v>421</v>
      </c>
      <c r="B60" s="273" t="str">
        <f>IF('DAP2'!H45&lt;&gt;"",'DAP2'!H45,"")</f>
        <v/>
      </c>
      <c r="C60" s="273" t="s">
        <v>3438</v>
      </c>
      <c r="E60" t="s">
        <v>581</v>
      </c>
      <c r="I60" t="s">
        <v>618</v>
      </c>
      <c r="N60" t="str">
        <f>IF(OR(N57="2",N58="A"),"A","N")</f>
        <v>N</v>
      </c>
      <c r="Q60" t="s">
        <v>606</v>
      </c>
      <c r="R60" s="266" t="s">
        <v>605</v>
      </c>
      <c r="S60" s="269" t="s">
        <v>607</v>
      </c>
      <c r="T60" s="269" t="s">
        <v>608</v>
      </c>
      <c r="U60" s="269" t="s">
        <v>609</v>
      </c>
      <c r="V60" s="269" t="s">
        <v>610</v>
      </c>
    </row>
    <row r="61" spans="1:22" ht="15" customHeight="1" hidden="1">
      <c r="A61" s="266" t="s">
        <v>422</v>
      </c>
      <c r="B61" s="273" t="str">
        <f>IF(ISNUMBER(FIND(" ",'DAP2'!C45,FIND(" ",'DAP2'!C45,1)+1)),MID('DAP2'!C45,FIND(" ",'DAP2'!C45,LEN(LEFT('DAP2'!C45,(FIND(" ",'DAP2'!C45,1))))+1)+1,LEN('DAP2'!C45)-LEN(LEFT('DAP2'!C45,(FIND(" ",'DAP2'!C45,1))))+1),"")</f>
        <v/>
      </c>
      <c r="C61" s="273" t="s">
        <v>3438</v>
      </c>
      <c r="E61" s="266" t="s">
        <v>582</v>
      </c>
      <c r="F61" s="324" t="str">
        <f>IF(OR(N57=2,N58="A"),"",'1Př2'!F7)</f>
        <v/>
      </c>
      <c r="G61" t="s">
        <v>3438</v>
      </c>
      <c r="I61" s="266" t="s">
        <v>625</v>
      </c>
      <c r="J61" s="324">
        <f>'2Př'!G11</f>
        <v>0</v>
      </c>
      <c r="K61" s="273" t="s">
        <v>3438</v>
      </c>
      <c r="R61" s="322" t="str">
        <f>IF('1Př2'!E33&lt;&gt;"",MID('1Př2'!E33,3,LEN('1Př2'!E33)-2),"")</f>
        <v/>
      </c>
      <c r="S61" s="322" t="str">
        <f>IF('1Př2'!B33&lt;&gt;"",'1Př2'!B33,"")</f>
        <v/>
      </c>
      <c r="T61" t="str">
        <f>IF('1Př2'!F33&lt;&gt;"",'1Př2'!F33*100,"")</f>
        <v/>
      </c>
      <c r="U61" t="str">
        <f>IF('1Př2'!G33&lt;&gt;"",'1Př2'!G33*100,"")</f>
        <v/>
      </c>
      <c r="V61" s="322" t="str">
        <f>IF('1Př2'!C33&lt;&gt;"",'1Př2'!C33,"")</f>
        <v/>
      </c>
    </row>
    <row r="62" spans="1:22" ht="15" customHeight="1" hidden="1">
      <c r="A62" s="266" t="s">
        <v>423</v>
      </c>
      <c r="B62" s="322" t="str">
        <f>IF(AND('DAP1'!J17&lt;&gt;"",'DAP1'!L17=""),"A",IF(AND('DAP1'!J17="",'DAP1'!L17&lt;&gt;""),"N",""))</f>
        <v>N</v>
      </c>
      <c r="C62" s="273" t="s">
        <v>3438</v>
      </c>
      <c r="E62" s="266" t="s">
        <v>583</v>
      </c>
      <c r="F62" s="324" t="str">
        <f>IF(OR(N57=2,N58="A"),"",'1Př2'!F10)</f>
        <v/>
      </c>
      <c r="G62" t="s">
        <v>3438</v>
      </c>
      <c r="I62" s="266" t="s">
        <v>626</v>
      </c>
      <c r="J62" s="324">
        <f>'2Př'!G33</f>
        <v>0</v>
      </c>
      <c r="K62" s="273" t="s">
        <v>3438</v>
      </c>
      <c r="R62" s="267" t="str">
        <f>IF('1Př2'!E34&lt;&gt;"",MID('1Př2'!E34,3,LEN('1Př2'!E34)-2),"")</f>
        <v/>
      </c>
      <c r="S62" s="267" t="str">
        <f>IF('1Př2'!B34&lt;&gt;"",'1Př2'!B34,"")</f>
        <v/>
      </c>
      <c r="T62" t="str">
        <f>IF('1Př2'!F34&lt;&gt;"",'1Př2'!F34*100,"")</f>
        <v/>
      </c>
      <c r="U62" t="str">
        <f>IF('1Př2'!G34&lt;&gt;"",'1Př2'!G34*100,"")</f>
        <v/>
      </c>
      <c r="V62" s="267" t="str">
        <f>IF('1Př2'!C34&lt;&gt;"",'1Př2'!C34,"")</f>
        <v/>
      </c>
    </row>
    <row r="63" spans="1:22" ht="15" customHeight="1" hidden="1">
      <c r="A63" s="266" t="s">
        <v>424</v>
      </c>
      <c r="B63" s="322" t="str">
        <f>IF(AND('DAP1'!F43&lt;&gt;"",'DAP1'!H43=""),"A",IF(AND('DAP1'!F43="",'DAP1'!H43&lt;&gt;""),"N",""))</f>
        <v>N</v>
      </c>
      <c r="C63" s="273" t="s">
        <v>3438</v>
      </c>
      <c r="E63" s="266" t="s">
        <v>584</v>
      </c>
      <c r="F63" s="324" t="str">
        <f>IF(OR(N57=2,N58="A"),"",'1Př2'!F11)</f>
        <v/>
      </c>
      <c r="G63" t="s">
        <v>3438</v>
      </c>
      <c r="I63" s="266" t="s">
        <v>627</v>
      </c>
      <c r="J63" s="324">
        <f>'2Př'!G10</f>
        <v>0</v>
      </c>
      <c r="K63" s="273" t="s">
        <v>3438</v>
      </c>
      <c r="R63" s="267" t="str">
        <f>IF('1Př2'!E35&lt;&gt;"",MID('1Př2'!E35,3,LEN('1Př2'!E35)-2),"")</f>
        <v/>
      </c>
      <c r="S63" s="267" t="str">
        <f>IF('1Př2'!B35&lt;&gt;"",'1Př2'!B35,"")</f>
        <v/>
      </c>
      <c r="T63" t="str">
        <f>IF('1Př2'!F35&lt;&gt;"",'1Př2'!F35*100,"")</f>
        <v/>
      </c>
      <c r="U63" t="str">
        <f>IF('1Př2'!G35&lt;&gt;"",'1Př2'!G35*100,"")</f>
        <v/>
      </c>
      <c r="V63" s="267" t="str">
        <f>IF('1Př2'!C35&lt;&gt;"",'1Př2'!C35,"")</f>
        <v/>
      </c>
    </row>
    <row r="64" spans="1:11" ht="15" customHeight="1" hidden="1">
      <c r="A64" s="266" t="s">
        <v>425</v>
      </c>
      <c r="B64">
        <f>'DAP1'!F24</f>
        <v>2022</v>
      </c>
      <c r="C64" s="273" t="s">
        <v>3438</v>
      </c>
      <c r="E64" s="266" t="s">
        <v>585</v>
      </c>
      <c r="F64" s="324" t="str">
        <f>IF(OR(N57=2,N58="A"),"",'1Př2'!F8)</f>
        <v/>
      </c>
      <c r="G64" t="s">
        <v>3438</v>
      </c>
      <c r="I64" s="266" t="s">
        <v>628</v>
      </c>
      <c r="J64" s="324">
        <f>'2Př'!H18</f>
        <v>0</v>
      </c>
      <c r="K64" s="273" t="s">
        <v>3438</v>
      </c>
    </row>
    <row r="65" spans="1:22" ht="15" customHeight="1" hidden="1">
      <c r="A65" s="266" t="s">
        <v>426</v>
      </c>
      <c r="B65" s="324">
        <f>'DAP2'!F43</f>
        <v>0</v>
      </c>
      <c r="C65" s="273" t="s">
        <v>3438</v>
      </c>
      <c r="E65" s="266" t="s">
        <v>586</v>
      </c>
      <c r="F65" s="324" t="str">
        <f>IF(OR(N57=2,N58="A"),"",'1Př2'!F9)</f>
        <v/>
      </c>
      <c r="G65" t="s">
        <v>3438</v>
      </c>
      <c r="I65" s="266" t="s">
        <v>629</v>
      </c>
      <c r="J65" s="324">
        <f>'2Př'!C18</f>
        <v>0</v>
      </c>
      <c r="K65" s="273" t="s">
        <v>3438</v>
      </c>
      <c r="R65" s="273" t="s">
        <v>3438</v>
      </c>
      <c r="S65" s="273" t="s">
        <v>3438</v>
      </c>
      <c r="T65" s="273" t="s">
        <v>3438</v>
      </c>
      <c r="U65" s="273" t="s">
        <v>3438</v>
      </c>
      <c r="V65" s="273" t="s">
        <v>3438</v>
      </c>
    </row>
    <row r="66" spans="1:11" ht="15" customHeight="1" hidden="1">
      <c r="A66" s="266" t="s">
        <v>427</v>
      </c>
      <c r="B66" s="267"/>
      <c r="C66" s="273" t="s">
        <v>3441</v>
      </c>
      <c r="E66" s="266" t="s">
        <v>587</v>
      </c>
      <c r="F66" s="324" t="str">
        <f>IF(OR(N57=2,N58="A"),"",'1Př2'!F12)</f>
        <v/>
      </c>
      <c r="G66" t="s">
        <v>3438</v>
      </c>
      <c r="I66" s="266" t="s">
        <v>630</v>
      </c>
      <c r="J66" s="324">
        <f>'2Př'!G13</f>
        <v>0</v>
      </c>
      <c r="K66" s="273" t="s">
        <v>3438</v>
      </c>
    </row>
    <row r="67" spans="1:11" ht="15" customHeight="1" hidden="1">
      <c r="A67" s="266" t="s">
        <v>428</v>
      </c>
      <c r="B67" s="324">
        <f>'DAP3'!E11</f>
        <v>30840</v>
      </c>
      <c r="E67" s="266" t="s">
        <v>588</v>
      </c>
      <c r="F67" s="324" t="str">
        <f>IF(OR(N57=2,N58="A"),"",'1Př2'!F13)</f>
        <v/>
      </c>
      <c r="G67" t="s">
        <v>3438</v>
      </c>
      <c r="I67" s="266" t="s">
        <v>631</v>
      </c>
      <c r="J67" s="324">
        <f>'2Př'!G15</f>
        <v>0</v>
      </c>
      <c r="K67" s="273" t="s">
        <v>3438</v>
      </c>
    </row>
    <row r="68" spans="1:11" ht="15" customHeight="1" hidden="1">
      <c r="A68" s="266" t="s">
        <v>429</v>
      </c>
      <c r="B68" s="322" t="str">
        <f>IF(CONCATENATE('DAP1'!J28,'DAP1'!B28)&lt;&gt;"00",CONCATENATE('DAP1'!J28," ",'DAP1'!B28),"")</f>
        <v/>
      </c>
      <c r="C68" s="329" t="s">
        <v>3438</v>
      </c>
      <c r="E68" s="266" t="s">
        <v>589</v>
      </c>
      <c r="F68" s="324" t="str">
        <f>IF(OR(N57=2,N58="A"),"",'1Př2'!F14)</f>
        <v/>
      </c>
      <c r="G68" t="s">
        <v>3438</v>
      </c>
      <c r="I68" s="266" t="s">
        <v>632</v>
      </c>
      <c r="J68" s="324">
        <f>'2Př'!G34</f>
        <v>0</v>
      </c>
      <c r="K68" s="273" t="s">
        <v>3438</v>
      </c>
    </row>
    <row r="69" spans="1:11" ht="15" customHeight="1" hidden="1">
      <c r="A69" s="266" t="s">
        <v>430</v>
      </c>
      <c r="B69" s="267" t="str">
        <f>IF(Účetní_závěrka!C12&lt;&gt;"",IF(Účetní_závěrka!C88&gt;0,"P","Z"),"")</f>
        <v/>
      </c>
      <c r="C69" s="329" t="s">
        <v>3446</v>
      </c>
      <c r="E69" s="266" t="s">
        <v>590</v>
      </c>
      <c r="F69" s="324" t="str">
        <f>IF(OR(N57=2,N58="A"),"",'1Př2'!C16)</f>
        <v/>
      </c>
      <c r="G69" t="s">
        <v>3438</v>
      </c>
      <c r="I69" s="266" t="s">
        <v>633</v>
      </c>
      <c r="J69" s="324">
        <f>'2Př'!G12</f>
        <v>0</v>
      </c>
      <c r="K69" s="273" t="s">
        <v>3438</v>
      </c>
    </row>
    <row r="70" spans="1:21" ht="15" customHeight="1" hidden="1">
      <c r="A70" s="266" t="s">
        <v>431</v>
      </c>
      <c r="B70">
        <v>500</v>
      </c>
      <c r="C70" s="329" t="s">
        <v>3439</v>
      </c>
      <c r="E70" s="266" t="s">
        <v>591</v>
      </c>
      <c r="F70" s="324" t="str">
        <f>IF(OR(N57=2,N58="A"),"",'1Př2'!G7)</f>
        <v/>
      </c>
      <c r="G70" t="s">
        <v>3438</v>
      </c>
      <c r="I70" s="266" t="s">
        <v>634</v>
      </c>
      <c r="J70" s="324">
        <f>'2Př'!G35</f>
        <v>0</v>
      </c>
      <c r="K70" s="273" t="s">
        <v>3438</v>
      </c>
      <c r="M70" t="s">
        <v>643</v>
      </c>
      <c r="Q70" t="s">
        <v>611</v>
      </c>
      <c r="R70" s="266" t="s">
        <v>612</v>
      </c>
      <c r="S70" s="269" t="s">
        <v>613</v>
      </c>
      <c r="T70" s="269" t="s">
        <v>614</v>
      </c>
      <c r="U70" s="269" t="s">
        <v>615</v>
      </c>
    </row>
    <row r="71" spans="1:21" ht="15" customHeight="1" hidden="1">
      <c r="A71" s="266" t="s">
        <v>432</v>
      </c>
      <c r="B71" s="322" t="str">
        <f>CONCATENATE("31.12.",'DAP1'!F24)</f>
        <v>31.12.2022</v>
      </c>
      <c r="E71" s="266" t="s">
        <v>592</v>
      </c>
      <c r="F71" s="324" t="str">
        <f>IF(OR(N57=2,N58="A"),"",'1Př2'!G10)</f>
        <v/>
      </c>
      <c r="G71" t="s">
        <v>3438</v>
      </c>
      <c r="I71" s="266" t="s">
        <v>635</v>
      </c>
      <c r="J71" s="324">
        <f>'2Př'!G16</f>
        <v>0</v>
      </c>
      <c r="K71" s="273" t="s">
        <v>3438</v>
      </c>
      <c r="M71" s="266" t="s">
        <v>651</v>
      </c>
      <c r="N71" s="325">
        <f>'3Př'!F30</f>
        <v>0</v>
      </c>
      <c r="O71" s="273" t="s">
        <v>3438</v>
      </c>
      <c r="R71" s="322" t="str">
        <f>IF('1Př2'!F39&lt;&gt;"",IF(OR(ISNUMBER('1Př2'!F39),ISNUMBER(FIND("/",('1Př2'!F39)))),'1Př2'!F39,MID('1Př2'!F39,3,(LEN('1Př2'!F39)-2))),"")</f>
        <v/>
      </c>
      <c r="S71" s="322" t="str">
        <f>IF('1Př2'!B39&lt;&gt;"",'1Př2'!B39,"")</f>
        <v/>
      </c>
      <c r="T71" t="str">
        <f>IF('1Př2'!G39&lt;&gt;"",('1Př2'!G39)*100,"")</f>
        <v/>
      </c>
      <c r="U71" s="322" t="str">
        <f>IF('1Př2'!D39&lt;&gt;"",'1Př2'!D39,"")</f>
        <v/>
      </c>
    </row>
    <row r="72" spans="1:21" ht="15" customHeight="1" hidden="1">
      <c r="A72" s="266" t="s">
        <v>433</v>
      </c>
      <c r="B72" s="322" t="str">
        <f>CONCATENATE("01.01.",'DAP1'!F24)</f>
        <v>01.01.2022</v>
      </c>
      <c r="E72" s="266" t="s">
        <v>593</v>
      </c>
      <c r="F72" s="324" t="str">
        <f>IF(OR(N57=2,N58="A"),"",'1Př2'!G11)</f>
        <v/>
      </c>
      <c r="G72" t="s">
        <v>3438</v>
      </c>
      <c r="I72" s="266" t="s">
        <v>636</v>
      </c>
      <c r="J72" s="324">
        <f>'2Př'!G14</f>
        <v>0</v>
      </c>
      <c r="K72" s="273" t="s">
        <v>3438</v>
      </c>
      <c r="M72" s="266" t="s">
        <v>652</v>
      </c>
      <c r="N72" s="325">
        <f>'3Př'!F28</f>
        <v>0</v>
      </c>
      <c r="O72" s="273" t="s">
        <v>3438</v>
      </c>
      <c r="R72" s="267" t="str">
        <f>IF('1Př2'!F40&lt;&gt;"",IF(OR(ISNUMBER('1Př2'!F40),ISNUMBER(FIND("/",('1Př2'!F40)))),'1Př2'!F40,MID('1Př2'!F40,3,(LEN('1Př2'!F40)-2))),"")</f>
        <v/>
      </c>
      <c r="S72" s="267" t="str">
        <f>IF('1Př2'!B40&lt;&gt;"",'1Př2'!B40,"")</f>
        <v/>
      </c>
      <c r="T72" t="str">
        <f>IF('1Př2'!G40&lt;&gt;"",('1Př2'!G40)*100,"")</f>
        <v/>
      </c>
      <c r="U72" s="267" t="str">
        <f>IF('1Př2'!D40&lt;&gt;"",'1Př2'!D40,"")</f>
        <v/>
      </c>
    </row>
    <row r="73" spans="1:15" ht="15" customHeight="1" hidden="1">
      <c r="A73" s="266" t="s">
        <v>3571</v>
      </c>
      <c r="B73">
        <f>'DAP3'!H21</f>
        <v>0</v>
      </c>
      <c r="E73" s="266" t="s">
        <v>594</v>
      </c>
      <c r="F73" s="324" t="str">
        <f>IF(OR(N57=2,N58="A"),"",'1Př2'!G8)</f>
        <v/>
      </c>
      <c r="G73" t="s">
        <v>3438</v>
      </c>
      <c r="I73" s="266" t="s">
        <v>637</v>
      </c>
      <c r="J73" s="322" t="str">
        <f>IF('2Př'!J7&lt;&gt;"","A","N")</f>
        <v>N</v>
      </c>
      <c r="K73" s="273" t="s">
        <v>3438</v>
      </c>
      <c r="M73" s="266" t="s">
        <v>653</v>
      </c>
      <c r="N73" s="325">
        <f>'3Př'!F27</f>
        <v>0</v>
      </c>
      <c r="O73" s="273" t="s">
        <v>3438</v>
      </c>
    </row>
    <row r="74" spans="1:21" ht="15" customHeight="1" hidden="1">
      <c r="A74" s="266" t="s">
        <v>3572</v>
      </c>
      <c r="B74">
        <f>'DAP3'!J21</f>
        <v>0</v>
      </c>
      <c r="E74" s="266" t="s">
        <v>595</v>
      </c>
      <c r="F74" s="324" t="str">
        <f>IF(OR(N57=2,N58="A"),"",'1Př2'!G9)</f>
        <v/>
      </c>
      <c r="G74" t="s">
        <v>3438</v>
      </c>
      <c r="I74" s="266" t="s">
        <v>638</v>
      </c>
      <c r="J74" s="324">
        <f>'2Př'!G33</f>
        <v>0</v>
      </c>
      <c r="K74" s="273" t="s">
        <v>3438</v>
      </c>
      <c r="M74" s="266" t="s">
        <v>491</v>
      </c>
      <c r="N74" s="324">
        <f>'DAP2'!E15</f>
        <v>0</v>
      </c>
      <c r="R74" s="273" t="s">
        <v>3438</v>
      </c>
      <c r="S74" s="273" t="s">
        <v>3438</v>
      </c>
      <c r="T74" s="273" t="s">
        <v>3438</v>
      </c>
      <c r="U74" s="273" t="s">
        <v>3438</v>
      </c>
    </row>
    <row r="75" spans="1:14" ht="15" customHeight="1" hidden="1">
      <c r="A75" t="s">
        <v>3575</v>
      </c>
      <c r="B75">
        <f>'DAP3'!I21</f>
        <v>0</v>
      </c>
      <c r="E75" s="266" t="s">
        <v>596</v>
      </c>
      <c r="F75" s="324" t="str">
        <f>IF(OR(N57=2,N58="A"),"",'1Př2'!G12)</f>
        <v/>
      </c>
      <c r="G75" t="s">
        <v>3438</v>
      </c>
      <c r="I75" s="266" t="s">
        <v>639</v>
      </c>
      <c r="J75" s="324">
        <f>'2Př'!G35</f>
        <v>0</v>
      </c>
      <c r="K75" s="273" t="s">
        <v>3438</v>
      </c>
      <c r="M75" s="266" t="s">
        <v>492</v>
      </c>
      <c r="N75" s="324">
        <f>'DAP2'!E10</f>
        <v>0</v>
      </c>
    </row>
    <row r="76" spans="1:14" ht="15" customHeight="1" hidden="1">
      <c r="A76" s="266" t="s">
        <v>3576</v>
      </c>
      <c r="B76">
        <f>'DAP3'!K21</f>
        <v>0</v>
      </c>
      <c r="E76" s="266" t="s">
        <v>597</v>
      </c>
      <c r="F76" s="324" t="str">
        <f>IF(OR(N57=2,N58="A"),"",'1Př2'!G13)</f>
        <v/>
      </c>
      <c r="G76" t="s">
        <v>3438</v>
      </c>
      <c r="I76" s="266" t="s">
        <v>640</v>
      </c>
      <c r="J76" s="324">
        <f>'2Př'!G34</f>
        <v>0</v>
      </c>
      <c r="K76" s="273" t="s">
        <v>3438</v>
      </c>
      <c r="M76" s="266" t="s">
        <v>3916</v>
      </c>
      <c r="N76" s="324">
        <f>'3Př'!F10</f>
        <v>0</v>
      </c>
    </row>
    <row r="77" spans="1:14" ht="15" customHeight="1" hidden="1">
      <c r="A77" s="266" t="s">
        <v>3577</v>
      </c>
      <c r="B77" s="273" t="str">
        <f>IF('DAP2'!H45&lt;&gt;"",CONCATENATE(MID('DAP2'!H45,5,2),".",IF(VALUE(MID('DAP2'!H45,3,2))&lt;13,MID('DAP2'!H45,3,2),MID('DAP2'!H45,3,2)-50),".",IF(MID('DAP2'!H45,1,2)&lt;"5","20","19"),MID('DAP2'!H45,1,2)),"")</f>
        <v/>
      </c>
      <c r="E77" s="266" t="s">
        <v>598</v>
      </c>
      <c r="F77" s="324" t="str">
        <f>IF(OR(N57=2,N58="A"),"",'1Př2'!G14)</f>
        <v/>
      </c>
      <c r="G77" t="s">
        <v>3438</v>
      </c>
      <c r="I77" s="266" t="s">
        <v>641</v>
      </c>
      <c r="J77" s="322" t="str">
        <f>IF('2Př'!D7&lt;&gt;"","A","N")</f>
        <v>N</v>
      </c>
      <c r="K77" s="273" t="s">
        <v>3438</v>
      </c>
      <c r="M77" s="266" t="s">
        <v>3917</v>
      </c>
      <c r="N77" s="325">
        <f>'3Př'!F30</f>
        <v>0</v>
      </c>
    </row>
    <row r="78" spans="1:14" ht="15" customHeight="1" hidden="1">
      <c r="A78" s="266" t="s">
        <v>3703</v>
      </c>
      <c r="B78">
        <f>IF('DAP3'!E10&lt;&gt;"",'DAP3'!E10,"")</f>
        <v>0</v>
      </c>
      <c r="I78" s="266" t="s">
        <v>3747</v>
      </c>
      <c r="J78" s="267" t="e">
        <f>IF('2Př'!#REF!&lt;&gt;"","A","N")</f>
        <v>#REF!</v>
      </c>
      <c r="M78" s="266" t="s">
        <v>3918</v>
      </c>
      <c r="N78" s="681">
        <f>'3Př'!F12</f>
        <v>0</v>
      </c>
    </row>
    <row r="79" spans="1:14" ht="15" customHeight="1" hidden="1">
      <c r="A79" s="266" t="s">
        <v>401</v>
      </c>
      <c r="B79" s="324">
        <f>'DAP3'!D46</f>
        <v>0</v>
      </c>
      <c r="M79" s="266" t="s">
        <v>3919</v>
      </c>
      <c r="N79" s="325">
        <f>'3Př'!F13</f>
        <v>0</v>
      </c>
    </row>
    <row r="80" spans="1:21" ht="15" customHeight="1" hidden="1">
      <c r="A80" s="266" t="s">
        <v>3910</v>
      </c>
      <c r="B80" s="324">
        <f>'4Př'!F20</f>
        <v>0</v>
      </c>
      <c r="Q80" t="s">
        <v>616</v>
      </c>
      <c r="R80" s="266" t="s">
        <v>619</v>
      </c>
      <c r="S80" s="269" t="s">
        <v>620</v>
      </c>
      <c r="T80" s="269" t="s">
        <v>621</v>
      </c>
      <c r="U80" s="269" t="s">
        <v>622</v>
      </c>
    </row>
    <row r="81" spans="1:21" ht="15" customHeight="1" hidden="1">
      <c r="A81" s="266" t="s">
        <v>3911</v>
      </c>
      <c r="B81" s="324">
        <f>'DAP3'!D25+'DAP3'!D26</f>
        <v>0</v>
      </c>
      <c r="R81" s="322" t="str">
        <f>IF('1Př2'!F44&lt;&gt;"",MID('1Př2'!F44,3,LEN('1Př2'!F44)-2),"")</f>
        <v/>
      </c>
      <c r="S81" s="322" t="str">
        <f>IF('1Př2'!B44&lt;&gt;"",'1Př2'!B44,"")</f>
        <v/>
      </c>
      <c r="T81" t="str">
        <f>IF('1Př2'!G44&lt;&gt;"",'1Př2'!G44*100,"")</f>
        <v/>
      </c>
      <c r="U81" s="322" t="str">
        <f>IF('1Př2'!D44&lt;&gt;"",'1Př2'!D44,"")</f>
        <v/>
      </c>
    </row>
    <row r="82" spans="1:2" ht="15" customHeight="1" hidden="1">
      <c r="A82" s="266" t="s">
        <v>3912</v>
      </c>
      <c r="B82" s="324">
        <f>'DAP3'!D30</f>
        <v>0</v>
      </c>
    </row>
    <row r="83" spans="1:21" ht="15" customHeight="1" hidden="1">
      <c r="A83" s="266" t="s">
        <v>3913</v>
      </c>
      <c r="B83" s="324">
        <f>'DAP3'!D31</f>
        <v>0</v>
      </c>
      <c r="R83" s="273" t="s">
        <v>3438</v>
      </c>
      <c r="S83" s="273" t="s">
        <v>3438</v>
      </c>
      <c r="T83" s="273" t="s">
        <v>3438</v>
      </c>
      <c r="U83" s="273" t="s">
        <v>3438</v>
      </c>
    </row>
    <row r="87" spans="1:1" ht="15" customHeight="1" hidden="1">
      <c r="A87" s="321" t="s">
        <v>674</v>
      </c>
    </row>
    <row r="88" spans="1:2" ht="15" customHeight="1" hidden="1">
      <c r="A88" s="266" t="s">
        <v>675</v>
      </c>
      <c r="B88" s="267"/>
    </row>
    <row r="89" spans="1:3" ht="15" customHeight="1" hidden="1">
      <c r="A89" s="266" t="s">
        <v>676</v>
      </c>
      <c r="B89" s="322" t="str">
        <f>IF('DAP4'!D55&lt;&gt;0,+CONCATENATE(ZAKL_DATA!B33),"")</f>
        <v/>
      </c>
      <c r="C89" s="273" t="s">
        <v>3449</v>
      </c>
    </row>
    <row r="90" spans="1:19" ht="15" customHeight="1" hidden="1">
      <c r="A90" s="266" t="s">
        <v>677</v>
      </c>
      <c r="B90" s="267"/>
      <c r="Q90" t="s">
        <v>617</v>
      </c>
      <c r="R90" s="266" t="s">
        <v>623</v>
      </c>
      <c r="S90" s="269" t="s">
        <v>624</v>
      </c>
    </row>
    <row r="91" spans="1:19" ht="15" customHeight="1" hidden="1">
      <c r="A91" s="266" t="s">
        <v>678</v>
      </c>
      <c r="B91" s="267"/>
      <c r="R91" s="322" t="str">
        <f>IF('1Př2'!F47&lt;&gt;"",MID('1Př2'!F47,3,LEN('1Př2'!F47)-2),"")</f>
        <v/>
      </c>
      <c r="S91" t="str">
        <f>IF('1Př2'!G47&lt;&gt;"",'1Př2'!G47*100,"")</f>
        <v/>
      </c>
    </row>
    <row r="92" spans="1:3" ht="15" customHeight="1" hidden="1">
      <c r="A92" s="266" t="s">
        <v>679</v>
      </c>
      <c r="B92" t="str">
        <f>IF('DAP4'!D55&lt;&gt;0,'DAP4'!D55,"")</f>
        <v/>
      </c>
      <c r="C92" s="273" t="s">
        <v>3449</v>
      </c>
    </row>
    <row r="93" spans="1:19" ht="15" customHeight="1" hidden="1">
      <c r="A93" s="266" t="s">
        <v>680</v>
      </c>
      <c r="B93" s="267"/>
      <c r="R93" s="273" t="s">
        <v>3438</v>
      </c>
      <c r="S93" s="273" t="s">
        <v>3438</v>
      </c>
    </row>
    <row r="94" spans="1:3" ht="15" customHeight="1" hidden="1">
      <c r="A94" s="266" t="s">
        <v>681</v>
      </c>
      <c r="B94" s="322" t="str">
        <f>IF('DAP4'!D55&lt;&gt;0,ZAKL_DATA!B18,"")</f>
        <v/>
      </c>
      <c r="C94" s="273" t="s">
        <v>3449</v>
      </c>
    </row>
    <row r="95" spans="1:2" ht="15" customHeight="1" hidden="1">
      <c r="A95" s="266" t="s">
        <v>682</v>
      </c>
      <c r="B95" s="267"/>
    </row>
    <row r="96" spans="1:3" ht="15" customHeight="1" hidden="1">
      <c r="A96" s="266" t="s">
        <v>683</v>
      </c>
      <c r="B96" s="322" t="str">
        <f>IF('DAP4'!D55&lt;&gt;0,+CONCATENATE('DAP1'!B28," ",'DAP1'!J28),"")</f>
        <v/>
      </c>
      <c r="C96" s="273" t="s">
        <v>3449</v>
      </c>
    </row>
    <row r="97" spans="1:2" ht="15" customHeight="1" hidden="1">
      <c r="A97" s="266" t="s">
        <v>684</v>
      </c>
      <c r="B97" s="267"/>
    </row>
    <row r="98" spans="1:3" ht="15" customHeight="1" hidden="1">
      <c r="A98" s="266" t="s">
        <v>685</v>
      </c>
      <c r="B98" s="322" t="str">
        <f>IF('DAP4'!D55&lt;&gt;0,ZAKL_DATA!B19,"")</f>
        <v/>
      </c>
      <c r="C98" s="273" t="s">
        <v>3449</v>
      </c>
    </row>
    <row r="99" spans="1:2" ht="15" customHeight="1" hidden="1">
      <c r="A99" s="266" t="s">
        <v>686</v>
      </c>
      <c r="B99" s="267"/>
    </row>
    <row r="100" spans="1:23" ht="15" customHeight="1" hidden="1">
      <c r="A100" s="266" t="s">
        <v>687</v>
      </c>
      <c r="B100" s="322" t="str">
        <f>IF('DAP4'!D55&lt;&gt;0,ZAKL_DATA!B18,"")</f>
        <v/>
      </c>
      <c r="C100" s="273" t="s">
        <v>3449</v>
      </c>
      <c r="Q100" t="s">
        <v>642</v>
      </c>
      <c r="R100" s="266" t="s">
        <v>645</v>
      </c>
      <c r="S100" s="269" t="s">
        <v>646</v>
      </c>
      <c r="T100" s="269" t="s">
        <v>647</v>
      </c>
      <c r="U100" s="269" t="s">
        <v>648</v>
      </c>
      <c r="V100" s="269" t="s">
        <v>649</v>
      </c>
      <c r="W100" s="269" t="s">
        <v>650</v>
      </c>
    </row>
    <row r="101" spans="1:23" ht="15" customHeight="1" hidden="1">
      <c r="A101" s="266" t="s">
        <v>688</v>
      </c>
      <c r="B101" s="322" t="str">
        <f>IF('DAP4'!D55&lt;&gt;0,IF(ZAKL_DATA!B20&lt;&gt;"",VLOOKUP(ZAKL_DATA!B20,FU!J3:K253,2,FALSE),"CZ"),"")</f>
        <v/>
      </c>
      <c r="C101" s="273" t="s">
        <v>3449</v>
      </c>
      <c r="R101" s="322" t="str">
        <f>IF('2Př'!B24&lt;&gt;"",'2Př'!B24,"")</f>
        <v/>
      </c>
      <c r="S101" s="322" t="str">
        <f>IF('2Př'!J24&lt;&gt;"",'2Př'!J24,"")</f>
        <v/>
      </c>
      <c r="T101" s="322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5" customHeight="1" hidden="1">
      <c r="A102" s="266" t="s">
        <v>689</v>
      </c>
      <c r="B102" s="267"/>
      <c r="R102" s="267" t="str">
        <f>IF('2Př'!B25&lt;&gt;"",'2Př'!B25,"")</f>
        <v/>
      </c>
      <c r="S102" s="267" t="str">
        <f>IF('2Př'!J25&lt;&gt;"",'2Př'!J25,"")</f>
        <v/>
      </c>
      <c r="T102" s="267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5" customHeight="1" hidden="1">
      <c r="A103" s="266" t="s">
        <v>690</v>
      </c>
      <c r="B103" s="267"/>
      <c r="R103" s="267" t="str">
        <f>IF('2Př'!B26&lt;&gt;"",'2Př'!B26,"")</f>
        <v/>
      </c>
      <c r="S103" s="267" t="str">
        <f>IF('2Př'!J26&lt;&gt;"",'2Př'!J26,"")</f>
        <v/>
      </c>
      <c r="T103" s="267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5" customHeight="1" hidden="1">
      <c r="A104" s="266" t="s">
        <v>691</v>
      </c>
      <c r="B104" s="267" t="str">
        <f>IF('DAP4'!D55&lt;&gt;0,ZAKL_DATA!B16,"")</f>
        <v/>
      </c>
      <c r="C104" s="273" t="s">
        <v>3449</v>
      </c>
      <c r="R104" s="267" t="str">
        <f>IF('2Př'!B27&lt;&gt;"",'2Př'!B27,"")</f>
        <v/>
      </c>
      <c r="S104" s="267" t="str">
        <f>IF('2Př'!J27&lt;&gt;"",'2Př'!J27,"")</f>
        <v/>
      </c>
      <c r="T104" s="267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5" customHeight="1" hidden="1">
      <c r="A105" s="266" t="s">
        <v>692</v>
      </c>
      <c r="B105" s="322" t="str">
        <f>IF('DAP4'!D55&lt;&gt;0,IF('DAP4'!G57&lt;&gt;"","U","A"),"")</f>
        <v/>
      </c>
      <c r="C105" s="273" t="s">
        <v>3449</v>
      </c>
    </row>
    <row r="106" spans="1:20" ht="15" customHeight="1" hidden="1">
      <c r="A106" s="266" t="s">
        <v>693</v>
      </c>
      <c r="B106" s="322" t="str">
        <f>IF('DAP4'!D55&lt;&gt;0,IF(ISNUMBER(FIND("-",ZAKL_DATA!B32)),MID(ZAKL_DATA!B32,(FIND("-",ZAKL_DATA!B32,1))+1,LEN(ZAKL_DATA!B32)),ZAKL_DATA!B32),"")</f>
        <v/>
      </c>
      <c r="C106" s="273" t="s">
        <v>3449</v>
      </c>
      <c r="T106" s="273"/>
    </row>
    <row r="107" spans="1:3" ht="15" customHeight="1" hidden="1">
      <c r="A107" s="266" t="s">
        <v>694</v>
      </c>
      <c r="C107" s="273" t="s">
        <v>3449</v>
      </c>
    </row>
    <row r="108" spans="1:3" ht="15" customHeight="1" hidden="1">
      <c r="A108" s="266" t="s">
        <v>695</v>
      </c>
      <c r="B108" s="322" t="str">
        <f>IF('DAP4'!D55&lt;&gt;0,IF(ISNUMBER(FIND("/",ZAKL_DATA!B17)),MID(ZAKL_DATA!B17,(FIND("/",ZAKL_DATA!B17,1))+1,LEN(ZAKL_DATA!B17)),""),"")</f>
        <v/>
      </c>
      <c r="C108" s="273" t="s">
        <v>3449</v>
      </c>
    </row>
    <row r="109" spans="1:3" ht="15" customHeight="1" hidden="1">
      <c r="A109" s="266" t="s">
        <v>696</v>
      </c>
      <c r="B109" t="str">
        <f>IF('DAP4'!D55&lt;&gt;0,IF(ISNUMBER(FIND("/",ZAKL_DATA!B17)),LEFT(ZAKL_DATA!B17,(FIND("/",ZAKL_DATA!B17,1))-1),ZAKL_DATA!B17),"")</f>
        <v/>
      </c>
      <c r="C109" s="273" t="s">
        <v>3449</v>
      </c>
    </row>
    <row r="110" spans="1:20" ht="15" customHeight="1" hidden="1">
      <c r="A110" s="266" t="s">
        <v>697</v>
      </c>
      <c r="B110" s="322" t="str">
        <f>IF('DAP4'!D55&lt;&gt;0,ZAKL_DATA!B4,"")</f>
        <v/>
      </c>
      <c r="C110" s="273" t="s">
        <v>3449</v>
      </c>
      <c r="Q110" t="s">
        <v>644</v>
      </c>
      <c r="R110" s="266" t="s">
        <v>654</v>
      </c>
      <c r="S110" s="269" t="s">
        <v>655</v>
      </c>
      <c r="T110" s="269" t="s">
        <v>656</v>
      </c>
    </row>
    <row r="111" spans="1:20" ht="15" customHeight="1" hidden="1">
      <c r="A111" s="266" t="s">
        <v>698</v>
      </c>
      <c r="B111" t="str">
        <f>IF('DAP4'!D55&lt;&gt;0,ZAKL_DATA!B33,"")</f>
        <v/>
      </c>
      <c r="C111" s="273" t="s">
        <v>3449</v>
      </c>
      <c r="R111" s="267"/>
      <c r="T111" s="267"/>
    </row>
    <row r="112" spans="1:3" ht="15" customHeight="1" hidden="1">
      <c r="A112" s="266" t="s">
        <v>699</v>
      </c>
      <c r="B112" s="322" t="str">
        <f>IF('DAP4'!D55&lt;&gt;0,ZAKL_DATA!B34,"")</f>
        <v/>
      </c>
      <c r="C112" s="273" t="s">
        <v>3449</v>
      </c>
    </row>
    <row r="113" spans="1:20" ht="15" customHeight="1" hidden="1">
      <c r="A113" s="266" t="s">
        <v>700</v>
      </c>
      <c r="B113" s="322" t="str">
        <f>IF('DAP4'!D55&lt;&gt;0,ZAKL_DATA!B18,"")</f>
        <v/>
      </c>
      <c r="C113" s="273" t="s">
        <v>3449</v>
      </c>
      <c r="Q113" s="273" t="s">
        <v>3447</v>
      </c>
      <c r="R113" s="327" t="s">
        <v>3443</v>
      </c>
      <c r="S113" s="323"/>
      <c r="T113" s="323"/>
    </row>
    <row r="114" spans="1:3" ht="15" customHeight="1" hidden="1">
      <c r="A114" s="266" t="s">
        <v>701</v>
      </c>
      <c r="B114" t="str">
        <f>IF('DAP4'!D55&lt;&gt;0,IF(ISNUMBER(FIND("-",ZAKL_DATA!B32)),LEFT(ZAKL_DATA!B32,(FIND("-",ZAKL_DATA!B32,1))-1),""),"")</f>
        <v/>
      </c>
      <c r="C114" s="273" t="s">
        <v>3449</v>
      </c>
    </row>
    <row r="115" spans="1:3" ht="15" customHeight="1" hidden="1">
      <c r="A115" s="266" t="s">
        <v>702</v>
      </c>
      <c r="B115" s="322" t="str">
        <f>IF('DAP4'!D55&lt;&gt;0,ZAKL_DATA!B5,"")</f>
        <v/>
      </c>
      <c r="C115" s="273" t="s">
        <v>3449</v>
      </c>
    </row>
    <row r="116" spans="1:3" ht="15" customHeight="1" hidden="1">
      <c r="A116" s="266" t="s">
        <v>703</v>
      </c>
      <c r="B116" t="str">
        <f>IF('DAP4'!D55&lt;&gt;0,ZAKL_DATA!B19,"")</f>
        <v/>
      </c>
      <c r="C116" s="273" t="s">
        <v>3449</v>
      </c>
    </row>
    <row r="117" spans="1:3" ht="15" customHeight="1" hidden="1">
      <c r="A117" s="266" t="s">
        <v>704</v>
      </c>
      <c r="B117" s="322" t="str">
        <f>IF('DAP4'!D55&lt;&gt;0,'DAP4'!H58,"")</f>
        <v/>
      </c>
      <c r="C117" s="273" t="s">
        <v>3449</v>
      </c>
    </row>
    <row r="118" spans="1:3" ht="15" customHeight="1" hidden="1">
      <c r="A118" s="266" t="s">
        <v>705</v>
      </c>
      <c r="B118" s="322" t="str">
        <f>IF('DAP4'!D55&lt;&gt;0,ZAKL_DATA!B7,"")</f>
        <v/>
      </c>
      <c r="C118" s="273" t="s">
        <v>3449</v>
      </c>
    </row>
    <row r="119" spans="1:3" ht="15" customHeight="1" hidden="1">
      <c r="A119" s="266" t="s">
        <v>706</v>
      </c>
      <c r="B119" s="322" t="str">
        <f>IF('DAP4'!D55&lt;&gt;0,ZAKL_DATA!B16,"")</f>
        <v/>
      </c>
      <c r="C119" s="273" t="s">
        <v>3449</v>
      </c>
    </row>
    <row r="120" spans="17:28" ht="15" customHeight="1" hidden="1">
      <c r="Q120" t="s">
        <v>657</v>
      </c>
      <c r="R120" s="266" t="s">
        <v>659</v>
      </c>
      <c r="S120" s="269" t="s">
        <v>660</v>
      </c>
      <c r="T120" s="269" t="s">
        <v>661</v>
      </c>
      <c r="U120" s="269" t="s">
        <v>662</v>
      </c>
      <c r="V120" s="269" t="s">
        <v>663</v>
      </c>
      <c r="W120" s="269" t="s">
        <v>664</v>
      </c>
      <c r="X120" s="269" t="s">
        <v>665</v>
      </c>
      <c r="Y120" s="269" t="s">
        <v>666</v>
      </c>
      <c r="Z120" s="269" t="s">
        <v>667</v>
      </c>
      <c r="AA120" s="269" t="s">
        <v>668</v>
      </c>
      <c r="AB120" s="682" t="s">
        <v>3920</v>
      </c>
    </row>
    <row r="121" spans="18:28" ht="15" customHeight="1" hidden="1">
      <c r="R121" s="325">
        <f>'3Př_a'!F17</f>
        <v>0</v>
      </c>
      <c r="S121" s="324">
        <f>'3Př_a'!F14</f>
        <v>0</v>
      </c>
      <c r="T121" s="324">
        <f>'3Př_a'!F12</f>
        <v>0</v>
      </c>
      <c r="U121" s="324">
        <f>'3Př_a'!F13</f>
        <v>0</v>
      </c>
      <c r="V121" s="325">
        <f>'3Př_a'!F16</f>
        <v>0</v>
      </c>
      <c r="W121" s="324">
        <f>'3Př_a'!F12</f>
        <v>0</v>
      </c>
      <c r="X121" s="324">
        <f>'3Př_a'!F13</f>
        <v>0</v>
      </c>
      <c r="Y121" s="322" t="str">
        <f>IF('3Př_a'!C8&lt;&gt;"",'3Př_a'!C8,"")</f>
        <v/>
      </c>
      <c r="Z121">
        <f>'3Př_a'!F15*100</f>
        <v>0</v>
      </c>
      <c r="AA121" s="325">
        <f>'3Př_a'!F18</f>
        <v>0</v>
      </c>
      <c r="AB121" s="324">
        <f>'3Př_a'!F14</f>
        <v>0</v>
      </c>
    </row>
    <row r="123" spans="20:21" ht="15" customHeight="1" hidden="1">
      <c r="T123" s="327" t="s">
        <v>3444</v>
      </c>
      <c r="U123" s="323"/>
    </row>
    <row r="124" spans="20:20" ht="15" customHeight="1" hidden="1">
      <c r="T124" s="273" t="s">
        <v>3448</v>
      </c>
    </row>
    <row r="130" spans="17:22" ht="15" customHeight="1" hidden="1">
      <c r="Q130" t="s">
        <v>658</v>
      </c>
      <c r="R130" s="266" t="s">
        <v>669</v>
      </c>
      <c r="S130" s="269" t="s">
        <v>670</v>
      </c>
      <c r="T130" s="269" t="s">
        <v>671</v>
      </c>
      <c r="U130" s="269" t="s">
        <v>672</v>
      </c>
      <c r="V130" s="269" t="s">
        <v>673</v>
      </c>
    </row>
    <row r="131" spans="18:24" ht="15" customHeight="1" hidden="1">
      <c r="R131" s="322">
        <f>IF('6Př'!B12&lt;&gt;"",'6Př'!B12,"")</f>
        <v>2021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273" t="s">
        <v>3438</v>
      </c>
    </row>
    <row r="132" spans="18:22" ht="15" customHeight="1" hidden="1">
      <c r="R132" s="267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5" customHeight="1" hidden="1">
      <c r="R133" s="267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5" customHeight="1" hidden="1">
      <c r="R134" s="267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5" customHeight="1" hidden="1">
      <c r="R135" s="267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5" customHeight="1" hidden="1">
      <c r="R136" s="267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5" customHeight="1" hidden="1">
      <c r="R137" s="267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5" customHeight="1" hidden="1">
      <c r="R138" s="267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5" customHeight="1" hidden="1">
      <c r="R140" s="273" t="s">
        <v>3438</v>
      </c>
      <c r="S140" s="273" t="s">
        <v>3438</v>
      </c>
      <c r="T140" s="273" t="s">
        <v>3438</v>
      </c>
      <c r="U140" s="273" t="s">
        <v>3438</v>
      </c>
      <c r="V140" s="273" t="s">
        <v>3438</v>
      </c>
    </row>
    <row r="143" spans="17:55" ht="15" customHeight="1" hidden="1">
      <c r="Q143" t="s">
        <v>707</v>
      </c>
      <c r="R143" s="266" t="s">
        <v>709</v>
      </c>
      <c r="S143" s="269" t="s">
        <v>710</v>
      </c>
      <c r="T143" s="269" t="s">
        <v>711</v>
      </c>
      <c r="U143" s="269" t="s">
        <v>712</v>
      </c>
      <c r="V143" s="269" t="s">
        <v>713</v>
      </c>
      <c r="W143" s="266" t="s">
        <v>3584</v>
      </c>
      <c r="AL143" s="266"/>
      <c r="AM143" s="266"/>
      <c r="AN143" s="266"/>
      <c r="AO143" s="266"/>
      <c r="AP143" s="266"/>
      <c r="AQ143" s="266"/>
      <c r="AR143" s="266"/>
      <c r="AS143" s="266"/>
      <c r="AT143" s="266"/>
      <c r="AU143" s="266"/>
      <c r="AV143" s="266"/>
      <c r="AW143" s="266"/>
      <c r="AX143" s="266"/>
      <c r="AY143" s="266"/>
      <c r="AZ143" s="266"/>
      <c r="BA143" s="266"/>
      <c r="BB143" s="266"/>
      <c r="BC143" s="266"/>
    </row>
    <row r="144" spans="18:18" ht="15" customHeight="1" hidden="1">
      <c r="R144" s="324"/>
    </row>
    <row r="146" spans="18:22" ht="15" customHeight="1" hidden="1">
      <c r="R146" s="327" t="s">
        <v>3445</v>
      </c>
      <c r="S146" s="323"/>
      <c r="T146" s="323"/>
      <c r="U146" s="323"/>
      <c r="V146" s="323"/>
    </row>
    <row r="153" spans="17:22" ht="15" customHeight="1" hidden="1">
      <c r="Q153" t="s">
        <v>708</v>
      </c>
      <c r="R153" s="266" t="s">
        <v>714</v>
      </c>
      <c r="S153" s="269" t="s">
        <v>715</v>
      </c>
      <c r="T153" s="269" t="s">
        <v>716</v>
      </c>
      <c r="U153" s="269" t="s">
        <v>717</v>
      </c>
      <c r="V153" s="269" t="s">
        <v>718</v>
      </c>
    </row>
    <row r="154" spans="18:22" ht="15" customHeight="1" hidden="1">
      <c r="R154" t="str">
        <f>IF(Př_b!E10&lt;&gt;"",Př_b!E10,"")</f>
        <v/>
      </c>
      <c r="S154" s="322" t="str">
        <f>IF(AND(Př_b!B10&lt;&gt;"",Př_b!B10&lt;&gt;0),Př_b!B10,"")</f>
        <v/>
      </c>
      <c r="T154" s="322" t="str">
        <f>IF(AND(Př_b!C10&lt;&gt;"",Př_b!C10&lt;&gt;0),VLOOKUP(Př_b!C10,FU!$J$3:$K$253,2,FALSE),"")</f>
        <v/>
      </c>
      <c r="U154" t="str">
        <f>IF(Př_b!F10&lt;&gt;"",Př_b!F10,"")</f>
        <v/>
      </c>
      <c r="V154" s="273" t="str">
        <f>IF(Př_b!D10&lt;&gt;"",Př_b!D10,"")</f>
        <v/>
      </c>
    </row>
    <row r="155" spans="18:22" ht="15" customHeight="1" hidden="1">
      <c r="R155" t="str">
        <f>IF(Př_b!E11&lt;&gt;"",Př_b!E11,"")</f>
        <v/>
      </c>
      <c r="S155" s="267" t="str">
        <f>IF(AND(Př_b!B11&lt;&gt;"",Př_b!B11&lt;&gt;0),Př_b!B11,"")</f>
        <v/>
      </c>
      <c r="T155" s="267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5" customHeight="1" hidden="1">
      <c r="R156" t="str">
        <f>IF(Př_b!E12&lt;&gt;"",Př_b!E12,"")</f>
        <v/>
      </c>
      <c r="S156" s="267" t="str">
        <f>IF(AND(Př_b!B12&lt;&gt;"",Př_b!B12&lt;&gt;0),Př_b!B12,"")</f>
        <v/>
      </c>
      <c r="T156" s="267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5" customHeight="1" hidden="1">
      <c r="R157" t="str">
        <f>IF(Př_b!E13&lt;&gt;"",Př_b!E13,"")</f>
        <v/>
      </c>
      <c r="S157" s="267" t="str">
        <f>IF(AND(Př_b!B13&lt;&gt;"",Př_b!B13&lt;&gt;0),Př_b!B13,"")</f>
        <v/>
      </c>
      <c r="T157" s="267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5" customHeight="1" hidden="1">
      <c r="R158" t="str">
        <f>IF(Př_b!E14&lt;&gt;"",Př_b!E14,"")</f>
        <v/>
      </c>
      <c r="S158" s="267" t="str">
        <f>IF(AND(Př_b!B14&lt;&gt;"",Př_b!B14&lt;&gt;0),Př_b!B14,"")</f>
        <v/>
      </c>
      <c r="T158" s="267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5" customHeight="1" hidden="1">
      <c r="R159" t="str">
        <f>IF(Př_b!E15&lt;&gt;"",Př_b!E15,"")</f>
        <v/>
      </c>
      <c r="S159" s="267" t="str">
        <f>IF(AND(Př_b!B15&lt;&gt;"",Př_b!B15&lt;&gt;0),Př_b!B15,"")</f>
        <v/>
      </c>
      <c r="T159" s="267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5" customHeight="1" hidden="1">
      <c r="R160" t="str">
        <f>IF(Př_b!E16&lt;&gt;"",Př_b!E16,"")</f>
        <v/>
      </c>
      <c r="S160" s="267" t="str">
        <f>IF(AND(Př_b!B16&lt;&gt;"",Př_b!B16&lt;&gt;0),Př_b!B16,"")</f>
        <v/>
      </c>
      <c r="T160" s="267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5" customHeight="1" hidden="1">
      <c r="R161" t="str">
        <f>IF(Př_b!E17&lt;&gt;"",Př_b!E17,"")</f>
        <v/>
      </c>
      <c r="S161" s="267" t="str">
        <f>IF(AND(Př_b!B17&lt;&gt;"",Př_b!B17&lt;&gt;0),Př_b!B17,"")</f>
        <v/>
      </c>
      <c r="T161" s="267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5" customHeight="1" hidden="1">
      <c r="R162" t="str">
        <f>IF(Př_b!E18&lt;&gt;"",Př_b!E18,"")</f>
        <v/>
      </c>
      <c r="S162" s="267" t="str">
        <f>IF(AND(Př_b!B18&lt;&gt;"",Př_b!B18&lt;&gt;0),Př_b!B18,"")</f>
        <v/>
      </c>
      <c r="T162" s="267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5" customHeight="1" hidden="1">
      <c r="R163" t="str">
        <f>IF(Př_b!E19&lt;&gt;"",Př_b!E19,"")</f>
        <v/>
      </c>
      <c r="S163" s="267" t="str">
        <f>IF(AND(Př_b!B19&lt;&gt;"",Př_b!B19&lt;&gt;0),Př_b!B19,"")</f>
        <v/>
      </c>
      <c r="T163" s="267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5" customHeight="1" hidden="1">
      <c r="R164" t="str">
        <f>IF(Př_b!E20&lt;&gt;"",Př_b!E20,"")</f>
        <v/>
      </c>
      <c r="S164" s="267" t="str">
        <f>IF(AND(Př_b!B20&lt;&gt;"",Př_b!B20&lt;&gt;0),Př_b!B20,"")</f>
        <v/>
      </c>
      <c r="T164" s="267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5" customHeight="1" hidden="1">
      <c r="R165" t="str">
        <f>IF(Př_b!E21&lt;&gt;"",Př_b!E21,"")</f>
        <v/>
      </c>
      <c r="S165" s="267" t="str">
        <f>IF(AND(Př_b!B21&lt;&gt;"",Př_b!B21&lt;&gt;0),Př_b!B21,"")</f>
        <v/>
      </c>
      <c r="T165" s="267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5" customHeight="1" hidden="1">
      <c r="R166" t="str">
        <f>IF(Př_b!E22&lt;&gt;"",Př_b!E22,"")</f>
        <v/>
      </c>
      <c r="S166" s="267" t="str">
        <f>IF(AND(Př_b!B22&lt;&gt;"",Př_b!B22&lt;&gt;0),Př_b!B22,"")</f>
        <v/>
      </c>
      <c r="T166" s="267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5" customHeight="1" hidden="1">
      <c r="R167" t="str">
        <f>IF(Př_b!E23&lt;&gt;"",Př_b!E23,"")</f>
        <v/>
      </c>
      <c r="S167" s="267" t="str">
        <f>IF(AND(Př_b!B23&lt;&gt;"",Př_b!B23&lt;&gt;0),Př_b!B23,"")</f>
        <v/>
      </c>
      <c r="T167" s="267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5" customHeight="1" hidden="1">
      <c r="R168" t="str">
        <f>IF(Př_b!E24&lt;&gt;"",Př_b!E24,"")</f>
        <v/>
      </c>
      <c r="S168" s="267" t="str">
        <f>IF(AND(Př_b!B24&lt;&gt;"",Př_b!B24&lt;&gt;0),Př_b!B24,"")</f>
        <v/>
      </c>
      <c r="T168" s="267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5" customHeight="1" hidden="1">
      <c r="R169" t="str">
        <f>IF(Př_b!E25&lt;&gt;"",Př_b!E25,"")</f>
        <v/>
      </c>
      <c r="S169" s="267" t="str">
        <f>IF(AND(Př_b!B25&lt;&gt;"",Př_b!B25&lt;&gt;0),Př_b!B25,"")</f>
        <v/>
      </c>
      <c r="T169" s="267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5" customHeight="1" hidden="1">
      <c r="R171" s="273" t="s">
        <v>3438</v>
      </c>
      <c r="S171" s="273" t="s">
        <v>3438</v>
      </c>
      <c r="T171" s="273" t="s">
        <v>3438</v>
      </c>
      <c r="U171" s="273" t="s">
        <v>3438</v>
      </c>
      <c r="V171" s="273" t="s">
        <v>3438</v>
      </c>
    </row>
    <row r="176" spans="28:28" ht="15" customHeight="1" hidden="1">
      <c r="AB176">
        <v>1</v>
      </c>
    </row>
    <row r="177" spans="17:55" ht="15" customHeight="1" hidden="1">
      <c r="Q177" t="s">
        <v>719</v>
      </c>
      <c r="R177" s="266" t="s">
        <v>721</v>
      </c>
      <c r="S177" s="269" t="s">
        <v>722</v>
      </c>
      <c r="T177" s="269" t="s">
        <v>723</v>
      </c>
      <c r="U177" s="269" t="s">
        <v>724</v>
      </c>
      <c r="V177" s="269" t="s">
        <v>725</v>
      </c>
      <c r="W177" s="269" t="s">
        <v>726</v>
      </c>
      <c r="Y177" s="273" t="s">
        <v>3706</v>
      </c>
      <c r="Z177" s="273" t="s">
        <v>3707</v>
      </c>
      <c r="AA177" s="273" t="s">
        <v>3708</v>
      </c>
      <c r="AB177" s="266" t="s">
        <v>721</v>
      </c>
      <c r="AC177" s="269" t="s">
        <v>722</v>
      </c>
      <c r="AD177" s="269" t="s">
        <v>727</v>
      </c>
      <c r="AE177" s="269" t="s">
        <v>728</v>
      </c>
      <c r="AI177" t="s">
        <v>720</v>
      </c>
      <c r="AJ177" s="266" t="s">
        <v>721</v>
      </c>
      <c r="AK177" s="269" t="s">
        <v>722</v>
      </c>
      <c r="AL177" s="269" t="s">
        <v>727</v>
      </c>
      <c r="AM177" s="269" t="s">
        <v>728</v>
      </c>
      <c r="AP177" t="s">
        <v>729</v>
      </c>
      <c r="AQ177" s="266" t="s">
        <v>721</v>
      </c>
      <c r="AR177" s="269" t="s">
        <v>722</v>
      </c>
      <c r="AS177" s="269" t="s">
        <v>727</v>
      </c>
      <c r="AT177" s="269" t="s">
        <v>728</v>
      </c>
      <c r="AV177" s="273" t="s">
        <v>3706</v>
      </c>
      <c r="AW177" s="273" t="s">
        <v>3707</v>
      </c>
      <c r="AX177" s="273" t="s">
        <v>3708</v>
      </c>
      <c r="AY177" t="s">
        <v>730</v>
      </c>
      <c r="AZ177" s="266" t="s">
        <v>721</v>
      </c>
      <c r="BA177" s="269" t="s">
        <v>722</v>
      </c>
      <c r="BB177" s="269" t="s">
        <v>727</v>
      </c>
      <c r="BC177" s="269" t="s">
        <v>728</v>
      </c>
    </row>
    <row r="178" spans="17:51" ht="15" customHeight="1" hidden="1">
      <c r="Q178">
        <v>1</v>
      </c>
      <c r="R178">
        <f t="shared" si="1" ref="R178:R209">$Q$178</f>
        <v>1</v>
      </c>
      <c r="S178" s="326">
        <f>IF($B$38="P",Y178,IF($B$38="Z",IF(Z178&lt;&gt;"",Z178,""),IF($B$38="M",IF(AA178&lt;&gt;"",AA178,""),Y178)))</f>
        <v>1</v>
      </c>
      <c r="T178" s="424" t="str">
        <f>IF(Účetní_závěrka!D12&lt;&gt;"",Účetní_závěrka!D12,"")</f>
        <v/>
      </c>
      <c r="U178" s="424" t="str">
        <f>IF(Účetní_závěrka!E12&lt;&gt;"",ABS(Účetní_závěrka!E12),"")</f>
        <v/>
      </c>
      <c r="V178" s="424" t="str">
        <f>IF(Účetní_závěrka!F12&lt;&gt;"",Účetní_závěrka!F12,"")</f>
        <v/>
      </c>
      <c r="W178" s="424" t="str">
        <f>IF(Účetní_závěrka!G12&lt;&gt;"",Účetní_závěrka!G12,"")</f>
        <v/>
      </c>
      <c r="Y178">
        <v>1</v>
      </c>
      <c r="Z178">
        <v>1</v>
      </c>
      <c r="AA178">
        <v>1</v>
      </c>
      <c r="AB178">
        <f t="shared" si="2" ref="AB178:AB209">$AB$176</f>
        <v>1</v>
      </c>
      <c r="AC178" s="326">
        <f t="shared" si="3" ref="AC178:AC209">IF($B$38="P",AG178,IF(AH178&lt;&gt;"",AH178,""))</f>
        <v>1</v>
      </c>
      <c r="AD178" s="424" t="str">
        <f>IF(Účetní_závěrka!E96&lt;&gt;"",Účetní_závěrka!E96,"")</f>
        <v/>
      </c>
      <c r="AE178" s="424" t="str">
        <f>IF(Účetní_závěrka!D96&lt;&gt;"",Účetní_závěrka!D96,"")</f>
        <v/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326">
        <f t="shared" si="5" ref="AR178:AR241">IF($B$38="P",AV178,IF($B$38="Z",IF(AW178&lt;&gt;"",AW178,""),IF($B$38="M",IF(AX178&lt;&gt;"",AX178,""),AV178)))</f>
        <v>1</v>
      </c>
      <c r="AS178" s="424" t="str">
        <f>IF(Účetní_závěrka!L12&lt;&gt;"",Účetní_závěrka!L12,"")</f>
        <v/>
      </c>
      <c r="AT178" s="424" t="str">
        <f>IF(Účetní_závěrka!K12&lt;&gt;"",Účetní_závěrka!K12,"")</f>
        <v/>
      </c>
      <c r="AV178">
        <v>1</v>
      </c>
      <c r="AW178">
        <v>1</v>
      </c>
      <c r="AX178">
        <v>1</v>
      </c>
      <c r="AY178">
        <v>1</v>
      </c>
    </row>
    <row r="179" spans="18:50" ht="15" customHeight="1" hidden="1">
      <c r="R179">
        <f t="shared" si="1"/>
        <v>1</v>
      </c>
      <c r="S179" s="326">
        <f t="shared" si="6" ref="S179:S241">IF($B$38="P",Y179,IF($B$38="Z",IF(Z179&lt;&gt;"",Z179,""),IF($B$38="M",IF(AA179&lt;&gt;"",AA179,""),Y179)))</f>
        <v>2</v>
      </c>
      <c r="T179" s="424" t="str">
        <f>IF(Účetní_závěrka!D13&lt;&gt;"",Účetní_závěrka!D13,"")</f>
        <v/>
      </c>
      <c r="U179" s="424" t="str">
        <f>IF(Účetní_závěrka!E13&lt;&gt;"",ABS(Účetní_závěrka!E13),"")</f>
        <v/>
      </c>
      <c r="V179" s="424" t="str">
        <f>IF(Účetní_závěrka!F13&lt;&gt;"",Účetní_závěrka!F13,"")</f>
        <v/>
      </c>
      <c r="W179" s="424" t="str">
        <f>IF(Účetní_závěrka!G13&lt;&gt;"",Účetní_závěrka!G13,"")</f>
        <v/>
      </c>
      <c r="Y179">
        <v>2</v>
      </c>
      <c r="Z179">
        <v>2</v>
      </c>
      <c r="AA179">
        <v>2</v>
      </c>
      <c r="AB179">
        <f t="shared" si="2"/>
        <v>1</v>
      </c>
      <c r="AC179" s="326">
        <f t="shared" si="3"/>
        <v>2</v>
      </c>
      <c r="AD179" s="424" t="str">
        <f>IF(Účetní_závěrka!E97&lt;&gt;"",Účetní_závěrka!E97,"")</f>
        <v/>
      </c>
      <c r="AE179" s="424" t="str">
        <f>IF(Účetní_závěrka!D97&lt;&gt;"",Účetní_závěrka!D97,"")</f>
        <v/>
      </c>
      <c r="AG179">
        <v>2</v>
      </c>
      <c r="AH179">
        <v>2</v>
      </c>
      <c r="AQ179">
        <f t="shared" si="4"/>
        <v>1</v>
      </c>
      <c r="AR179" s="326">
        <f t="shared" si="5"/>
        <v>2</v>
      </c>
      <c r="AS179" s="424" t="str">
        <f>IF(Účetní_závěrka!L13&lt;&gt;"",Účetní_závěrka!L13,"")</f>
        <v/>
      </c>
      <c r="AT179" s="424" t="str">
        <f>IF(Účetní_závěrka!K13&lt;&gt;"",Účetní_závěrka!K13,"")</f>
        <v/>
      </c>
      <c r="AV179">
        <v>2</v>
      </c>
      <c r="AW179">
        <v>2</v>
      </c>
      <c r="AX179">
        <v>2</v>
      </c>
    </row>
    <row r="180" spans="18:50" ht="15" customHeight="1" hidden="1">
      <c r="R180" s="273">
        <f t="shared" si="1"/>
        <v>1</v>
      </c>
      <c r="S180" s="326">
        <f t="shared" si="6"/>
        <v>3</v>
      </c>
      <c r="T180" s="424" t="str">
        <f>IF(Účetní_závěrka!D14&lt;&gt;"",Účetní_závěrka!D14,"")</f>
        <v/>
      </c>
      <c r="U180" s="424" t="str">
        <f>IF(Účetní_závěrka!E14&lt;&gt;"",ABS(Účetní_závěrka!E14),"")</f>
        <v/>
      </c>
      <c r="V180" s="424" t="str">
        <f>IF(Účetní_závěrka!F14&lt;&gt;"",Účetní_závěrka!F14,"")</f>
        <v/>
      </c>
      <c r="W180" s="424" t="str">
        <f>IF(Účetní_závěrka!G14&lt;&gt;"",Účetní_závěrka!G14,"")</f>
        <v/>
      </c>
      <c r="Y180">
        <v>3</v>
      </c>
      <c r="Z180">
        <v>3</v>
      </c>
      <c r="AA180">
        <v>3</v>
      </c>
      <c r="AB180">
        <f t="shared" si="2"/>
        <v>1</v>
      </c>
      <c r="AC180" s="326">
        <f t="shared" si="3"/>
        <v>3</v>
      </c>
      <c r="AD180" s="424" t="str">
        <f>IF(Účetní_závěrka!E98&lt;&gt;"",Účetní_závěrka!E98,"")</f>
        <v/>
      </c>
      <c r="AE180" s="424" t="str">
        <f>IF(Účetní_závěrka!D98&lt;&gt;"",Účetní_závěrka!D98,"")</f>
        <v/>
      </c>
      <c r="AG180">
        <v>3</v>
      </c>
      <c r="AH180">
        <v>3</v>
      </c>
      <c r="AQ180">
        <f t="shared" si="4"/>
        <v>1</v>
      </c>
      <c r="AR180" s="326">
        <f t="shared" si="5"/>
        <v>3</v>
      </c>
      <c r="AS180" s="424" t="str">
        <f>IF(Účetní_závěrka!L14&lt;&gt;"",Účetní_závěrka!L14,"")</f>
        <v/>
      </c>
      <c r="AT180" s="424" t="str">
        <f>IF(Účetní_závěrka!K14&lt;&gt;"",Účetní_závěrka!K14,"")</f>
        <v/>
      </c>
      <c r="AV180">
        <v>3</v>
      </c>
      <c r="AW180">
        <v>3</v>
      </c>
      <c r="AX180">
        <v>24</v>
      </c>
    </row>
    <row r="181" spans="18:50" ht="15" customHeight="1" hidden="1">
      <c r="R181">
        <f t="shared" si="1"/>
        <v>1</v>
      </c>
      <c r="S181" s="326">
        <f t="shared" si="6"/>
        <v>4</v>
      </c>
      <c r="T181" s="424" t="str">
        <f>IF(Účetní_závěrka!D15&lt;&gt;"",Účetní_závěrka!D15,"")</f>
        <v/>
      </c>
      <c r="U181" s="424" t="str">
        <f>IF(Účetní_závěrka!E15&lt;&gt;"",ABS(Účetní_závěrka!E15),"")</f>
        <v/>
      </c>
      <c r="V181" s="424" t="str">
        <f>IF(Účetní_závěrka!F15&lt;&gt;"",Účetní_závěrka!F15,"")</f>
        <v/>
      </c>
      <c r="W181" s="424" t="str">
        <f>IF(Účetní_závěrka!G15&lt;&gt;"",Účetní_závěrka!G15,"")</f>
        <v/>
      </c>
      <c r="Y181">
        <v>4</v>
      </c>
      <c r="Z181">
        <v>4</v>
      </c>
      <c r="AA181">
        <v>37</v>
      </c>
      <c r="AB181">
        <f t="shared" si="2"/>
        <v>1</v>
      </c>
      <c r="AC181" s="326">
        <f t="shared" si="3"/>
        <v>7</v>
      </c>
      <c r="AD181" s="424" t="str">
        <f>IF(Účetní_závěrka!E99&lt;&gt;"",Účetní_závěrka!E99,"")</f>
        <v/>
      </c>
      <c r="AE181" s="424" t="str">
        <f>IF(Účetní_závěrka!D99&lt;&gt;"",Účetní_závěrka!D99,"")</f>
        <v/>
      </c>
      <c r="AG181">
        <v>4</v>
      </c>
      <c r="AH181">
        <v>7</v>
      </c>
      <c r="AQ181">
        <f t="shared" si="4"/>
        <v>1</v>
      </c>
      <c r="AR181" s="326">
        <f t="shared" si="5"/>
        <v>4</v>
      </c>
      <c r="AS181" s="424" t="str">
        <f>IF(Účetní_závěrka!L15&lt;&gt;"",Účetní_závěrka!L15,"")</f>
        <v/>
      </c>
      <c r="AT181" s="424" t="str">
        <f>IF(Účetní_závěrka!K15&lt;&gt;"",Účetní_závěrka!K15,"")</f>
        <v/>
      </c>
      <c r="AV181">
        <v>4</v>
      </c>
      <c r="AW181">
        <v>7</v>
      </c>
      <c r="AX181">
        <v>25</v>
      </c>
    </row>
    <row r="182" spans="18:50" ht="15" customHeight="1" hidden="1">
      <c r="R182">
        <f t="shared" si="1"/>
        <v>1</v>
      </c>
      <c r="S182" s="326">
        <f t="shared" si="6"/>
        <v>5</v>
      </c>
      <c r="T182" s="424" t="str">
        <f>IF(Účetní_závěrka!D16&lt;&gt;"",Účetní_závěrka!D16,"")</f>
        <v/>
      </c>
      <c r="U182" s="424" t="str">
        <f>IF(Účetní_závěrka!E16&lt;&gt;"",ABS(Účetní_závěrka!E16),"")</f>
        <v/>
      </c>
      <c r="V182" s="424" t="str">
        <f>IF(Účetní_závěrka!F16&lt;&gt;"",Účetní_závěrka!F16,"")</f>
        <v/>
      </c>
      <c r="W182" s="424" t="str">
        <f>IF(Účetní_závěrka!G16&lt;&gt;"",Účetní_závěrka!G16,"")</f>
        <v/>
      </c>
      <c r="Y182">
        <v>5</v>
      </c>
      <c r="Z182">
        <v>14</v>
      </c>
      <c r="AA182">
        <v>74</v>
      </c>
      <c r="AB182">
        <f t="shared" si="2"/>
        <v>1</v>
      </c>
      <c r="AC182" s="526">
        <f t="shared" si="3"/>
        <v>8</v>
      </c>
      <c r="AD182" s="424" t="str">
        <f>IF(Účetní_závěrka!E100&lt;&gt;"",Účetní_závěrka!E100,"")</f>
        <v/>
      </c>
      <c r="AE182" s="424" t="str">
        <f>IF(Účetní_závěrka!D100&lt;&gt;"",Účetní_závěrka!D100,"")</f>
        <v/>
      </c>
      <c r="AG182">
        <v>5</v>
      </c>
      <c r="AH182">
        <v>8</v>
      </c>
      <c r="AQ182">
        <f t="shared" si="4"/>
        <v>1</v>
      </c>
      <c r="AR182" s="326">
        <f t="shared" si="5"/>
        <v>5</v>
      </c>
      <c r="AS182" s="424" t="str">
        <f>IF(Účetní_závěrka!L16&lt;&gt;"",Účetní_závěrka!L16,"")</f>
        <v/>
      </c>
      <c r="AT182" s="424" t="str">
        <f>IF(Účetní_závěrka!K16&lt;&gt;"",Účetní_závěrka!K16,"")</f>
        <v/>
      </c>
      <c r="AV182">
        <v>5</v>
      </c>
      <c r="AW182">
        <v>15</v>
      </c>
      <c r="AX182">
        <v>30</v>
      </c>
    </row>
    <row r="183" spans="18:50" ht="15" customHeight="1" hidden="1">
      <c r="R183">
        <f t="shared" si="1"/>
        <v>1</v>
      </c>
      <c r="S183" s="326">
        <f t="shared" si="6"/>
        <v>6</v>
      </c>
      <c r="T183" s="424" t="str">
        <f>IF(Účetní_závěrka!D17&lt;&gt;"",Účetní_závěrka!D17,"")</f>
        <v/>
      </c>
      <c r="U183" s="424" t="str">
        <f>IF(Účetní_závěrka!E17&lt;&gt;"",ABS(Účetní_závěrka!E17),"")</f>
        <v/>
      </c>
      <c r="V183" s="424" t="str">
        <f>IF(Účetní_závěrka!F17&lt;&gt;"",Účetní_závěrka!F17,"")</f>
        <v/>
      </c>
      <c r="W183" s="424" t="str">
        <f>IF(Účetní_závěrka!G17&lt;&gt;"",Účetní_závěrka!G17,"")</f>
        <v/>
      </c>
      <c r="Y183">
        <v>6</v>
      </c>
      <c r="Z183">
        <v>27</v>
      </c>
      <c r="AB183">
        <f t="shared" si="2"/>
        <v>1</v>
      </c>
      <c r="AC183" s="526">
        <f t="shared" si="3"/>
        <v>9</v>
      </c>
      <c r="AD183" s="424" t="str">
        <f>IF(Účetní_závěrka!E101&lt;&gt;"",Účetní_závěrka!E101,"")</f>
        <v/>
      </c>
      <c r="AE183" s="424" t="str">
        <f>IF(Účetní_závěrka!D101&lt;&gt;"",Účetní_závěrka!D101,"")</f>
        <v/>
      </c>
      <c r="AG183">
        <v>6</v>
      </c>
      <c r="AH183">
        <v>9</v>
      </c>
      <c r="AQ183">
        <f t="shared" si="4"/>
        <v>1</v>
      </c>
      <c r="AR183" s="326">
        <f t="shared" si="5"/>
        <v>6</v>
      </c>
      <c r="AS183" s="424" t="str">
        <f>IF(Účetní_závěrka!L17&lt;&gt;"",Účetní_závěrka!L17,"")</f>
        <v/>
      </c>
      <c r="AT183" s="424" t="str">
        <f>IF(Účetní_závěrka!K17&lt;&gt;"",Účetní_závěrka!K17,"")</f>
        <v/>
      </c>
      <c r="AV183">
        <v>6</v>
      </c>
      <c r="AW183">
        <v>18</v>
      </c>
      <c r="AX183">
        <v>64</v>
      </c>
    </row>
    <row r="184" spans="18:49" ht="15" customHeight="1" hidden="1">
      <c r="R184">
        <f t="shared" si="1"/>
        <v>1</v>
      </c>
      <c r="S184" s="326">
        <f t="shared" si="6"/>
        <v>7</v>
      </c>
      <c r="T184" s="424" t="str">
        <f>IF(Účetní_závěrka!D18&lt;&gt;"",Účetní_závěrka!D18,"")</f>
        <v/>
      </c>
      <c r="U184" s="424" t="str">
        <f>IF(Účetní_závěrka!E18&lt;&gt;"",ABS(Účetní_závěrka!E18),"")</f>
        <v/>
      </c>
      <c r="V184" s="424" t="str">
        <f>IF(Účetní_závěrka!F18&lt;&gt;"",Účetní_závěrka!F18,"")</f>
        <v/>
      </c>
      <c r="W184" s="424" t="str">
        <f>IF(Účetní_závěrka!G18&lt;&gt;"",Účetní_závěrka!G18,"")</f>
        <v/>
      </c>
      <c r="Y184">
        <v>7</v>
      </c>
      <c r="Z184">
        <v>37</v>
      </c>
      <c r="AB184">
        <f t="shared" si="2"/>
        <v>1</v>
      </c>
      <c r="AC184" s="526">
        <f t="shared" si="3"/>
        <v>14</v>
      </c>
      <c r="AD184" s="424" t="str">
        <f>IF(Účetní_závěrka!E102&lt;&gt;"",Účetní_závěrka!E102,"")</f>
        <v/>
      </c>
      <c r="AE184" s="424" t="str">
        <f>IF(Účetní_závěrka!D102&lt;&gt;"",Účetní_závěrka!D102,"")</f>
        <v/>
      </c>
      <c r="AG184">
        <v>7</v>
      </c>
      <c r="AH184">
        <v>14</v>
      </c>
      <c r="AQ184">
        <f t="shared" si="4"/>
        <v>1</v>
      </c>
      <c r="AR184" s="326">
        <f t="shared" si="5"/>
        <v>7</v>
      </c>
      <c r="AS184" s="424" t="str">
        <f>IF(Účetní_závěrka!L18&lt;&gt;"",Účetní_závěrka!L18,"")</f>
        <v/>
      </c>
      <c r="AT184" s="424" t="str">
        <f>IF(Účetní_závěrka!K18&lt;&gt;"",Účetní_závěrka!K18,"")</f>
        <v/>
      </c>
      <c r="AV184">
        <v>7</v>
      </c>
      <c r="AW184">
        <v>22</v>
      </c>
    </row>
    <row r="185" spans="18:49" ht="15" customHeight="1" hidden="1">
      <c r="R185">
        <f t="shared" si="1"/>
        <v>1</v>
      </c>
      <c r="S185" s="326">
        <f t="shared" si="6"/>
        <v>8</v>
      </c>
      <c r="T185" s="424" t="str">
        <f>IF(Účetní_závěrka!D19&lt;&gt;"",Účetní_závěrka!D19,"")</f>
        <v/>
      </c>
      <c r="U185" s="424" t="str">
        <f>IF(Účetní_závěrka!E19&lt;&gt;"",ABS(Účetní_závěrka!E19),"")</f>
        <v/>
      </c>
      <c r="V185" s="424" t="str">
        <f>IF(Účetní_závěrka!F19&lt;&gt;"",Účetní_závěrka!F19,"")</f>
        <v/>
      </c>
      <c r="W185" s="424" t="str">
        <f>IF(Účetní_závěrka!G19&lt;&gt;"",Účetní_závěrka!G19,"")</f>
        <v/>
      </c>
      <c r="Y185">
        <v>8</v>
      </c>
      <c r="Z185">
        <v>38</v>
      </c>
      <c r="AB185">
        <f t="shared" si="2"/>
        <v>1</v>
      </c>
      <c r="AC185" s="526">
        <f t="shared" si="3"/>
        <v>20</v>
      </c>
      <c r="AD185" s="424" t="str">
        <f>IF(Účetní_závěrka!E103&lt;&gt;"",Účetní_závěrka!E103,"")</f>
        <v/>
      </c>
      <c r="AE185" s="424" t="str">
        <f>IF(Účetní_závěrka!D103&lt;&gt;"",Účetní_závěrka!D103,"")</f>
        <v/>
      </c>
      <c r="AG185">
        <v>8</v>
      </c>
      <c r="AH185">
        <v>20</v>
      </c>
      <c r="AQ185">
        <f t="shared" si="4"/>
        <v>1</v>
      </c>
      <c r="AR185" s="326">
        <f t="shared" si="5"/>
        <v>8</v>
      </c>
      <c r="AS185" s="424" t="str">
        <f>IF(Účetní_závěrka!L19&lt;&gt;"",Účetní_závěrka!L19,"")</f>
        <v/>
      </c>
      <c r="AT185" s="424" t="str">
        <f>IF(Účetní_závěrka!K19&lt;&gt;"",Účetní_závěrka!K19,"")</f>
        <v/>
      </c>
      <c r="AV185">
        <v>8</v>
      </c>
      <c r="AW185">
        <v>23</v>
      </c>
    </row>
    <row r="186" spans="18:49" ht="15" customHeight="1" hidden="1">
      <c r="R186">
        <f t="shared" si="1"/>
        <v>1</v>
      </c>
      <c r="S186" s="326">
        <f t="shared" si="6"/>
        <v>9</v>
      </c>
      <c r="T186" s="424" t="str">
        <f>IF(Účetní_závěrka!D20&lt;&gt;"",Účetní_závěrka!D20,"")</f>
        <v/>
      </c>
      <c r="U186" s="424" t="str">
        <f>IF(Účetní_závěrka!E20&lt;&gt;"",ABS(Účetní_závěrka!E20),"")</f>
        <v/>
      </c>
      <c r="V186" s="424" t="str">
        <f>IF(Účetní_závěrka!F20&lt;&gt;"",Účetní_závěrka!F20,"")</f>
        <v/>
      </c>
      <c r="W186" s="424" t="str">
        <f>IF(Účetní_závěrka!G20&lt;&gt;"",Účetní_závěrka!G20,"")</f>
        <v/>
      </c>
      <c r="Y186">
        <v>9</v>
      </c>
      <c r="Z186">
        <v>46</v>
      </c>
      <c r="AB186">
        <f t="shared" si="2"/>
        <v>1</v>
      </c>
      <c r="AC186" s="526">
        <f t="shared" si="3"/>
        <v>24</v>
      </c>
      <c r="AD186" s="424" t="str">
        <f>IF(Účetní_závěrka!E104&lt;&gt;"",Účetní_závěrka!E104,"")</f>
        <v/>
      </c>
      <c r="AE186" s="424" t="str">
        <f>IF(Účetní_závěrka!D104&lt;&gt;"",Účetní_závěrka!D104,"")</f>
        <v/>
      </c>
      <c r="AG186">
        <v>9</v>
      </c>
      <c r="AH186">
        <v>24</v>
      </c>
      <c r="AQ186">
        <f t="shared" si="4"/>
        <v>1</v>
      </c>
      <c r="AR186" s="326">
        <f t="shared" si="5"/>
        <v>9</v>
      </c>
      <c r="AS186" s="424" t="str">
        <f>IF(Účetní_závěrka!L20&lt;&gt;"",Účetní_závěrka!L20,"")</f>
        <v/>
      </c>
      <c r="AT186" s="424" t="str">
        <f>IF(Účetní_závěrka!K20&lt;&gt;"",Účetní_závěrka!K20,"")</f>
        <v/>
      </c>
      <c r="AV186">
        <v>9</v>
      </c>
      <c r="AW186">
        <v>24</v>
      </c>
    </row>
    <row r="187" spans="18:49" ht="15" customHeight="1" hidden="1">
      <c r="R187">
        <f t="shared" si="1"/>
        <v>1</v>
      </c>
      <c r="S187" s="326">
        <f t="shared" si="6"/>
        <v>10</v>
      </c>
      <c r="T187" s="424" t="str">
        <f>IF(Účetní_závěrka!D21&lt;&gt;"",Účetní_závěrka!D21,"")</f>
        <v/>
      </c>
      <c r="U187" s="424" t="str">
        <f>IF(Účetní_závěrka!E21&lt;&gt;"",ABS(Účetní_závěrka!E21),"")</f>
        <v/>
      </c>
      <c r="V187" s="424" t="str">
        <f>IF(Účetní_závěrka!F21&lt;&gt;"",Účetní_závěrka!F21,"")</f>
        <v/>
      </c>
      <c r="W187" s="424" t="str">
        <f>IF(Účetní_závěrka!G21&lt;&gt;"",Účetní_závěrka!G21,"")</f>
        <v/>
      </c>
      <c r="Y187">
        <v>10</v>
      </c>
      <c r="Z187">
        <v>47</v>
      </c>
      <c r="AB187">
        <f t="shared" si="2"/>
        <v>1</v>
      </c>
      <c r="AC187" s="526">
        <f t="shared" si="3"/>
        <v>30</v>
      </c>
      <c r="AD187" s="424" t="str">
        <f>IF(Účetní_závěrka!E105&lt;&gt;"",Účetní_závěrka!E105,"")</f>
        <v/>
      </c>
      <c r="AE187" s="424" t="str">
        <f>IF(Účetní_závěrka!D105&lt;&gt;"",Účetní_závěrka!D105,"")</f>
        <v/>
      </c>
      <c r="AG187">
        <v>10</v>
      </c>
      <c r="AH187">
        <v>30</v>
      </c>
      <c r="AQ187">
        <f t="shared" si="4"/>
        <v>1</v>
      </c>
      <c r="AR187" s="326">
        <f t="shared" si="5"/>
        <v>10</v>
      </c>
      <c r="AS187" s="424" t="str">
        <f>IF(Účetní_závěrka!L21&lt;&gt;"",Účetní_závěrka!L21,"")</f>
        <v/>
      </c>
      <c r="AT187" s="424" t="str">
        <f>IF(Účetní_závěrka!K21&lt;&gt;"",Účetní_závěrka!K21,"")</f>
        <v/>
      </c>
      <c r="AV187">
        <v>10</v>
      </c>
      <c r="AW187">
        <v>25</v>
      </c>
    </row>
    <row r="188" spans="18:49" ht="15" customHeight="1" hidden="1">
      <c r="R188">
        <f t="shared" si="1"/>
        <v>1</v>
      </c>
      <c r="S188" s="326">
        <f t="shared" si="6"/>
        <v>11</v>
      </c>
      <c r="T188" s="424" t="str">
        <f>IF(Účetní_závěrka!D22&lt;&gt;"",Účetní_závěrka!D22,"")</f>
        <v/>
      </c>
      <c r="U188" s="424" t="str">
        <f>IF(Účetní_závěrka!E22&lt;&gt;"",ABS(Účetní_závěrka!E22),"")</f>
        <v/>
      </c>
      <c r="V188" s="424" t="str">
        <f>IF(Účetní_závěrka!F22&lt;&gt;"",Účetní_závěrka!F22,"")</f>
        <v/>
      </c>
      <c r="W188" s="424" t="str">
        <f>IF(Účetní_závěrka!G22&lt;&gt;"",Účetní_závěrka!G22,"")</f>
        <v/>
      </c>
      <c r="Y188">
        <v>11</v>
      </c>
      <c r="Z188">
        <v>57</v>
      </c>
      <c r="AB188">
        <f t="shared" si="2"/>
        <v>1</v>
      </c>
      <c r="AC188" s="526">
        <f t="shared" si="3"/>
        <v>31</v>
      </c>
      <c r="AD188" s="424" t="str">
        <f>IF(Účetní_závěrka!E106&lt;&gt;"",Účetní_závěrka!E106,"")</f>
        <v/>
      </c>
      <c r="AE188" s="424" t="str">
        <f>IF(Účetní_závěrka!D106&lt;&gt;"",Účetní_závěrka!D106,"")</f>
        <v/>
      </c>
      <c r="AG188">
        <v>11</v>
      </c>
      <c r="AH188">
        <v>31</v>
      </c>
      <c r="AQ188">
        <f t="shared" si="4"/>
        <v>1</v>
      </c>
      <c r="AR188" s="326">
        <f t="shared" si="5"/>
        <v>11</v>
      </c>
      <c r="AS188" s="424" t="str">
        <f>IF(Účetní_závěrka!L22&lt;&gt;"",Účetní_závěrka!L22,"")</f>
        <v/>
      </c>
      <c r="AT188" s="424" t="str">
        <f>IF(Účetní_závěrka!K22&lt;&gt;"",Účetní_závěrka!K22,"")</f>
        <v/>
      </c>
      <c r="AV188">
        <v>11</v>
      </c>
      <c r="AW188">
        <v>30</v>
      </c>
    </row>
    <row r="189" spans="18:49" ht="15" customHeight="1" hidden="1">
      <c r="R189">
        <f t="shared" si="1"/>
        <v>1</v>
      </c>
      <c r="S189" s="326">
        <f t="shared" si="6"/>
        <v>12</v>
      </c>
      <c r="T189" s="424" t="str">
        <f>IF(Účetní_závěrka!D23&lt;&gt;"",Účetní_závěrka!D23,"")</f>
        <v/>
      </c>
      <c r="U189" s="424" t="str">
        <f>IF(Účetní_závěrka!E23&lt;&gt;"",ABS(Účetní_závěrka!E23),"")</f>
        <v/>
      </c>
      <c r="V189" s="424" t="str">
        <f>IF(Účetní_závěrka!F23&lt;&gt;"",Účetní_závěrka!F23,"")</f>
        <v/>
      </c>
      <c r="W189" s="424" t="str">
        <f>IF(Účetní_závěrka!G23&lt;&gt;"",Účetní_závěrka!G23,"")</f>
        <v/>
      </c>
      <c r="Y189">
        <v>12</v>
      </c>
      <c r="Z189">
        <v>78</v>
      </c>
      <c r="AB189">
        <f t="shared" si="2"/>
        <v>1</v>
      </c>
      <c r="AC189" s="526">
        <f t="shared" si="3"/>
        <v>34</v>
      </c>
      <c r="AD189" s="424" t="str">
        <f>IF(Účetní_závěrka!E107&lt;&gt;"",Účetní_závěrka!E107,"")</f>
        <v/>
      </c>
      <c r="AE189" s="424" t="str">
        <f>IF(Účetní_závěrka!D107&lt;&gt;"",Účetní_závěrka!D107,"")</f>
        <v/>
      </c>
      <c r="AG189">
        <v>12</v>
      </c>
      <c r="AH189">
        <v>34</v>
      </c>
      <c r="AQ189">
        <f t="shared" si="4"/>
        <v>1</v>
      </c>
      <c r="AR189" s="326">
        <f t="shared" si="5"/>
        <v>12</v>
      </c>
      <c r="AS189" s="424" t="str">
        <f>IF(Účetní_závěrka!L23&lt;&gt;"",Účetní_závěrka!L23,"")</f>
        <v/>
      </c>
      <c r="AT189" s="424" t="str">
        <f>IF(Účetní_závěrka!K23&lt;&gt;"",Účetní_závěrka!K23,"")</f>
        <v/>
      </c>
      <c r="AV189">
        <v>12</v>
      </c>
      <c r="AW189">
        <v>31</v>
      </c>
    </row>
    <row r="190" spans="18:49" ht="15" customHeight="1" hidden="1">
      <c r="R190">
        <f t="shared" si="1"/>
        <v>1</v>
      </c>
      <c r="S190" s="326">
        <f t="shared" si="6"/>
        <v>13</v>
      </c>
      <c r="T190" s="424" t="str">
        <f>IF(Účetní_závěrka!D24&lt;&gt;"",Účetní_závěrka!D24,"")</f>
        <v/>
      </c>
      <c r="U190" s="424" t="str">
        <f>IF(Účetní_závěrka!E24&lt;&gt;"",ABS(Účetní_závěrka!E24),"")</f>
        <v/>
      </c>
      <c r="V190" s="424" t="str">
        <f>IF(Účetní_závěrka!F24&lt;&gt;"",Účetní_závěrka!F24,"")</f>
        <v/>
      </c>
      <c r="W190" s="424" t="str">
        <f>IF(Účetní_závěrka!G24&lt;&gt;"",Účetní_závěrka!G24,"")</f>
        <v/>
      </c>
      <c r="Y190">
        <v>13</v>
      </c>
      <c r="Z190">
        <v>68</v>
      </c>
      <c r="AB190">
        <f t="shared" si="2"/>
        <v>1</v>
      </c>
      <c r="AC190" s="526">
        <f t="shared" si="3"/>
        <v>35</v>
      </c>
      <c r="AD190" s="424" t="str">
        <f>IF(Účetní_závěrka!E108&lt;&gt;"",Účetní_závěrka!E108,"")</f>
        <v/>
      </c>
      <c r="AE190" s="424" t="str">
        <f>IF(Účetní_závěrka!D108&lt;&gt;"",Účetní_závěrka!D108,"")</f>
        <v/>
      </c>
      <c r="AG190">
        <v>13</v>
      </c>
      <c r="AH190">
        <v>35</v>
      </c>
      <c r="AQ190">
        <f t="shared" si="4"/>
        <v>1</v>
      </c>
      <c r="AR190" s="326">
        <f t="shared" si="5"/>
        <v>13</v>
      </c>
      <c r="AS190" s="424" t="str">
        <f>IF(Účetní_závěrka!L24&lt;&gt;"",Účetní_závěrka!L24,"")</f>
        <v/>
      </c>
      <c r="AT190" s="424" t="str">
        <f>IF(Účetní_závěrka!K24&lt;&gt;"",Účetní_závěrka!K24,"")</f>
        <v/>
      </c>
      <c r="AV190">
        <v>13</v>
      </c>
      <c r="AW190">
        <v>46</v>
      </c>
    </row>
    <row r="191" spans="18:49" ht="15" customHeight="1" hidden="1">
      <c r="R191">
        <f t="shared" si="1"/>
        <v>1</v>
      </c>
      <c r="S191" s="326">
        <f t="shared" si="6"/>
        <v>14</v>
      </c>
      <c r="T191" s="424" t="str">
        <f>IF(Účetní_závěrka!D25&lt;&gt;"",Účetní_závěrka!D25,"")</f>
        <v/>
      </c>
      <c r="U191" s="424" t="str">
        <f>IF(Účetní_závěrka!E25&lt;&gt;"",ABS(Účetní_závěrka!E25),"")</f>
        <v/>
      </c>
      <c r="V191" s="424" t="str">
        <f>IF(Účetní_závěrka!F25&lt;&gt;"",Účetní_závěrka!F25,"")</f>
        <v/>
      </c>
      <c r="W191" s="424" t="str">
        <f>IF(Účetní_závěrka!G25&lt;&gt;"",Účetní_závěrka!G25,"")</f>
        <v/>
      </c>
      <c r="Y191">
        <v>14</v>
      </c>
      <c r="Z191">
        <v>71</v>
      </c>
      <c r="AB191">
        <f t="shared" si="2"/>
        <v>1</v>
      </c>
      <c r="AC191" s="526">
        <f t="shared" si="3"/>
        <v>38</v>
      </c>
      <c r="AD191" s="424" t="str">
        <f>IF(Účetní_závěrka!E109&lt;&gt;"",Účetní_závěrka!E109,"")</f>
        <v/>
      </c>
      <c r="AE191" s="424" t="str">
        <f>IF(Účetní_závěrka!D109&lt;&gt;"",Účetní_závěrka!D109,"")</f>
        <v/>
      </c>
      <c r="AG191">
        <v>14</v>
      </c>
      <c r="AH191">
        <v>38</v>
      </c>
      <c r="AQ191">
        <f t="shared" si="4"/>
        <v>1</v>
      </c>
      <c r="AR191" s="326">
        <f t="shared" si="5"/>
        <v>14</v>
      </c>
      <c r="AS191" s="424" t="str">
        <f>IF(Účetní_závěrka!L25&lt;&gt;"",Účetní_závěrka!L25,"")</f>
        <v/>
      </c>
      <c r="AT191" s="424" t="str">
        <f>IF(Účetní_závěrka!K25&lt;&gt;"",Účetní_závěrka!K25,"")</f>
        <v/>
      </c>
      <c r="AV191">
        <v>14</v>
      </c>
      <c r="AW191">
        <v>67</v>
      </c>
    </row>
    <row r="192" spans="18:49" ht="15" customHeight="1" hidden="1">
      <c r="R192">
        <f t="shared" si="1"/>
        <v>1</v>
      </c>
      <c r="S192" s="326">
        <f t="shared" si="6"/>
        <v>15</v>
      </c>
      <c r="T192" s="424" t="str">
        <f>IF(Účetní_závěrka!D26&lt;&gt;"",Účetní_závěrka!D26,"")</f>
        <v/>
      </c>
      <c r="U192" s="424" t="str">
        <f>IF(Účetní_závěrka!E26&lt;&gt;"",ABS(Účetní_závěrka!E26),"")</f>
        <v/>
      </c>
      <c r="V192" s="424" t="str">
        <f>IF(Účetní_závěrka!F26&lt;&gt;"",Účetní_závěrka!F26,"")</f>
        <v/>
      </c>
      <c r="W192" s="424" t="str">
        <f>IF(Účetní_závěrka!G26&lt;&gt;"",Účetní_závěrka!G26,"")</f>
        <v/>
      </c>
      <c r="Y192">
        <v>15</v>
      </c>
      <c r="Z192">
        <v>74</v>
      </c>
      <c r="AB192">
        <f t="shared" si="2"/>
        <v>1</v>
      </c>
      <c r="AC192" s="526">
        <f t="shared" si="3"/>
        <v>39</v>
      </c>
      <c r="AD192" s="424" t="str">
        <f>IF(Účetní_závěrka!E110&lt;&gt;"",Účetní_závěrka!E110,"")</f>
        <v/>
      </c>
      <c r="AE192" s="424" t="str">
        <f>IF(Účetní_závěrka!D110&lt;&gt;"",Účetní_závěrka!D110,"")</f>
        <v/>
      </c>
      <c r="AG192">
        <v>15</v>
      </c>
      <c r="AH192">
        <v>39</v>
      </c>
      <c r="AQ192">
        <f t="shared" si="4"/>
        <v>1</v>
      </c>
      <c r="AR192" s="326">
        <f t="shared" si="5"/>
        <v>15</v>
      </c>
      <c r="AS192" s="424" t="str">
        <f>IF(Účetní_závěrka!L26&lt;&gt;"",Účetní_závěrka!L26,"")</f>
        <v/>
      </c>
      <c r="AT192" s="424" t="str">
        <f>IF(Účetní_závěrka!K26&lt;&gt;"",Účetní_závěrka!K26,"")</f>
        <v/>
      </c>
      <c r="AV192">
        <v>15</v>
      </c>
      <c r="AW192">
        <v>64</v>
      </c>
    </row>
    <row r="193" spans="18:49" ht="15" customHeight="1" hidden="1">
      <c r="R193">
        <f t="shared" si="1"/>
        <v>1</v>
      </c>
      <c r="S193" s="326">
        <f t="shared" si="6"/>
        <v>16</v>
      </c>
      <c r="T193" s="424" t="str">
        <f>IF(Účetní_závěrka!D27&lt;&gt;"",Účetní_závěrka!D27,"")</f>
        <v/>
      </c>
      <c r="U193" s="424" t="str">
        <f>IF(Účetní_závěrka!E27&lt;&gt;"",ABS(Účetní_závěrka!E27),"")</f>
        <v/>
      </c>
      <c r="V193" s="424" t="str">
        <f>IF(Účetní_závěrka!F27&lt;&gt;"",Účetní_závěrka!F27,"")</f>
        <v/>
      </c>
      <c r="W193" s="424" t="str">
        <f>IF(Účetní_závěrka!G27&lt;&gt;"",Účetní_závěrka!G27,"")</f>
        <v/>
      </c>
      <c r="Y193">
        <v>16</v>
      </c>
      <c r="AB193">
        <f t="shared" si="2"/>
        <v>1</v>
      </c>
      <c r="AC193" s="526">
        <f t="shared" si="3"/>
        <v>42</v>
      </c>
      <c r="AD193" s="424" t="str">
        <f>IF(Účetní_závěrka!E111&lt;&gt;"",Účetní_závěrka!E111,"")</f>
        <v/>
      </c>
      <c r="AE193" s="424" t="str">
        <f>IF(Účetní_závěrka!D111&lt;&gt;"",Účetní_závěrka!D111,"")</f>
        <v/>
      </c>
      <c r="AG193">
        <v>16</v>
      </c>
      <c r="AH193">
        <v>42</v>
      </c>
      <c r="AQ193">
        <f t="shared" si="4"/>
        <v>1</v>
      </c>
      <c r="AR193" s="326">
        <f t="shared" si="5"/>
        <v>16</v>
      </c>
      <c r="AS193" s="424" t="str">
        <f>IF(Účetní_závěrka!L27&lt;&gt;"",Účetní_závěrka!L27,"")</f>
        <v/>
      </c>
      <c r="AT193" s="424" t="str">
        <f>IF(Účetní_závěrka!K27&lt;&gt;"",Účetní_závěrka!K27,"")</f>
        <v/>
      </c>
      <c r="AV193">
        <v>16</v>
      </c>
      <c r="AW193" s="329"/>
    </row>
    <row r="194" spans="18:49" ht="15" customHeight="1" hidden="1">
      <c r="R194">
        <f t="shared" si="1"/>
        <v>1</v>
      </c>
      <c r="S194" s="326">
        <f t="shared" si="6"/>
        <v>17</v>
      </c>
      <c r="T194" s="424" t="str">
        <f>IF(Účetní_závěrka!D28&lt;&gt;"",Účetní_závěrka!D28,"")</f>
        <v/>
      </c>
      <c r="U194" s="424" t="str">
        <f>IF(Účetní_závěrka!E28&lt;&gt;"",ABS(Účetní_závěrka!E28),"")</f>
        <v/>
      </c>
      <c r="V194" s="424" t="str">
        <f>IF(Účetní_závěrka!F28&lt;&gt;"",Účetní_závěrka!F28,"")</f>
        <v/>
      </c>
      <c r="W194" s="424" t="str">
        <f>IF(Účetní_závěrka!G28&lt;&gt;"",Účetní_závěrka!G28,"")</f>
        <v/>
      </c>
      <c r="Y194">
        <v>17</v>
      </c>
      <c r="AB194">
        <f t="shared" si="2"/>
        <v>1</v>
      </c>
      <c r="AC194" s="526">
        <f t="shared" si="3"/>
        <v>43</v>
      </c>
      <c r="AD194" s="424" t="str">
        <f>IF(Účetní_závěrka!E112&lt;&gt;"",Účetní_závěrka!E112,"")</f>
        <v/>
      </c>
      <c r="AE194" s="424" t="str">
        <f>IF(Účetní_závěrka!D112&lt;&gt;"",Účetní_závěrka!D112,"")</f>
        <v/>
      </c>
      <c r="AG194">
        <v>17</v>
      </c>
      <c r="AH194">
        <v>43</v>
      </c>
      <c r="AQ194">
        <f t="shared" si="4"/>
        <v>1</v>
      </c>
      <c r="AR194" s="326">
        <f t="shared" si="5"/>
        <v>17</v>
      </c>
      <c r="AS194" s="424" t="str">
        <f>IF(Účetní_závěrka!L28&lt;&gt;"",Účetní_závěrka!L28,"")</f>
        <v/>
      </c>
      <c r="AT194" s="424" t="str">
        <f>IF(Účetní_závěrka!K28&lt;&gt;"",Účetní_závěrka!K28,"")</f>
        <v/>
      </c>
      <c r="AV194">
        <v>17</v>
      </c>
      <c r="AW194" s="329"/>
    </row>
    <row r="195" spans="18:49" ht="15" customHeight="1" hidden="1">
      <c r="R195">
        <f t="shared" si="1"/>
        <v>1</v>
      </c>
      <c r="S195" s="326">
        <f t="shared" si="6"/>
        <v>18</v>
      </c>
      <c r="T195" s="424" t="str">
        <f>IF(Účetní_závěrka!D29&lt;&gt;"",Účetní_závěrka!D29,"")</f>
        <v/>
      </c>
      <c r="U195" s="424" t="str">
        <f>IF(Účetní_závěrka!E29&lt;&gt;"",ABS(Účetní_závěrka!E29),"")</f>
        <v/>
      </c>
      <c r="V195" s="424" t="str">
        <f>IF(Účetní_závěrka!F29&lt;&gt;"",Účetní_závěrka!F29,"")</f>
        <v/>
      </c>
      <c r="W195" s="424" t="str">
        <f>IF(Účetní_závěrka!G29&lt;&gt;"",Účetní_závěrka!G29,"")</f>
        <v/>
      </c>
      <c r="Y195">
        <v>18</v>
      </c>
      <c r="AB195">
        <f t="shared" si="2"/>
        <v>1</v>
      </c>
      <c r="AC195" s="526">
        <f t="shared" si="3"/>
        <v>46</v>
      </c>
      <c r="AD195" s="424" t="str">
        <f>IF(Účetní_závěrka!E113&lt;&gt;"",Účetní_závěrka!E113,"")</f>
        <v/>
      </c>
      <c r="AE195" s="424" t="str">
        <f>IF(Účetní_závěrka!D113&lt;&gt;"",Účetní_závěrka!D113,"")</f>
        <v/>
      </c>
      <c r="AG195">
        <v>18</v>
      </c>
      <c r="AH195">
        <v>46</v>
      </c>
      <c r="AQ195">
        <f t="shared" si="4"/>
        <v>1</v>
      </c>
      <c r="AR195" s="326">
        <f t="shared" si="5"/>
        <v>18</v>
      </c>
      <c r="AS195" s="424" t="str">
        <f>IF(Účetní_závěrka!L29&lt;&gt;"",Účetní_závěrka!L29,"")</f>
        <v/>
      </c>
      <c r="AT195" s="424" t="str">
        <f>IF(Účetní_závěrka!K29&lt;&gt;"",Účetní_závěrka!K29,"")</f>
        <v/>
      </c>
      <c r="AV195">
        <v>18</v>
      </c>
      <c r="AW195" s="329"/>
    </row>
    <row r="196" spans="18:49" ht="15" customHeight="1" hidden="1">
      <c r="R196">
        <f t="shared" si="1"/>
        <v>1</v>
      </c>
      <c r="S196" s="326">
        <f t="shared" si="6"/>
        <v>19</v>
      </c>
      <c r="T196" s="424" t="str">
        <f>IF(Účetní_závěrka!D30&lt;&gt;"",Účetní_závěrka!D30,"")</f>
        <v/>
      </c>
      <c r="U196" s="424" t="str">
        <f>IF(Účetní_závěrka!E30&lt;&gt;"",ABS(Účetní_závěrka!E30),"")</f>
        <v/>
      </c>
      <c r="V196" s="424" t="str">
        <f>IF(Účetní_závěrka!F30&lt;&gt;"",Účetní_závěrka!F30,"")</f>
        <v/>
      </c>
      <c r="W196" s="424" t="str">
        <f>IF(Účetní_závěrka!G30&lt;&gt;"",Účetní_závěrka!G30,"")</f>
        <v/>
      </c>
      <c r="Y196">
        <v>19</v>
      </c>
      <c r="AB196">
        <f t="shared" si="2"/>
        <v>1</v>
      </c>
      <c r="AC196" s="526">
        <f t="shared" si="3"/>
        <v>47</v>
      </c>
      <c r="AD196" s="424" t="str">
        <f>IF(Účetní_závěrka!E114&lt;&gt;"",Účetní_závěrka!E114,"")</f>
        <v/>
      </c>
      <c r="AE196" s="424" t="str">
        <f>IF(Účetní_závěrka!D114&lt;&gt;"",Účetní_závěrka!D114,"")</f>
        <v/>
      </c>
      <c r="AG196">
        <v>19</v>
      </c>
      <c r="AH196">
        <v>47</v>
      </c>
      <c r="AQ196">
        <f t="shared" si="4"/>
        <v>1</v>
      </c>
      <c r="AR196" s="326">
        <f t="shared" si="5"/>
        <v>19</v>
      </c>
      <c r="AS196" s="424" t="str">
        <f>IF(Účetní_závěrka!L30&lt;&gt;"",Účetní_závěrka!L30,"")</f>
        <v/>
      </c>
      <c r="AT196" s="424" t="str">
        <f>IF(Účetní_závěrka!K30&lt;&gt;"",Účetní_závěrka!K30,"")</f>
        <v/>
      </c>
      <c r="AV196">
        <v>19</v>
      </c>
      <c r="AW196" s="329"/>
    </row>
    <row r="197" spans="18:49" ht="15" customHeight="1" hidden="1">
      <c r="R197">
        <f t="shared" si="1"/>
        <v>1</v>
      </c>
      <c r="S197" s="326">
        <f t="shared" si="6"/>
        <v>20</v>
      </c>
      <c r="T197" s="424" t="str">
        <f>IF(Účetní_závěrka!D31&lt;&gt;"",Účetní_závěrka!D31,"")</f>
        <v/>
      </c>
      <c r="U197" s="424" t="str">
        <f>IF(Účetní_závěrka!E31&lt;&gt;"",ABS(Účetní_závěrka!E31),"")</f>
        <v/>
      </c>
      <c r="V197" s="424" t="str">
        <f>IF(Účetní_závěrka!F31&lt;&gt;"",Účetní_závěrka!F31,"")</f>
        <v/>
      </c>
      <c r="W197" s="424" t="str">
        <f>IF(Účetní_závěrka!G31&lt;&gt;"",Účetní_závěrka!G31,"")</f>
        <v/>
      </c>
      <c r="Y197">
        <v>20</v>
      </c>
      <c r="AB197">
        <f t="shared" si="2"/>
        <v>1</v>
      </c>
      <c r="AC197" s="526">
        <f t="shared" si="3"/>
        <v>48</v>
      </c>
      <c r="AD197" s="424" t="str">
        <f>IF(Účetní_závěrka!E115&lt;&gt;"",Účetní_závěrka!E115,"")</f>
        <v/>
      </c>
      <c r="AE197" s="424" t="str">
        <f>IF(Účetní_závěrka!D115&lt;&gt;"",Účetní_závěrka!D115,"")</f>
        <v/>
      </c>
      <c r="AG197">
        <v>20</v>
      </c>
      <c r="AH197">
        <v>48</v>
      </c>
      <c r="AQ197">
        <f t="shared" si="4"/>
        <v>1</v>
      </c>
      <c r="AR197" s="326">
        <f t="shared" si="5"/>
        <v>21</v>
      </c>
      <c r="AS197" s="424" t="str">
        <f>IF(Účetní_závěrka!L31&lt;&gt;"",Účetní_závěrka!L31,"")</f>
        <v/>
      </c>
      <c r="AT197" s="424" t="str">
        <f>IF(Účetní_závěrka!K31&lt;&gt;"",Účetní_závěrka!K31,"")</f>
        <v/>
      </c>
      <c r="AV197">
        <v>21</v>
      </c>
      <c r="AW197" s="329"/>
    </row>
    <row r="198" spans="18:49" ht="15" customHeight="1" hidden="1">
      <c r="R198">
        <f t="shared" si="1"/>
        <v>1</v>
      </c>
      <c r="S198" s="326">
        <f t="shared" si="6"/>
        <v>21</v>
      </c>
      <c r="T198" s="424" t="str">
        <f>IF(Účetní_závěrka!D32&lt;&gt;"",Účetní_závěrka!D32,"")</f>
        <v/>
      </c>
      <c r="U198" s="424" t="str">
        <f>IF(Účetní_závěrka!E32&lt;&gt;"",ABS(Účetní_závěrka!E32),"")</f>
        <v/>
      </c>
      <c r="V198" s="424" t="str">
        <f>IF(Účetní_závěrka!F32&lt;&gt;"",Účetní_závěrka!F32,"")</f>
        <v/>
      </c>
      <c r="W198" s="424" t="str">
        <f>IF(Účetní_závěrka!G32&lt;&gt;"",Účetní_závěrka!G32,"")</f>
        <v/>
      </c>
      <c r="Y198">
        <v>21</v>
      </c>
      <c r="AB198">
        <f t="shared" si="2"/>
        <v>1</v>
      </c>
      <c r="AC198" s="526">
        <f t="shared" si="3"/>
        <v>49</v>
      </c>
      <c r="AD198" s="424" t="str">
        <f>IF(Účetní_závěrka!E116&lt;&gt;"",Účetní_závěrka!E116,"")</f>
        <v/>
      </c>
      <c r="AE198" s="424" t="str">
        <f>IF(Účetní_závěrka!D116&lt;&gt;"",Účetní_závěrka!D116,"")</f>
        <v/>
      </c>
      <c r="AG198">
        <v>21</v>
      </c>
      <c r="AH198">
        <v>49</v>
      </c>
      <c r="AQ198">
        <f t="shared" si="4"/>
        <v>1</v>
      </c>
      <c r="AR198" s="326">
        <f t="shared" si="5"/>
        <v>22</v>
      </c>
      <c r="AS198" s="424" t="str">
        <f>IF(Účetní_závěrka!L32&lt;&gt;"",Účetní_závěrka!L32,"")</f>
        <v/>
      </c>
      <c r="AT198" s="424" t="str">
        <f>IF(Účetní_závěrka!K32&lt;&gt;"",Účetní_závěrka!K32,"")</f>
        <v/>
      </c>
      <c r="AV198">
        <v>22</v>
      </c>
      <c r="AW198" s="329"/>
    </row>
    <row r="199" spans="18:49" ht="15" customHeight="1" hidden="1">
      <c r="R199">
        <f t="shared" si="1"/>
        <v>1</v>
      </c>
      <c r="S199" s="326">
        <f t="shared" si="6"/>
        <v>22</v>
      </c>
      <c r="T199" s="424" t="str">
        <f>IF(Účetní_závěrka!D33&lt;&gt;"",Účetní_závěrka!D33,"")</f>
        <v/>
      </c>
      <c r="U199" s="424" t="str">
        <f>IF(Účetní_závěrka!E33&lt;&gt;"",ABS(Účetní_závěrka!E33),"")</f>
        <v/>
      </c>
      <c r="V199" s="424" t="str">
        <f>IF(Účetní_závěrka!F33&lt;&gt;"",Účetní_závěrka!F33,"")</f>
        <v/>
      </c>
      <c r="W199" s="424" t="str">
        <f>IF(Účetní_závěrka!G33&lt;&gt;"",Účetní_závěrka!G33,"")</f>
        <v/>
      </c>
      <c r="Y199">
        <v>22</v>
      </c>
      <c r="AB199">
        <f t="shared" si="2"/>
        <v>1</v>
      </c>
      <c r="AC199" s="526">
        <f t="shared" si="3"/>
        <v>50</v>
      </c>
      <c r="AD199" s="424" t="str">
        <f>IF(Účetní_závěrka!E117&lt;&gt;"",Účetní_závěrka!E117,"")</f>
        <v/>
      </c>
      <c r="AE199" s="424" t="str">
        <f>IF(Účetní_závěrka!D117&lt;&gt;"",Účetní_závěrka!D117,"")</f>
        <v/>
      </c>
      <c r="AG199">
        <v>22</v>
      </c>
      <c r="AH199">
        <v>50</v>
      </c>
      <c r="AQ199">
        <f t="shared" si="4"/>
        <v>1</v>
      </c>
      <c r="AR199" s="326">
        <f t="shared" si="5"/>
        <v>23</v>
      </c>
      <c r="AS199" s="424" t="str">
        <f>IF(Účetní_závěrka!L33&lt;&gt;"",Účetní_závěrka!L33,"")</f>
        <v/>
      </c>
      <c r="AT199" s="424" t="str">
        <f>IF(Účetní_závěrka!K33&lt;&gt;"",Účetní_závěrka!K33,"")</f>
        <v/>
      </c>
      <c r="AV199">
        <v>23</v>
      </c>
      <c r="AW199" s="329"/>
    </row>
    <row r="200" spans="18:49" ht="15" customHeight="1" hidden="1">
      <c r="R200">
        <f t="shared" si="1"/>
        <v>1</v>
      </c>
      <c r="S200" s="326">
        <f t="shared" si="6"/>
        <v>23</v>
      </c>
      <c r="T200" s="424" t="str">
        <f>IF(Účetní_závěrka!D34&lt;&gt;"",Účetní_závěrka!D34,"")</f>
        <v/>
      </c>
      <c r="U200" s="424" t="str">
        <f>IF(Účetní_závěrka!E34&lt;&gt;"",ABS(Účetní_závěrka!E34),"")</f>
        <v/>
      </c>
      <c r="V200" s="424" t="str">
        <f>IF(Účetní_závěrka!F34&lt;&gt;"",Účetní_závěrka!F34,"")</f>
        <v/>
      </c>
      <c r="W200" s="424" t="str">
        <f>IF(Účetní_závěrka!G34&lt;&gt;"",Účetní_závěrka!G34,"")</f>
        <v/>
      </c>
      <c r="Y200">
        <v>23</v>
      </c>
      <c r="AB200">
        <f t="shared" si="2"/>
        <v>1</v>
      </c>
      <c r="AC200" s="526">
        <f t="shared" si="3"/>
        <v>53</v>
      </c>
      <c r="AD200" s="424" t="str">
        <f>IF(Účetní_závěrka!E118&lt;&gt;"",Účetní_závěrka!E118,"")</f>
        <v/>
      </c>
      <c r="AE200" s="424" t="str">
        <f>IF(Účetní_závěrka!D118&lt;&gt;"",Účetní_závěrka!D118,"")</f>
        <v/>
      </c>
      <c r="AG200">
        <v>23</v>
      </c>
      <c r="AH200">
        <v>53</v>
      </c>
      <c r="AQ200">
        <f t="shared" si="4"/>
        <v>1</v>
      </c>
      <c r="AR200" s="326">
        <f t="shared" si="5"/>
        <v>24</v>
      </c>
      <c r="AS200" s="424" t="str">
        <f>IF(Účetní_závěrka!L34&lt;&gt;"",Účetní_závěrka!L34,"")</f>
        <v/>
      </c>
      <c r="AT200" s="424" t="str">
        <f>IF(Účetní_závěrka!K34&lt;&gt;"",Účetní_závěrka!K34,"")</f>
        <v/>
      </c>
      <c r="AV200">
        <v>24</v>
      </c>
      <c r="AW200" s="329"/>
    </row>
    <row r="201" spans="18:49" ht="15" customHeight="1" hidden="1">
      <c r="R201">
        <f t="shared" si="1"/>
        <v>1</v>
      </c>
      <c r="S201" s="326">
        <f t="shared" si="6"/>
        <v>24</v>
      </c>
      <c r="T201" s="424" t="str">
        <f>IF(Účetní_závěrka!D35&lt;&gt;"",Účetní_závěrka!D35,"")</f>
        <v/>
      </c>
      <c r="U201" s="424" t="str">
        <f>IF(Účetní_závěrka!E35&lt;&gt;"",ABS(Účetní_závěrka!E35),"")</f>
        <v/>
      </c>
      <c r="V201" s="424" t="str">
        <f>IF(Účetní_závěrka!F35&lt;&gt;"",Účetní_závěrka!F35,"")</f>
        <v/>
      </c>
      <c r="W201" s="424" t="str">
        <f>IF(Účetní_závěrka!G35&lt;&gt;"",Účetní_závěrka!G35,"")</f>
        <v/>
      </c>
      <c r="Y201">
        <v>24</v>
      </c>
      <c r="AB201">
        <f t="shared" si="2"/>
        <v>1</v>
      </c>
      <c r="AC201" s="526">
        <f t="shared" si="3"/>
        <v>54</v>
      </c>
      <c r="AD201" s="424" t="str">
        <f>IF(Účetní_závěrka!E119&lt;&gt;"",Účetní_závěrka!E119,"")</f>
        <v/>
      </c>
      <c r="AE201" s="424" t="str">
        <f>IF(Účetní_závěrka!D119&lt;&gt;"",Účetní_závěrka!D119,"")</f>
        <v/>
      </c>
      <c r="AG201">
        <v>24</v>
      </c>
      <c r="AH201">
        <v>54</v>
      </c>
      <c r="AQ201">
        <f t="shared" si="4"/>
        <v>1</v>
      </c>
      <c r="AR201" s="326">
        <f t="shared" si="5"/>
        <v>25</v>
      </c>
      <c r="AS201" s="424" t="str">
        <f>IF(Účetní_závěrka!L35&lt;&gt;"",Účetní_závěrka!L35,"")</f>
        <v/>
      </c>
      <c r="AT201" s="424" t="str">
        <f>IF(Účetní_závěrka!K35&lt;&gt;"",Účetní_závěrka!K35,"")</f>
        <v/>
      </c>
      <c r="AV201">
        <v>25</v>
      </c>
      <c r="AW201" s="329"/>
    </row>
    <row r="202" spans="18:49" ht="15" customHeight="1" hidden="1">
      <c r="R202">
        <f t="shared" si="1"/>
        <v>1</v>
      </c>
      <c r="S202" s="326">
        <f t="shared" si="6"/>
        <v>25</v>
      </c>
      <c r="T202" s="424" t="str">
        <f>IF(Účetní_závěrka!D36&lt;&gt;"",Účetní_závěrka!D36,"")</f>
        <v/>
      </c>
      <c r="U202" s="424" t="str">
        <f>IF(Účetní_závěrka!E36&lt;&gt;"",ABS(Účetní_závěrka!E36),"")</f>
        <v/>
      </c>
      <c r="V202" s="424" t="str">
        <f>IF(Účetní_závěrka!F36&lt;&gt;"",Účetní_závěrka!F36,"")</f>
        <v/>
      </c>
      <c r="W202" s="424" t="str">
        <f>IF(Účetní_závěrka!G36&lt;&gt;"",Účetní_závěrka!G36,"")</f>
        <v/>
      </c>
      <c r="Y202">
        <v>25</v>
      </c>
      <c r="AB202">
        <f t="shared" si="2"/>
        <v>1</v>
      </c>
      <c r="AC202" s="526">
        <f t="shared" si="3"/>
        <v>55</v>
      </c>
      <c r="AD202" s="424" t="str">
        <f>IF(Účetní_závěrka!E120&lt;&gt;"",Účetní_závěrka!E120,"")</f>
        <v/>
      </c>
      <c r="AE202" s="424" t="str">
        <f>IF(Účetní_závěrka!D120&lt;&gt;"",Účetní_závěrka!D120,"")</f>
        <v/>
      </c>
      <c r="AG202">
        <v>25</v>
      </c>
      <c r="AH202">
        <v>55</v>
      </c>
      <c r="AQ202">
        <f t="shared" si="4"/>
        <v>1</v>
      </c>
      <c r="AR202" s="326">
        <f t="shared" si="5"/>
        <v>26</v>
      </c>
      <c r="AS202" s="424" t="str">
        <f>IF(Účetní_závěrka!L36&lt;&gt;"",Účetní_závěrka!L36,"")</f>
        <v/>
      </c>
      <c r="AT202" s="424" t="str">
        <f>IF(Účetní_závěrka!K36&lt;&gt;"",Účetní_závěrka!K36,"")</f>
        <v/>
      </c>
      <c r="AV202">
        <v>26</v>
      </c>
      <c r="AW202" s="329"/>
    </row>
    <row r="203" spans="18:49" ht="15" customHeight="1" hidden="1">
      <c r="R203">
        <f t="shared" si="1"/>
        <v>1</v>
      </c>
      <c r="S203" s="326">
        <f t="shared" si="6"/>
        <v>26</v>
      </c>
      <c r="T203" s="424" t="str">
        <f>IF(Účetní_závěrka!D37&lt;&gt;"",Účetní_závěrka!D37,"")</f>
        <v/>
      </c>
      <c r="U203" s="424" t="str">
        <f>IF(Účetní_závěrka!E37&lt;&gt;"",ABS(Účetní_závěrka!E37),"")</f>
        <v/>
      </c>
      <c r="V203" s="424" t="str">
        <f>IF(Účetní_závěrka!F37&lt;&gt;"",Účetní_závěrka!F37,"")</f>
        <v/>
      </c>
      <c r="W203" s="424" t="str">
        <f>IF(Účetní_závěrka!G37&lt;&gt;"",Účetní_závěrka!G37,"")</f>
        <v/>
      </c>
      <c r="Y203">
        <v>26</v>
      </c>
      <c r="AB203">
        <f t="shared" si="2"/>
        <v>1</v>
      </c>
      <c r="AC203" s="526">
        <f t="shared" si="3"/>
        <v>56</v>
      </c>
      <c r="AD203" s="424" t="str">
        <f>IF(Účetní_závěrka!E121&lt;&gt;"",Účetní_závěrka!E121,"")</f>
        <v/>
      </c>
      <c r="AE203" s="424" t="str">
        <f>IF(Účetní_závěrka!D121&lt;&gt;"",Účetní_závěrka!D121,"")</f>
        <v/>
      </c>
      <c r="AG203">
        <v>26</v>
      </c>
      <c r="AH203">
        <v>56</v>
      </c>
      <c r="AQ203">
        <f t="shared" si="4"/>
        <v>1</v>
      </c>
      <c r="AR203" s="326">
        <f t="shared" si="5"/>
        <v>27</v>
      </c>
      <c r="AS203" s="424" t="str">
        <f>IF(Účetní_závěrka!L37&lt;&gt;"",Účetní_závěrka!L37,"")</f>
        <v/>
      </c>
      <c r="AT203" s="424" t="str">
        <f>IF(Účetní_závěrka!K37&lt;&gt;"",Účetní_závěrka!K37,"")</f>
        <v/>
      </c>
      <c r="AV203">
        <v>27</v>
      </c>
      <c r="AW203" s="329"/>
    </row>
    <row r="204" spans="18:49" ht="15" customHeight="1" hidden="1">
      <c r="R204">
        <f t="shared" si="1"/>
        <v>1</v>
      </c>
      <c r="S204" s="326">
        <f t="shared" si="6"/>
        <v>27</v>
      </c>
      <c r="T204" s="424" t="str">
        <f>IF(Účetní_závěrka!D38&lt;&gt;"",Účetní_závěrka!D38,"")</f>
        <v/>
      </c>
      <c r="U204" s="424" t="str">
        <f>IF(Účetní_závěrka!E38&lt;&gt;"",ABS(Účetní_závěrka!E38),"")</f>
        <v/>
      </c>
      <c r="V204" s="424" t="str">
        <f>IF(Účetní_závěrka!F38&lt;&gt;"",Účetní_závěrka!F38,"")</f>
        <v/>
      </c>
      <c r="W204" s="424" t="str">
        <f>IF(Účetní_závěrka!G38&lt;&gt;"",Účetní_závěrka!G38,"")</f>
        <v/>
      </c>
      <c r="Y204">
        <v>27</v>
      </c>
      <c r="AB204">
        <f t="shared" si="2"/>
        <v>1</v>
      </c>
      <c r="AC204" s="526" t="str">
        <f t="shared" si="3"/>
        <v/>
      </c>
      <c r="AD204" s="424" t="str">
        <f>IF(Účetní_závěrka!E122&lt;&gt;"",Účetní_závěrka!E122,"")</f>
        <v/>
      </c>
      <c r="AE204" s="424" t="str">
        <f>IF(Účetní_závěrka!D122&lt;&gt;"",Účetní_závěrka!D122,"")</f>
        <v/>
      </c>
      <c r="AG204">
        <v>27</v>
      </c>
      <c r="AQ204">
        <f t="shared" si="4"/>
        <v>1</v>
      </c>
      <c r="AR204" s="326">
        <f t="shared" si="5"/>
        <v>28</v>
      </c>
      <c r="AS204" s="424" t="str">
        <f>IF(Účetní_závěrka!L38&lt;&gt;"",Účetní_závěrka!L38,"")</f>
        <v/>
      </c>
      <c r="AT204" s="424" t="str">
        <f>IF(Účetní_závěrka!K38&lt;&gt;"",Účetní_závěrka!K38,"")</f>
        <v/>
      </c>
      <c r="AV204">
        <v>28</v>
      </c>
      <c r="AW204" s="329"/>
    </row>
    <row r="205" spans="18:49" ht="15" customHeight="1" hidden="1">
      <c r="R205">
        <f t="shared" si="1"/>
        <v>1</v>
      </c>
      <c r="S205" s="326">
        <f t="shared" si="6"/>
        <v>28</v>
      </c>
      <c r="T205" s="424" t="str">
        <f>IF(Účetní_závěrka!D39&lt;&gt;"",Účetní_závěrka!D39,"")</f>
        <v/>
      </c>
      <c r="U205" s="424" t="str">
        <f>IF(Účetní_závěrka!E39&lt;&gt;"",ABS(Účetní_závěrka!E39),"")</f>
        <v/>
      </c>
      <c r="V205" s="424" t="str">
        <f>IF(Účetní_závěrka!F39&lt;&gt;"",Účetní_závěrka!F39,"")</f>
        <v/>
      </c>
      <c r="W205" s="424" t="str">
        <f>IF(Účetní_závěrka!G39&lt;&gt;"",Účetní_závěrka!G39,"")</f>
        <v/>
      </c>
      <c r="Y205">
        <v>28</v>
      </c>
      <c r="AB205">
        <f t="shared" si="2"/>
        <v>1</v>
      </c>
      <c r="AC205" s="526" t="str">
        <f t="shared" si="3"/>
        <v/>
      </c>
      <c r="AD205" s="424" t="str">
        <f>IF(Účetní_závěrka!E123&lt;&gt;"",Účetní_závěrka!E123,"")</f>
        <v/>
      </c>
      <c r="AE205" s="424" t="str">
        <f>IF(Účetní_závěrka!D123&lt;&gt;"",Účetní_závěrka!D123,"")</f>
        <v/>
      </c>
      <c r="AG205">
        <v>28</v>
      </c>
      <c r="AQ205">
        <f t="shared" si="4"/>
        <v>1</v>
      </c>
      <c r="AR205" s="326">
        <f t="shared" si="5"/>
        <v>29</v>
      </c>
      <c r="AS205" s="424" t="str">
        <f>IF(Účetní_závěrka!L39&lt;&gt;"",Účetní_závěrka!L39,"")</f>
        <v/>
      </c>
      <c r="AT205" s="424" t="str">
        <f>IF(Účetní_závěrka!K39&lt;&gt;"",Účetní_závěrka!K39,"")</f>
        <v/>
      </c>
      <c r="AV205">
        <v>29</v>
      </c>
      <c r="AW205" s="329"/>
    </row>
    <row r="206" spans="18:49" ht="15" customHeight="1" hidden="1">
      <c r="R206">
        <f t="shared" si="1"/>
        <v>1</v>
      </c>
      <c r="S206" s="326">
        <f t="shared" si="6"/>
        <v>29</v>
      </c>
      <c r="T206" s="424" t="str">
        <f>IF(Účetní_závěrka!D40&lt;&gt;"",Účetní_závěrka!D40,"")</f>
        <v/>
      </c>
      <c r="U206" s="424" t="str">
        <f>IF(Účetní_závěrka!E40&lt;&gt;"",ABS(Účetní_závěrka!E40),"")</f>
        <v/>
      </c>
      <c r="V206" s="424" t="str">
        <f>IF(Účetní_závěrka!F40&lt;&gt;"",Účetní_závěrka!F40,"")</f>
        <v/>
      </c>
      <c r="W206" s="424" t="str">
        <f>IF(Účetní_závěrka!G40&lt;&gt;"",Účetní_závěrka!G40,"")</f>
        <v/>
      </c>
      <c r="Y206">
        <v>29</v>
      </c>
      <c r="AB206">
        <f t="shared" si="2"/>
        <v>1</v>
      </c>
      <c r="AC206" s="526" t="str">
        <f t="shared" si="3"/>
        <v/>
      </c>
      <c r="AD206" s="424" t="str">
        <f>IF(Účetní_závěrka!E124&lt;&gt;"",Účetní_závěrka!E124,"")</f>
        <v/>
      </c>
      <c r="AE206" s="424" t="str">
        <f>IF(Účetní_závěrka!D124&lt;&gt;"",Účetní_závěrka!D124,"")</f>
        <v/>
      </c>
      <c r="AG206">
        <v>29</v>
      </c>
      <c r="AQ206">
        <f t="shared" si="4"/>
        <v>1</v>
      </c>
      <c r="AR206" s="326">
        <f t="shared" si="5"/>
        <v>30</v>
      </c>
      <c r="AS206" s="424" t="str">
        <f>IF(Účetní_závěrka!L40&lt;&gt;"",Účetní_závěrka!L40,"")</f>
        <v/>
      </c>
      <c r="AT206" s="424" t="str">
        <f>IF(Účetní_závěrka!K40&lt;&gt;"",Účetní_závěrka!K40,"")</f>
        <v/>
      </c>
      <c r="AV206">
        <v>30</v>
      </c>
      <c r="AW206" s="329"/>
    </row>
    <row r="207" spans="18:49" ht="15" customHeight="1" hidden="1">
      <c r="R207">
        <f t="shared" si="1"/>
        <v>1</v>
      </c>
      <c r="S207" s="326">
        <f t="shared" si="6"/>
        <v>30</v>
      </c>
      <c r="T207" s="424" t="str">
        <f>IF(Účetní_závěrka!D41&lt;&gt;"",Účetní_závěrka!D41,"")</f>
        <v/>
      </c>
      <c r="U207" s="424" t="str">
        <f>IF(Účetní_závěrka!E41&lt;&gt;"",ABS(Účetní_závěrka!E41),"")</f>
        <v/>
      </c>
      <c r="V207" s="424" t="str">
        <f>IF(Účetní_závěrka!F41&lt;&gt;"",Účetní_závěrka!F41,"")</f>
        <v/>
      </c>
      <c r="W207" s="424" t="str">
        <f>IF(Účetní_závěrka!G41&lt;&gt;"",Účetní_závěrka!G41,"")</f>
        <v/>
      </c>
      <c r="Y207">
        <v>30</v>
      </c>
      <c r="AB207">
        <f t="shared" si="2"/>
        <v>1</v>
      </c>
      <c r="AC207" s="526" t="str">
        <f t="shared" si="3"/>
        <v/>
      </c>
      <c r="AD207" s="424" t="str">
        <f>IF(Účetní_závěrka!E125&lt;&gt;"",Účetní_závěrka!E125,"")</f>
        <v/>
      </c>
      <c r="AE207" s="424" t="str">
        <f>IF(Účetní_závěrka!D125&lt;&gt;"",Účetní_závěrka!D125,"")</f>
        <v/>
      </c>
      <c r="AG207">
        <v>30</v>
      </c>
      <c r="AQ207">
        <f t="shared" si="4"/>
        <v>1</v>
      </c>
      <c r="AR207" s="326">
        <f t="shared" si="5"/>
        <v>31</v>
      </c>
      <c r="AS207" s="424" t="str">
        <f>IF(Účetní_závěrka!L41&lt;&gt;"",Účetní_závěrka!L41,"")</f>
        <v/>
      </c>
      <c r="AT207" s="424" t="str">
        <f>IF(Účetní_závěrka!K41&lt;&gt;"",Účetní_závěrka!K41,"")</f>
        <v/>
      </c>
      <c r="AV207">
        <v>31</v>
      </c>
      <c r="AW207" s="329"/>
    </row>
    <row r="208" spans="18:49" ht="15" customHeight="1" hidden="1">
      <c r="R208">
        <f t="shared" si="1"/>
        <v>1</v>
      </c>
      <c r="S208" s="326">
        <f t="shared" si="6"/>
        <v>31</v>
      </c>
      <c r="T208" s="424" t="str">
        <f>IF(Účetní_závěrka!D42&lt;&gt;"",Účetní_závěrka!D42,"")</f>
        <v/>
      </c>
      <c r="U208" s="424" t="str">
        <f>IF(Účetní_závěrka!E42&lt;&gt;"",ABS(Účetní_závěrka!E42),"")</f>
        <v/>
      </c>
      <c r="V208" s="424" t="str">
        <f>IF(Účetní_závěrka!F42&lt;&gt;"",Účetní_závěrka!F42,"")</f>
        <v/>
      </c>
      <c r="W208" s="424" t="str">
        <f>IF(Účetní_závěrka!G42&lt;&gt;"",Účetní_závěrka!G42,"")</f>
        <v/>
      </c>
      <c r="Y208">
        <v>31</v>
      </c>
      <c r="AB208">
        <f t="shared" si="2"/>
        <v>1</v>
      </c>
      <c r="AC208" s="526" t="str">
        <f t="shared" si="3"/>
        <v/>
      </c>
      <c r="AD208" s="424" t="str">
        <f>IF(Účetní_závěrka!E126&lt;&gt;"",Účetní_závěrka!E126,"")</f>
        <v/>
      </c>
      <c r="AE208" s="424" t="str">
        <f>IF(Účetní_závěrka!D126&lt;&gt;"",Účetní_závěrka!D126,"")</f>
        <v/>
      </c>
      <c r="AG208">
        <v>31</v>
      </c>
      <c r="AQ208">
        <f t="shared" si="4"/>
        <v>1</v>
      </c>
      <c r="AR208" s="326">
        <f t="shared" si="5"/>
        <v>32</v>
      </c>
      <c r="AS208" s="424" t="str">
        <f>IF(Účetní_závěrka!L42&lt;&gt;"",Účetní_závěrka!L42,"")</f>
        <v/>
      </c>
      <c r="AT208" s="424" t="str">
        <f>IF(Účetní_závěrka!K42&lt;&gt;"",Účetní_závěrka!K42,"")</f>
        <v/>
      </c>
      <c r="AV208">
        <v>32</v>
      </c>
      <c r="AW208" s="329"/>
    </row>
    <row r="209" spans="18:49" ht="15" customHeight="1" hidden="1">
      <c r="R209">
        <f t="shared" si="1"/>
        <v>1</v>
      </c>
      <c r="S209" s="326">
        <f t="shared" si="6"/>
        <v>32</v>
      </c>
      <c r="T209" s="424" t="str">
        <f>IF(Účetní_závěrka!D43&lt;&gt;"",Účetní_závěrka!D43,"")</f>
        <v/>
      </c>
      <c r="U209" s="424" t="str">
        <f>IF(Účetní_závěrka!E43&lt;&gt;"",ABS(Účetní_závěrka!E43),"")</f>
        <v/>
      </c>
      <c r="V209" s="424" t="str">
        <f>IF(Účetní_závěrka!F43&lt;&gt;"",Účetní_závěrka!F43,"")</f>
        <v/>
      </c>
      <c r="W209" s="424" t="str">
        <f>IF(Účetní_závěrka!G43&lt;&gt;"",Účetní_závěrka!G43,"")</f>
        <v/>
      </c>
      <c r="Y209">
        <v>32</v>
      </c>
      <c r="AB209">
        <f t="shared" si="2"/>
        <v>1</v>
      </c>
      <c r="AC209" s="526" t="str">
        <f t="shared" si="3"/>
        <v/>
      </c>
      <c r="AD209" s="424" t="str">
        <f>IF(Účetní_závěrka!E127&lt;&gt;"",Účetní_závěrka!E127,"")</f>
        <v/>
      </c>
      <c r="AE209" s="424" t="str">
        <f>IF(Účetní_závěrka!D127&lt;&gt;"",Účetní_závěrka!D127,"")</f>
        <v/>
      </c>
      <c r="AG209">
        <v>32</v>
      </c>
      <c r="AQ209">
        <f t="shared" si="4"/>
        <v>1</v>
      </c>
      <c r="AR209" s="326">
        <f t="shared" si="5"/>
        <v>33</v>
      </c>
      <c r="AS209" s="424" t="str">
        <f>IF(Účetní_závěrka!L43&lt;&gt;"",Účetní_závěrka!L43,"")</f>
        <v/>
      </c>
      <c r="AT209" s="424" t="str">
        <f>IF(Účetní_závěrka!K43&lt;&gt;"",Účetní_závěrka!K43,"")</f>
        <v/>
      </c>
      <c r="AV209">
        <v>33</v>
      </c>
      <c r="AW209" s="329"/>
    </row>
    <row r="210" spans="18:49" ht="15" customHeight="1" hidden="1">
      <c r="R210">
        <f t="shared" si="7" ref="R210:R243">$Q$178</f>
        <v>1</v>
      </c>
      <c r="S210" s="326">
        <f t="shared" si="6"/>
        <v>33</v>
      </c>
      <c r="T210" s="424" t="str">
        <f>IF(Účetní_závěrka!D44&lt;&gt;"",Účetní_závěrka!D44,"")</f>
        <v/>
      </c>
      <c r="U210" s="424" t="str">
        <f>IF(Účetní_závěrka!E44&lt;&gt;"",ABS(Účetní_závěrka!E44),"")</f>
        <v/>
      </c>
      <c r="V210" s="424" t="str">
        <f>IF(Účetní_závěrka!F44&lt;&gt;"",Účetní_závěrka!F44,"")</f>
        <v/>
      </c>
      <c r="W210" s="424" t="str">
        <f>IF(Účetní_závěrka!G44&lt;&gt;"",Účetní_závěrka!G44,"")</f>
        <v/>
      </c>
      <c r="Y210">
        <v>33</v>
      </c>
      <c r="AB210">
        <f t="shared" si="8" ref="AB210:AB233">$AB$176</f>
        <v>1</v>
      </c>
      <c r="AC210" s="526" t="str">
        <f t="shared" si="9" ref="AC210:AC233">IF($B$38="P",AG210,IF(AH210&lt;&gt;"",AH210,""))</f>
        <v/>
      </c>
      <c r="AD210" s="424" t="str">
        <f>IF(Účetní_závěrka!E128&lt;&gt;"",Účetní_závěrka!E128,"")</f>
        <v/>
      </c>
      <c r="AE210" s="424" t="str">
        <f>IF(Účetní_závěrka!D128&lt;&gt;"",Účetní_závěrka!D128,"")</f>
        <v/>
      </c>
      <c r="AG210">
        <v>33</v>
      </c>
      <c r="AQ210">
        <f t="shared" si="10" ref="AQ210:AQ235">$AP$178</f>
        <v>1</v>
      </c>
      <c r="AR210" s="326">
        <f t="shared" si="5"/>
        <v>34</v>
      </c>
      <c r="AS210" s="424" t="str">
        <f>IF(Účetní_závěrka!L44&lt;&gt;"",Účetní_závěrka!L44,"")</f>
        <v/>
      </c>
      <c r="AT210" s="424" t="str">
        <f>IF(Účetní_závěrka!K44&lt;&gt;"",Účetní_závěrka!K44,"")</f>
        <v/>
      </c>
      <c r="AV210">
        <v>34</v>
      </c>
      <c r="AW210" s="329"/>
    </row>
    <row r="211" spans="18:49" ht="15" customHeight="1" hidden="1">
      <c r="R211">
        <f t="shared" si="7"/>
        <v>1</v>
      </c>
      <c r="S211" s="326">
        <f t="shared" si="6"/>
        <v>34</v>
      </c>
      <c r="T211" s="424" t="str">
        <f>IF(Účetní_závěrka!D45&lt;&gt;"",Účetní_závěrka!D45,"")</f>
        <v/>
      </c>
      <c r="U211" s="424" t="str">
        <f>IF(Účetní_závěrka!E45&lt;&gt;"",ABS(Účetní_závěrka!E45),"")</f>
        <v/>
      </c>
      <c r="V211" s="424" t="str">
        <f>IF(Účetní_závěrka!F45&lt;&gt;"",Účetní_závěrka!F45,"")</f>
        <v/>
      </c>
      <c r="W211" s="424" t="str">
        <f>IF(Účetní_závěrka!G45&lt;&gt;"",Účetní_závěrka!G45,"")</f>
        <v/>
      </c>
      <c r="Y211">
        <v>34</v>
      </c>
      <c r="AB211">
        <f t="shared" si="8"/>
        <v>1</v>
      </c>
      <c r="AC211" s="526" t="str">
        <f t="shared" si="9"/>
        <v/>
      </c>
      <c r="AD211" s="424" t="str">
        <f>IF(Účetní_závěrka!E129&lt;&gt;"",Účetní_závěrka!E129,"")</f>
        <v/>
      </c>
      <c r="AE211" s="424" t="str">
        <f>IF(Účetní_závěrka!D129&lt;&gt;"",Účetní_závěrka!D129,"")</f>
        <v/>
      </c>
      <c r="AG211">
        <v>34</v>
      </c>
      <c r="AQ211">
        <f t="shared" si="10"/>
        <v>1</v>
      </c>
      <c r="AR211" s="326">
        <f t="shared" si="5"/>
        <v>35</v>
      </c>
      <c r="AS211" s="424" t="str">
        <f>IF(Účetní_závěrka!L45&lt;&gt;"",Účetní_závěrka!L45,"")</f>
        <v/>
      </c>
      <c r="AT211" s="424" t="str">
        <f>IF(Účetní_závěrka!K45&lt;&gt;"",Účetní_závěrka!K45,"")</f>
        <v/>
      </c>
      <c r="AV211">
        <v>35</v>
      </c>
      <c r="AW211" s="329"/>
    </row>
    <row r="212" spans="18:49" ht="15" customHeight="1" hidden="1">
      <c r="R212">
        <f t="shared" si="7"/>
        <v>1</v>
      </c>
      <c r="S212" s="326">
        <f t="shared" si="6"/>
        <v>35</v>
      </c>
      <c r="T212" s="424" t="str">
        <f>IF(Účetní_závěrka!D46&lt;&gt;"",Účetní_závěrka!D46,"")</f>
        <v/>
      </c>
      <c r="U212" s="424" t="str">
        <f>IF(Účetní_závěrka!E46&lt;&gt;"",ABS(Účetní_závěrka!E46),"")</f>
        <v/>
      </c>
      <c r="V212" s="424" t="str">
        <f>IF(Účetní_závěrka!F46&lt;&gt;"",Účetní_závěrka!F46,"")</f>
        <v/>
      </c>
      <c r="W212" s="424" t="str">
        <f>IF(Účetní_závěrka!G46&lt;&gt;"",Účetní_závěrka!G46,"")</f>
        <v/>
      </c>
      <c r="Y212">
        <v>35</v>
      </c>
      <c r="AB212">
        <f t="shared" si="8"/>
        <v>1</v>
      </c>
      <c r="AC212" s="526" t="str">
        <f t="shared" si="9"/>
        <v/>
      </c>
      <c r="AD212" s="424" t="str">
        <f>IF(Účetní_závěrka!E130&lt;&gt;"",Účetní_závěrka!E130,"")</f>
        <v/>
      </c>
      <c r="AE212" s="424" t="str">
        <f>IF(Účetní_závěrka!D130&lt;&gt;"",Účetní_závěrka!D130,"")</f>
        <v/>
      </c>
      <c r="AG212">
        <v>35</v>
      </c>
      <c r="AQ212">
        <f t="shared" si="10"/>
        <v>1</v>
      </c>
      <c r="AR212" s="326">
        <f t="shared" si="5"/>
        <v>36</v>
      </c>
      <c r="AS212" s="424" t="str">
        <f>IF(Účetní_závěrka!L46&lt;&gt;"",Účetní_závěrka!L46,"")</f>
        <v/>
      </c>
      <c r="AT212" s="424" t="str">
        <f>IF(Účetní_závěrka!K46&lt;&gt;"",Účetní_závěrka!K46,"")</f>
        <v/>
      </c>
      <c r="AV212">
        <v>36</v>
      </c>
      <c r="AW212" s="329"/>
    </row>
    <row r="213" spans="18:49" ht="15" customHeight="1" hidden="1">
      <c r="R213">
        <f t="shared" si="7"/>
        <v>1</v>
      </c>
      <c r="S213" s="326">
        <f t="shared" si="6"/>
        <v>36</v>
      </c>
      <c r="T213" s="424" t="str">
        <f>IF(Účetní_závěrka!D47&lt;&gt;"",Účetní_závěrka!D47,"")</f>
        <v/>
      </c>
      <c r="U213" s="424" t="str">
        <f>IF(Účetní_závěrka!E47&lt;&gt;"",ABS(Účetní_závěrka!E47),"")</f>
        <v/>
      </c>
      <c r="V213" s="424" t="str">
        <f>IF(Účetní_závěrka!F47&lt;&gt;"",Účetní_závěrka!F47,"")</f>
        <v/>
      </c>
      <c r="W213" s="424" t="str">
        <f>IF(Účetní_závěrka!G47&lt;&gt;"",Účetní_závěrka!G47,"")</f>
        <v/>
      </c>
      <c r="Y213">
        <v>36</v>
      </c>
      <c r="AB213">
        <f t="shared" si="8"/>
        <v>1</v>
      </c>
      <c r="AC213" s="526" t="str">
        <f t="shared" si="9"/>
        <v/>
      </c>
      <c r="AD213" s="424" t="str">
        <f>IF(Účetní_závěrka!E131&lt;&gt;"",Účetní_závěrka!E131,"")</f>
        <v/>
      </c>
      <c r="AE213" s="424" t="str">
        <f>IF(Účetní_závěrka!D131&lt;&gt;"",Účetní_závěrka!D131,"")</f>
        <v/>
      </c>
      <c r="AG213">
        <v>36</v>
      </c>
      <c r="AQ213">
        <f t="shared" si="10"/>
        <v>1</v>
      </c>
      <c r="AR213" s="326">
        <f t="shared" si="5"/>
        <v>37</v>
      </c>
      <c r="AS213" s="424" t="str">
        <f>IF(Účetní_závěrka!L47&lt;&gt;"",Účetní_závěrka!L47,"")</f>
        <v/>
      </c>
      <c r="AT213" s="424" t="str">
        <f>IF(Účetní_závěrka!K47&lt;&gt;"",Účetní_závěrka!K47,"")</f>
        <v/>
      </c>
      <c r="AV213">
        <v>37</v>
      </c>
      <c r="AW213" s="329"/>
    </row>
    <row r="214" spans="18:49" ht="15" customHeight="1" hidden="1">
      <c r="R214">
        <f t="shared" si="7"/>
        <v>1</v>
      </c>
      <c r="S214" s="326">
        <f t="shared" si="6"/>
        <v>37</v>
      </c>
      <c r="T214" s="424" t="str">
        <f>IF(Účetní_závěrka!D48&lt;&gt;"",Účetní_závěrka!D48,"")</f>
        <v/>
      </c>
      <c r="U214" s="424" t="str">
        <f>IF(Účetní_závěrka!E48&lt;&gt;"",ABS(Účetní_závěrka!E48),"")</f>
        <v/>
      </c>
      <c r="V214" s="424" t="str">
        <f>IF(Účetní_závěrka!F48&lt;&gt;"",Účetní_závěrka!F48,"")</f>
        <v/>
      </c>
      <c r="W214" s="424" t="str">
        <f>IF(Účetní_závěrka!G48&lt;&gt;"",Účetní_závěrka!G48,"")</f>
        <v/>
      </c>
      <c r="Y214">
        <v>37</v>
      </c>
      <c r="AB214">
        <f t="shared" si="8"/>
        <v>1</v>
      </c>
      <c r="AC214" s="526" t="str">
        <f t="shared" si="9"/>
        <v/>
      </c>
      <c r="AD214" s="424" t="str">
        <f>IF(Účetní_závěrka!E132&lt;&gt;"",Účetní_závěrka!E132,"")</f>
        <v/>
      </c>
      <c r="AE214" s="424" t="str">
        <f>IF(Účetní_závěrka!D132&lt;&gt;"",Účetní_závěrka!D132,"")</f>
        <v/>
      </c>
      <c r="AG214">
        <v>37</v>
      </c>
      <c r="AQ214">
        <f t="shared" si="10"/>
        <v>1</v>
      </c>
      <c r="AR214" s="326">
        <f t="shared" si="5"/>
        <v>38</v>
      </c>
      <c r="AS214" s="424" t="str">
        <f>IF(Účetní_závěrka!L48&lt;&gt;"",Účetní_závěrka!L48,"")</f>
        <v/>
      </c>
      <c r="AT214" s="424" t="str">
        <f>IF(Účetní_závěrka!K48&lt;&gt;"",Účetní_závěrka!K48,"")</f>
        <v/>
      </c>
      <c r="AV214">
        <v>38</v>
      </c>
      <c r="AW214" s="329"/>
    </row>
    <row r="215" spans="18:49" ht="15" customHeight="1" hidden="1">
      <c r="R215">
        <f t="shared" si="7"/>
        <v>1</v>
      </c>
      <c r="S215" s="326">
        <f t="shared" si="6"/>
        <v>38</v>
      </c>
      <c r="T215" s="424" t="str">
        <f>IF(Účetní_závěrka!D49&lt;&gt;"",Účetní_závěrka!D49,"")</f>
        <v/>
      </c>
      <c r="U215" s="424" t="str">
        <f>IF(Účetní_závěrka!E49&lt;&gt;"",ABS(Účetní_závěrka!E49),"")</f>
        <v/>
      </c>
      <c r="V215" s="424" t="str">
        <f>IF(Účetní_závěrka!F49&lt;&gt;"",Účetní_závěrka!F49,"")</f>
        <v/>
      </c>
      <c r="W215" s="424" t="str">
        <f>IF(Účetní_závěrka!G49&lt;&gt;"",Účetní_závěrka!G49,"")</f>
        <v/>
      </c>
      <c r="Y215">
        <v>38</v>
      </c>
      <c r="AB215">
        <f t="shared" si="8"/>
        <v>1</v>
      </c>
      <c r="AC215" s="526" t="str">
        <f t="shared" si="9"/>
        <v/>
      </c>
      <c r="AD215" s="424" t="str">
        <f>IF(Účetní_závěrka!E133&lt;&gt;"",Účetní_závěrka!E133,"")</f>
        <v/>
      </c>
      <c r="AE215" s="424" t="str">
        <f>IF(Účetní_závěrka!D133&lt;&gt;"",Účetní_závěrka!D133,"")</f>
        <v/>
      </c>
      <c r="AG215">
        <v>38</v>
      </c>
      <c r="AQ215">
        <f t="shared" si="10"/>
        <v>1</v>
      </c>
      <c r="AR215" s="326">
        <f t="shared" si="5"/>
        <v>39</v>
      </c>
      <c r="AS215" s="424" t="str">
        <f>IF(Účetní_závěrka!L49&lt;&gt;"",Účetní_závěrka!L49,"")</f>
        <v/>
      </c>
      <c r="AT215" s="424" t="str">
        <f>IF(Účetní_závěrka!K49&lt;&gt;"",Účetní_závěrka!K49,"")</f>
        <v/>
      </c>
      <c r="AV215">
        <v>39</v>
      </c>
      <c r="AW215" s="329"/>
    </row>
    <row r="216" spans="18:49" ht="15" customHeight="1" hidden="1">
      <c r="R216">
        <f t="shared" si="7"/>
        <v>1</v>
      </c>
      <c r="S216" s="326">
        <f t="shared" si="6"/>
        <v>39</v>
      </c>
      <c r="T216" s="424" t="str">
        <f>IF(Účetní_závěrka!D50&lt;&gt;"",Účetní_závěrka!D50,"")</f>
        <v/>
      </c>
      <c r="U216" s="424" t="str">
        <f>IF(Účetní_závěrka!E50&lt;&gt;"",ABS(Účetní_závěrka!E50),"")</f>
        <v/>
      </c>
      <c r="V216" s="424" t="str">
        <f>IF(Účetní_závěrka!F50&lt;&gt;"",Účetní_závěrka!F50,"")</f>
        <v/>
      </c>
      <c r="W216" s="424" t="str">
        <f>IF(Účetní_závěrka!G50&lt;&gt;"",Účetní_závěrka!G50,"")</f>
        <v/>
      </c>
      <c r="Y216">
        <v>39</v>
      </c>
      <c r="AB216">
        <f t="shared" si="8"/>
        <v>1</v>
      </c>
      <c r="AC216" s="526" t="str">
        <f t="shared" si="9"/>
        <v/>
      </c>
      <c r="AD216" s="424" t="str">
        <f>IF(Účetní_závěrka!E134&lt;&gt;"",Účetní_závěrka!E134,"")</f>
        <v/>
      </c>
      <c r="AE216" s="424" t="str">
        <f>IF(Účetní_závěrka!D134&lt;&gt;"",Účetní_závěrka!D134,"")</f>
        <v/>
      </c>
      <c r="AG216">
        <v>39</v>
      </c>
      <c r="AQ216">
        <f t="shared" si="10"/>
        <v>1</v>
      </c>
      <c r="AR216" s="326">
        <f t="shared" si="5"/>
        <v>40</v>
      </c>
      <c r="AS216" s="424" t="str">
        <f>IF(Účetní_závěrka!L50&lt;&gt;"",Účetní_závěrka!L50,"")</f>
        <v/>
      </c>
      <c r="AT216" s="424" t="str">
        <f>IF(Účetní_závěrka!K50&lt;&gt;"",Účetní_závěrka!K50,"")</f>
        <v/>
      </c>
      <c r="AV216">
        <v>40</v>
      </c>
      <c r="AW216" s="329"/>
    </row>
    <row r="217" spans="18:49" ht="15" customHeight="1" hidden="1">
      <c r="R217">
        <f t="shared" si="7"/>
        <v>1</v>
      </c>
      <c r="S217" s="326">
        <f t="shared" si="6"/>
        <v>40</v>
      </c>
      <c r="T217" s="424" t="str">
        <f>IF(Účetní_závěrka!D51&lt;&gt;"",Účetní_závěrka!D51,"")</f>
        <v/>
      </c>
      <c r="U217" s="424" t="str">
        <f>IF(Účetní_závěrka!E51&lt;&gt;"",ABS(Účetní_závěrka!E51),"")</f>
        <v/>
      </c>
      <c r="V217" s="424" t="str">
        <f>IF(Účetní_závěrka!F51&lt;&gt;"",Účetní_závěrka!F51,"")</f>
        <v/>
      </c>
      <c r="W217" s="424" t="str">
        <f>IF(Účetní_závěrka!G51&lt;&gt;"",Účetní_závěrka!G51,"")</f>
        <v/>
      </c>
      <c r="Y217">
        <v>40</v>
      </c>
      <c r="AB217">
        <f t="shared" si="8"/>
        <v>1</v>
      </c>
      <c r="AC217" s="526" t="str">
        <f t="shared" si="9"/>
        <v/>
      </c>
      <c r="AD217" s="424" t="str">
        <f>IF(Účetní_závěrka!E135&lt;&gt;"",Účetní_závěrka!E135,"")</f>
        <v/>
      </c>
      <c r="AE217" s="424" t="str">
        <f>IF(Účetní_závěrka!D135&lt;&gt;"",Účetní_závěrka!D135,"")</f>
        <v/>
      </c>
      <c r="AG217">
        <v>40</v>
      </c>
      <c r="AQ217">
        <f t="shared" si="10"/>
        <v>1</v>
      </c>
      <c r="AR217" s="326">
        <f t="shared" si="5"/>
        <v>41</v>
      </c>
      <c r="AS217" s="424" t="str">
        <f>IF(Účetní_závěrka!L51&lt;&gt;"",Účetní_závěrka!L51,"")</f>
        <v/>
      </c>
      <c r="AT217" s="424" t="str">
        <f>IF(Účetní_závěrka!K51&lt;&gt;"",Účetní_závěrka!K51,"")</f>
        <v/>
      </c>
      <c r="AV217">
        <v>41</v>
      </c>
      <c r="AW217" s="329"/>
    </row>
    <row r="218" spans="18:49" ht="15" customHeight="1" hidden="1">
      <c r="R218">
        <f t="shared" si="7"/>
        <v>1</v>
      </c>
      <c r="S218" s="326">
        <f t="shared" si="6"/>
        <v>41</v>
      </c>
      <c r="T218" s="424" t="str">
        <f>IF(Účetní_závěrka!D52&lt;&gt;"",Účetní_závěrka!D52,"")</f>
        <v/>
      </c>
      <c r="U218" s="424" t="str">
        <f>IF(Účetní_závěrka!E52&lt;&gt;"",ABS(Účetní_závěrka!E52),"")</f>
        <v/>
      </c>
      <c r="V218" s="424" t="str">
        <f>IF(Účetní_závěrka!F52&lt;&gt;"",Účetní_závěrka!F52,"")</f>
        <v/>
      </c>
      <c r="W218" s="424" t="str">
        <f>IF(Účetní_závěrka!G52&lt;&gt;"",Účetní_závěrka!G52,"")</f>
        <v/>
      </c>
      <c r="Y218">
        <v>41</v>
      </c>
      <c r="AB218">
        <f t="shared" si="8"/>
        <v>1</v>
      </c>
      <c r="AC218" s="526" t="str">
        <f t="shared" si="9"/>
        <v/>
      </c>
      <c r="AD218" s="424" t="str">
        <f>IF(Účetní_závěrka!E136&lt;&gt;"",Účetní_závěrka!E136,"")</f>
        <v/>
      </c>
      <c r="AE218" s="424" t="str">
        <f>IF(Účetní_závěrka!D136&lt;&gt;"",Účetní_závěrka!D136,"")</f>
        <v/>
      </c>
      <c r="AF218" s="273"/>
      <c r="AG218">
        <v>41</v>
      </c>
      <c r="AQ218">
        <f t="shared" si="10"/>
        <v>1</v>
      </c>
      <c r="AR218" s="326">
        <f t="shared" si="5"/>
        <v>42</v>
      </c>
      <c r="AS218" s="424" t="str">
        <f>IF(Účetní_závěrka!L52&lt;&gt;"",Účetní_závěrka!L52,"")</f>
        <v/>
      </c>
      <c r="AT218" s="424" t="str">
        <f>IF(Účetní_závěrka!K52&lt;&gt;"",Účetní_závěrka!K52,"")</f>
        <v/>
      </c>
      <c r="AV218">
        <v>42</v>
      </c>
      <c r="AW218" s="329"/>
    </row>
    <row r="219" spans="18:49" ht="15" customHeight="1" hidden="1">
      <c r="R219">
        <f t="shared" si="7"/>
        <v>1</v>
      </c>
      <c r="S219" s="326">
        <f t="shared" si="6"/>
        <v>42</v>
      </c>
      <c r="T219" s="424" t="str">
        <f>IF(Účetní_závěrka!D53&lt;&gt;"",Účetní_závěrka!D53,"")</f>
        <v/>
      </c>
      <c r="U219" s="424" t="str">
        <f>IF(Účetní_závěrka!E53&lt;&gt;"",ABS(Účetní_závěrka!E53),"")</f>
        <v/>
      </c>
      <c r="V219" s="424" t="str">
        <f>IF(Účetní_závěrka!F53&lt;&gt;"",Účetní_závěrka!F53,"")</f>
        <v/>
      </c>
      <c r="W219" s="424" t="str">
        <f>IF(Účetní_závěrka!G53&lt;&gt;"",Účetní_závěrka!G53,"")</f>
        <v/>
      </c>
      <c r="Y219">
        <v>42</v>
      </c>
      <c r="AB219">
        <f t="shared" si="8"/>
        <v>1</v>
      </c>
      <c r="AC219" s="526" t="str">
        <f t="shared" si="9"/>
        <v/>
      </c>
      <c r="AD219" s="424" t="str">
        <f>IF(Účetní_závěrka!E137&lt;&gt;"",Účetní_závěrka!E137,"")</f>
        <v/>
      </c>
      <c r="AE219" s="424" t="str">
        <f>IF(Účetní_závěrka!D137&lt;&gt;"",Účetní_závěrka!D137,"")</f>
        <v/>
      </c>
      <c r="AF219" s="329"/>
      <c r="AG219">
        <v>42</v>
      </c>
      <c r="AQ219">
        <f t="shared" si="10"/>
        <v>1</v>
      </c>
      <c r="AR219" s="326">
        <f t="shared" si="5"/>
        <v>43</v>
      </c>
      <c r="AS219" s="424" t="str">
        <f>IF(Účetní_závěrka!L53&lt;&gt;"",Účetní_závěrka!L53,"")</f>
        <v/>
      </c>
      <c r="AT219" s="424" t="str">
        <f>IF(Účetní_závěrka!K53&lt;&gt;"",Účetní_závěrka!K53,"")</f>
        <v/>
      </c>
      <c r="AV219">
        <v>43</v>
      </c>
      <c r="AW219" s="329"/>
    </row>
    <row r="220" spans="18:49" ht="15" customHeight="1" hidden="1">
      <c r="R220">
        <f t="shared" si="7"/>
        <v>1</v>
      </c>
      <c r="S220" s="326">
        <f t="shared" si="6"/>
        <v>43</v>
      </c>
      <c r="T220" s="424" t="str">
        <f>IF(Účetní_závěrka!D54&lt;&gt;"",Účetní_závěrka!D54,"")</f>
        <v/>
      </c>
      <c r="U220" s="424" t="str">
        <f>IF(Účetní_závěrka!E54&lt;&gt;"",ABS(Účetní_závěrka!E54),"")</f>
        <v/>
      </c>
      <c r="V220" s="424" t="str">
        <f>IF(Účetní_závěrka!F54&lt;&gt;"",Účetní_závěrka!F54,"")</f>
        <v/>
      </c>
      <c r="W220" s="424" t="str">
        <f>IF(Účetní_závěrka!G54&lt;&gt;"",Účetní_závěrka!G54,"")</f>
        <v/>
      </c>
      <c r="Y220">
        <v>43</v>
      </c>
      <c r="AB220">
        <f t="shared" si="8"/>
        <v>1</v>
      </c>
      <c r="AC220" s="526" t="str">
        <f t="shared" si="9"/>
        <v/>
      </c>
      <c r="AD220" s="424" t="str">
        <f>IF(Účetní_závěrka!E138&lt;&gt;"",Účetní_závěrka!E138,"")</f>
        <v/>
      </c>
      <c r="AE220" s="424" t="str">
        <f>IF(Účetní_závěrka!D138&lt;&gt;"",Účetní_závěrka!D138,"")</f>
        <v/>
      </c>
      <c r="AF220" s="329"/>
      <c r="AG220">
        <v>43</v>
      </c>
      <c r="AQ220">
        <f t="shared" si="10"/>
        <v>1</v>
      </c>
      <c r="AR220" s="326">
        <f t="shared" si="5"/>
        <v>44</v>
      </c>
      <c r="AS220" s="424" t="str">
        <f>IF(Účetní_závěrka!L54&lt;&gt;"",Účetní_závěrka!L54,"")</f>
        <v/>
      </c>
      <c r="AT220" s="424" t="str">
        <f>IF(Účetní_závěrka!K54&lt;&gt;"",Účetní_závěrka!K54,"")</f>
        <v/>
      </c>
      <c r="AV220">
        <v>44</v>
      </c>
      <c r="AW220" s="329"/>
    </row>
    <row r="221" spans="18:49" ht="15" customHeight="1" hidden="1">
      <c r="R221">
        <f t="shared" si="7"/>
        <v>1</v>
      </c>
      <c r="S221" s="326">
        <f t="shared" si="6"/>
        <v>44</v>
      </c>
      <c r="T221" s="424" t="str">
        <f>IF(Účetní_závěrka!D55&lt;&gt;"",Účetní_závěrka!D55,"")</f>
        <v/>
      </c>
      <c r="U221" s="424" t="str">
        <f>IF(Účetní_závěrka!E55&lt;&gt;"",ABS(Účetní_závěrka!E55),"")</f>
        <v/>
      </c>
      <c r="V221" s="424" t="str">
        <f>IF(Účetní_závěrka!F55&lt;&gt;"",Účetní_závěrka!F55,"")</f>
        <v/>
      </c>
      <c r="W221" s="424" t="str">
        <f>IF(Účetní_závěrka!G55&lt;&gt;"",Účetní_závěrka!G55,"")</f>
        <v/>
      </c>
      <c r="Y221">
        <v>44</v>
      </c>
      <c r="AB221">
        <f t="shared" si="8"/>
        <v>1</v>
      </c>
      <c r="AC221" s="526" t="str">
        <f t="shared" si="9"/>
        <v/>
      </c>
      <c r="AD221" s="424" t="str">
        <f>IF(Účetní_závěrka!E139&lt;&gt;"",Účetní_závěrka!E139,"")</f>
        <v/>
      </c>
      <c r="AE221" s="424" t="str">
        <f>IF(Účetní_závěrka!D139&lt;&gt;"",Účetní_závěrka!D139,"")</f>
        <v/>
      </c>
      <c r="AF221" s="329"/>
      <c r="AG221">
        <v>44</v>
      </c>
      <c r="AQ221">
        <f t="shared" si="10"/>
        <v>1</v>
      </c>
      <c r="AR221" s="326">
        <f t="shared" si="5"/>
        <v>45</v>
      </c>
      <c r="AS221" s="424" t="str">
        <f>IF(Účetní_závěrka!L55&lt;&gt;"",Účetní_závěrka!L55,"")</f>
        <v/>
      </c>
      <c r="AT221" s="424" t="str">
        <f>IF(Účetní_závěrka!K55&lt;&gt;"",Účetní_závěrka!K55,"")</f>
        <v/>
      </c>
      <c r="AV221">
        <v>45</v>
      </c>
      <c r="AW221" s="329"/>
    </row>
    <row r="222" spans="18:49" ht="15" customHeight="1" hidden="1">
      <c r="R222">
        <f t="shared" si="7"/>
        <v>1</v>
      </c>
      <c r="S222" s="326">
        <f t="shared" si="6"/>
        <v>45</v>
      </c>
      <c r="T222" s="424" t="str">
        <f>IF(Účetní_závěrka!D56&lt;&gt;"",Účetní_závěrka!D56,"")</f>
        <v/>
      </c>
      <c r="U222" s="424" t="str">
        <f>IF(Účetní_závěrka!E56&lt;&gt;"",ABS(Účetní_závěrka!E56),"")</f>
        <v/>
      </c>
      <c r="V222" s="424" t="str">
        <f>IF(Účetní_závěrka!F56&lt;&gt;"",Účetní_závěrka!F56,"")</f>
        <v/>
      </c>
      <c r="W222" s="424" t="str">
        <f>IF(Účetní_závěrka!G56&lt;&gt;"",Účetní_závěrka!G56,"")</f>
        <v/>
      </c>
      <c r="Y222">
        <v>45</v>
      </c>
      <c r="AB222">
        <f t="shared" si="8"/>
        <v>1</v>
      </c>
      <c r="AC222" s="526" t="str">
        <f t="shared" si="9"/>
        <v/>
      </c>
      <c r="AD222" s="424" t="str">
        <f>IF(Účetní_závěrka!E140&lt;&gt;"",Účetní_závěrka!E140,"")</f>
        <v/>
      </c>
      <c r="AE222" s="424" t="str">
        <f>IF(Účetní_závěrka!D140&lt;&gt;"",Účetní_závěrka!D140,"")</f>
        <v/>
      </c>
      <c r="AF222" s="329"/>
      <c r="AG222">
        <v>45</v>
      </c>
      <c r="AQ222">
        <f t="shared" si="10"/>
        <v>1</v>
      </c>
      <c r="AR222" s="326">
        <f t="shared" si="5"/>
        <v>46</v>
      </c>
      <c r="AS222" s="424" t="str">
        <f>IF(Účetní_závěrka!L56&lt;&gt;"",Účetní_závěrka!L56,"")</f>
        <v/>
      </c>
      <c r="AT222" s="424" t="str">
        <f>IF(Účetní_závěrka!K56&lt;&gt;"",Účetní_závěrka!K56,"")</f>
        <v/>
      </c>
      <c r="AV222">
        <v>46</v>
      </c>
      <c r="AW222" s="329"/>
    </row>
    <row r="223" spans="18:49" ht="15" customHeight="1" hidden="1">
      <c r="R223">
        <f t="shared" si="7"/>
        <v>1</v>
      </c>
      <c r="S223" s="326">
        <f t="shared" si="6"/>
        <v>46</v>
      </c>
      <c r="T223" s="424" t="str">
        <f>IF(Účetní_závěrka!D57&lt;&gt;"",Účetní_závěrka!D57,"")</f>
        <v/>
      </c>
      <c r="U223" s="424" t="str">
        <f>IF(Účetní_závěrka!E57&lt;&gt;"",ABS(Účetní_závěrka!E57),"")</f>
        <v/>
      </c>
      <c r="V223" s="424" t="str">
        <f>IF(Účetní_závěrka!F57&lt;&gt;"",Účetní_závěrka!F57,"")</f>
        <v/>
      </c>
      <c r="W223" s="424" t="str">
        <f>IF(Účetní_závěrka!G57&lt;&gt;"",Účetní_závěrka!G57,"")</f>
        <v/>
      </c>
      <c r="Y223">
        <v>46</v>
      </c>
      <c r="AB223">
        <f t="shared" si="8"/>
        <v>1</v>
      </c>
      <c r="AC223" s="526" t="str">
        <f t="shared" si="9"/>
        <v/>
      </c>
      <c r="AD223" s="424" t="str">
        <f>IF(Účetní_závěrka!E141&lt;&gt;"",Účetní_závěrka!E141,"")</f>
        <v/>
      </c>
      <c r="AE223" s="424" t="str">
        <f>IF(Účetní_závěrka!D141&lt;&gt;"",Účetní_závěrka!D141,"")</f>
        <v/>
      </c>
      <c r="AF223" s="329"/>
      <c r="AG223">
        <v>46</v>
      </c>
      <c r="AQ223">
        <f t="shared" si="10"/>
        <v>1</v>
      </c>
      <c r="AR223" s="326">
        <f t="shared" si="5"/>
        <v>47</v>
      </c>
      <c r="AS223" s="424" t="str">
        <f>IF(Účetní_závěrka!L57&lt;&gt;"",Účetní_závěrka!L57,"")</f>
        <v/>
      </c>
      <c r="AT223" s="424" t="str">
        <f>IF(Účetní_závěrka!K57&lt;&gt;"",Účetní_závěrka!K57,"")</f>
        <v/>
      </c>
      <c r="AV223">
        <v>47</v>
      </c>
      <c r="AW223" s="329"/>
    </row>
    <row r="224" spans="18:49" ht="15" customHeight="1" hidden="1">
      <c r="R224">
        <f t="shared" si="7"/>
        <v>1</v>
      </c>
      <c r="S224" s="326">
        <f t="shared" si="6"/>
        <v>47</v>
      </c>
      <c r="T224" s="424" t="str">
        <f>IF(Účetní_závěrka!D58&lt;&gt;"",Účetní_závěrka!D58,"")</f>
        <v/>
      </c>
      <c r="U224" s="424" t="str">
        <f>IF(Účetní_závěrka!E58&lt;&gt;"",ABS(Účetní_závěrka!E58),"")</f>
        <v/>
      </c>
      <c r="V224" s="424" t="str">
        <f>IF(Účetní_závěrka!F58&lt;&gt;"",Účetní_závěrka!F58,"")</f>
        <v/>
      </c>
      <c r="W224" s="424" t="str">
        <f>IF(Účetní_závěrka!G58&lt;&gt;"",Účetní_závěrka!G58,"")</f>
        <v/>
      </c>
      <c r="Y224">
        <v>47</v>
      </c>
      <c r="AB224">
        <f t="shared" si="8"/>
        <v>1</v>
      </c>
      <c r="AC224" s="526" t="str">
        <f t="shared" si="9"/>
        <v/>
      </c>
      <c r="AD224" s="424" t="str">
        <f>IF(Účetní_závěrka!E142&lt;&gt;"",Účetní_závěrka!E142,"")</f>
        <v/>
      </c>
      <c r="AE224" s="424" t="str">
        <f>IF(Účetní_závěrka!D142&lt;&gt;"",Účetní_závěrka!D142,"")</f>
        <v/>
      </c>
      <c r="AF224" s="329"/>
      <c r="AG224">
        <v>47</v>
      </c>
      <c r="AQ224">
        <f t="shared" si="10"/>
        <v>1</v>
      </c>
      <c r="AR224" s="326">
        <f t="shared" si="5"/>
        <v>48</v>
      </c>
      <c r="AS224" s="424" t="str">
        <f>IF(Účetní_závěrka!L58&lt;&gt;"",Účetní_závěrka!L58,"")</f>
        <v/>
      </c>
      <c r="AT224" s="424" t="str">
        <f>IF(Účetní_závěrka!K58&lt;&gt;"",Účetní_závěrka!K58,"")</f>
        <v/>
      </c>
      <c r="AV224">
        <v>48</v>
      </c>
      <c r="AW224" s="329"/>
    </row>
    <row r="225" spans="18:49" ht="15" customHeight="1" hidden="1">
      <c r="R225">
        <f t="shared" si="7"/>
        <v>1</v>
      </c>
      <c r="S225" s="326">
        <f t="shared" si="6"/>
        <v>48</v>
      </c>
      <c r="T225" s="424" t="str">
        <f>IF(Účetní_závěrka!D59&lt;&gt;"",Účetní_závěrka!D59,"")</f>
        <v/>
      </c>
      <c r="U225" s="424" t="str">
        <f>IF(Účetní_závěrka!E59&lt;&gt;"",ABS(Účetní_závěrka!E59),"")</f>
        <v/>
      </c>
      <c r="V225" s="424" t="str">
        <f>IF(Účetní_závěrka!F59&lt;&gt;"",Účetní_závěrka!F59,"")</f>
        <v/>
      </c>
      <c r="W225" s="424" t="str">
        <f>IF(Účetní_závěrka!G59&lt;&gt;"",Účetní_závěrka!G59,"")</f>
        <v/>
      </c>
      <c r="Y225">
        <v>48</v>
      </c>
      <c r="AB225">
        <f t="shared" si="8"/>
        <v>1</v>
      </c>
      <c r="AC225" s="526" t="str">
        <f t="shared" si="9"/>
        <v/>
      </c>
      <c r="AD225" s="424" t="str">
        <f>IF(Účetní_závěrka!E143&lt;&gt;"",Účetní_závěrka!E143,"")</f>
        <v/>
      </c>
      <c r="AE225" s="424" t="str">
        <f>IF(Účetní_závěrka!D143&lt;&gt;"",Účetní_závěrka!D143,"")</f>
        <v/>
      </c>
      <c r="AF225" s="329"/>
      <c r="AG225">
        <v>48</v>
      </c>
      <c r="AQ225">
        <f t="shared" si="10"/>
        <v>1</v>
      </c>
      <c r="AR225" s="326">
        <f t="shared" si="5"/>
        <v>49</v>
      </c>
      <c r="AS225" s="424" t="str">
        <f>IF(Účetní_závěrka!L59&lt;&gt;"",Účetní_závěrka!L59,"")</f>
        <v/>
      </c>
      <c r="AT225" s="424" t="str">
        <f>IF(Účetní_závěrka!K59&lt;&gt;"",Účetní_závěrka!K59,"")</f>
        <v/>
      </c>
      <c r="AV225">
        <v>49</v>
      </c>
      <c r="AW225" s="329"/>
    </row>
    <row r="226" spans="18:49" ht="15" customHeight="1" hidden="1">
      <c r="R226">
        <f t="shared" si="7"/>
        <v>1</v>
      </c>
      <c r="S226" s="326">
        <f t="shared" si="6"/>
        <v>49</v>
      </c>
      <c r="T226" s="424" t="str">
        <f>IF(Účetní_závěrka!D60&lt;&gt;"",Účetní_závěrka!D60,"")</f>
        <v/>
      </c>
      <c r="U226" s="424" t="str">
        <f>IF(Účetní_závěrka!E60&lt;&gt;"",ABS(Účetní_závěrka!E60),"")</f>
        <v/>
      </c>
      <c r="V226" s="424" t="str">
        <f>IF(Účetní_závěrka!F60&lt;&gt;"",Účetní_závěrka!F60,"")</f>
        <v/>
      </c>
      <c r="W226" s="424" t="str">
        <f>IF(Účetní_závěrka!G60&lt;&gt;"",Účetní_závěrka!G60,"")</f>
        <v/>
      </c>
      <c r="Y226">
        <v>49</v>
      </c>
      <c r="AB226">
        <f t="shared" si="8"/>
        <v>1</v>
      </c>
      <c r="AC226" s="526" t="str">
        <f t="shared" si="9"/>
        <v/>
      </c>
      <c r="AD226" s="424" t="str">
        <f>IF(Účetní_závěrka!E144&lt;&gt;"",Účetní_závěrka!E144,"")</f>
        <v/>
      </c>
      <c r="AE226" s="424" t="str">
        <f>IF(Účetní_závěrka!D144&lt;&gt;"",Účetní_závěrka!D144,"")</f>
        <v/>
      </c>
      <c r="AF226" s="329"/>
      <c r="AG226">
        <v>49</v>
      </c>
      <c r="AQ226">
        <f t="shared" si="10"/>
        <v>1</v>
      </c>
      <c r="AR226" s="326">
        <f t="shared" si="5"/>
        <v>50</v>
      </c>
      <c r="AS226" s="424" t="str">
        <f>IF(Účetní_závěrka!L60&lt;&gt;"",Účetní_závěrka!L60,"")</f>
        <v/>
      </c>
      <c r="AT226" s="424" t="str">
        <f>IF(Účetní_závěrka!K60&lt;&gt;"",Účetní_závěrka!K60,"")</f>
        <v/>
      </c>
      <c r="AV226">
        <v>50</v>
      </c>
      <c r="AW226" s="329"/>
    </row>
    <row r="227" spans="18:49" ht="15" customHeight="1" hidden="1">
      <c r="R227">
        <f t="shared" si="7"/>
        <v>1</v>
      </c>
      <c r="S227" s="326">
        <f t="shared" si="6"/>
        <v>50</v>
      </c>
      <c r="T227" s="424" t="str">
        <f>IF(Účetní_závěrka!D61&lt;&gt;"",Účetní_závěrka!D61,"")</f>
        <v/>
      </c>
      <c r="U227" s="424" t="str">
        <f>IF(Účetní_závěrka!E61&lt;&gt;"",ABS(Účetní_závěrka!E61),"")</f>
        <v/>
      </c>
      <c r="V227" s="424" t="str">
        <f>IF(Účetní_závěrka!F61&lt;&gt;"",Účetní_závěrka!F61,"")</f>
        <v/>
      </c>
      <c r="W227" s="424" t="str">
        <f>IF(Účetní_závěrka!G61&lt;&gt;"",Účetní_závěrka!G61,"")</f>
        <v/>
      </c>
      <c r="Y227">
        <v>50</v>
      </c>
      <c r="AB227">
        <f t="shared" si="8"/>
        <v>1</v>
      </c>
      <c r="AC227" s="526" t="str">
        <f t="shared" si="9"/>
        <v/>
      </c>
      <c r="AD227" s="424" t="str">
        <f>IF(Účetní_závěrka!E145&lt;&gt;"",Účetní_závěrka!E145,"")</f>
        <v/>
      </c>
      <c r="AE227" s="424" t="str">
        <f>IF(Účetní_závěrka!D145&lt;&gt;"",Účetní_závěrka!D145,"")</f>
        <v/>
      </c>
      <c r="AF227" s="329"/>
      <c r="AG227">
        <v>50</v>
      </c>
      <c r="AQ227">
        <f t="shared" si="10"/>
        <v>1</v>
      </c>
      <c r="AR227" s="326">
        <f t="shared" si="5"/>
        <v>51</v>
      </c>
      <c r="AS227" s="424" t="str">
        <f>IF(Účetní_závěrka!L61&lt;&gt;"",Účetní_závěrka!L61,"")</f>
        <v/>
      </c>
      <c r="AT227" s="424" t="str">
        <f>IF(Účetní_závěrka!K61&lt;&gt;"",Účetní_závěrka!K61,"")</f>
        <v/>
      </c>
      <c r="AV227">
        <v>51</v>
      </c>
      <c r="AW227" s="329"/>
    </row>
    <row r="228" spans="18:49" ht="15" customHeight="1" hidden="1">
      <c r="R228">
        <f t="shared" si="7"/>
        <v>1</v>
      </c>
      <c r="S228" s="326">
        <f t="shared" si="6"/>
        <v>51</v>
      </c>
      <c r="T228" s="424" t="str">
        <f>IF(Účetní_závěrka!D62&lt;&gt;"",Účetní_závěrka!D62,"")</f>
        <v/>
      </c>
      <c r="U228" s="424" t="str">
        <f>IF(Účetní_závěrka!E62&lt;&gt;"",ABS(Účetní_závěrka!E62),"")</f>
        <v/>
      </c>
      <c r="V228" s="424" t="str">
        <f>IF(Účetní_závěrka!F62&lt;&gt;"",Účetní_závěrka!F62,"")</f>
        <v/>
      </c>
      <c r="W228" s="424" t="str">
        <f>IF(Účetní_závěrka!G62&lt;&gt;"",Účetní_závěrka!G62,"")</f>
        <v/>
      </c>
      <c r="Y228">
        <v>51</v>
      </c>
      <c r="AB228">
        <f t="shared" si="8"/>
        <v>1</v>
      </c>
      <c r="AC228" s="526" t="str">
        <f t="shared" si="9"/>
        <v/>
      </c>
      <c r="AD228" s="424" t="str">
        <f>IF(Účetní_závěrka!E146&lt;&gt;"",Účetní_závěrka!E146,"")</f>
        <v/>
      </c>
      <c r="AE228" s="424" t="str">
        <f>IF(Účetní_závěrka!D146&lt;&gt;"",Účetní_závěrka!D146,"")</f>
        <v/>
      </c>
      <c r="AF228" s="329"/>
      <c r="AG228">
        <v>51</v>
      </c>
      <c r="AQ228">
        <f t="shared" si="10"/>
        <v>1</v>
      </c>
      <c r="AR228" s="326">
        <f t="shared" si="5"/>
        <v>52</v>
      </c>
      <c r="AS228" s="424" t="str">
        <f>IF(Účetní_závěrka!L62&lt;&gt;"",Účetní_závěrka!L62,"")</f>
        <v/>
      </c>
      <c r="AT228" s="424" t="str">
        <f>IF(Účetní_závěrka!K62&lt;&gt;"",Účetní_závěrka!K62,"")</f>
        <v/>
      </c>
      <c r="AV228">
        <v>52</v>
      </c>
      <c r="AW228" s="329"/>
    </row>
    <row r="229" spans="18:49" ht="15" customHeight="1" hidden="1">
      <c r="R229">
        <f t="shared" si="7"/>
        <v>1</v>
      </c>
      <c r="S229" s="326">
        <f t="shared" si="6"/>
        <v>52</v>
      </c>
      <c r="T229" s="424" t="str">
        <f>IF(Účetní_závěrka!D63&lt;&gt;"",Účetní_závěrka!D63,"")</f>
        <v/>
      </c>
      <c r="U229" s="424" t="str">
        <f>IF(Účetní_závěrka!E63&lt;&gt;"",ABS(Účetní_závěrka!E63),"")</f>
        <v/>
      </c>
      <c r="V229" s="424" t="str">
        <f>IF(Účetní_závěrka!F63&lt;&gt;"",Účetní_závěrka!F63,"")</f>
        <v/>
      </c>
      <c r="W229" s="424" t="str">
        <f>IF(Účetní_závěrka!G63&lt;&gt;"",Účetní_závěrka!G63,"")</f>
        <v/>
      </c>
      <c r="Y229">
        <v>52</v>
      </c>
      <c r="AB229">
        <f t="shared" si="8"/>
        <v>1</v>
      </c>
      <c r="AC229" s="526" t="str">
        <f t="shared" si="9"/>
        <v/>
      </c>
      <c r="AD229" s="424" t="str">
        <f>IF(Účetní_závěrka!E147&lt;&gt;"",Účetní_závěrka!E147,"")</f>
        <v/>
      </c>
      <c r="AE229" s="424" t="str">
        <f>IF(Účetní_závěrka!D147&lt;&gt;"",Účetní_závěrka!D147,"")</f>
        <v/>
      </c>
      <c r="AF229" s="329"/>
      <c r="AG229">
        <v>52</v>
      </c>
      <c r="AQ229">
        <f t="shared" si="10"/>
        <v>1</v>
      </c>
      <c r="AR229" s="326">
        <f t="shared" si="5"/>
        <v>53</v>
      </c>
      <c r="AS229" s="424" t="str">
        <f>IF(Účetní_závěrka!L63&lt;&gt;"",Účetní_závěrka!L63,"")</f>
        <v/>
      </c>
      <c r="AT229" s="424" t="str">
        <f>IF(Účetní_závěrka!K63&lt;&gt;"",Účetní_závěrka!K63,"")</f>
        <v/>
      </c>
      <c r="AV229">
        <v>53</v>
      </c>
      <c r="AW229" s="329"/>
    </row>
    <row r="230" spans="18:49" ht="15" customHeight="1" hidden="1">
      <c r="R230">
        <f t="shared" si="7"/>
        <v>1</v>
      </c>
      <c r="S230" s="326">
        <f t="shared" si="6"/>
        <v>53</v>
      </c>
      <c r="T230" s="424" t="str">
        <f>IF(Účetní_závěrka!D64&lt;&gt;"",Účetní_závěrka!D64,"")</f>
        <v/>
      </c>
      <c r="U230" s="424" t="str">
        <f>IF(Účetní_závěrka!E64&lt;&gt;"",ABS(Účetní_závěrka!E64),"")</f>
        <v/>
      </c>
      <c r="V230" s="424" t="str">
        <f>IF(Účetní_závěrka!F64&lt;&gt;"",Účetní_závěrka!F64,"")</f>
        <v/>
      </c>
      <c r="W230" s="424" t="str">
        <f>IF(Účetní_závěrka!G64&lt;&gt;"",Účetní_závěrka!G64,"")</f>
        <v/>
      </c>
      <c r="Y230">
        <v>53</v>
      </c>
      <c r="AB230">
        <f t="shared" si="8"/>
        <v>1</v>
      </c>
      <c r="AC230" s="526" t="str">
        <f t="shared" si="9"/>
        <v/>
      </c>
      <c r="AD230" s="424" t="str">
        <f>IF(Účetní_závěrka!E148&lt;&gt;"",Účetní_závěrka!E148,"")</f>
        <v/>
      </c>
      <c r="AE230" s="424" t="str">
        <f>IF(Účetní_závěrka!D148&lt;&gt;"",Účetní_závěrka!D148,"")</f>
        <v/>
      </c>
      <c r="AF230" s="329"/>
      <c r="AG230">
        <v>53</v>
      </c>
      <c r="AQ230">
        <f t="shared" si="10"/>
        <v>1</v>
      </c>
      <c r="AR230" s="326">
        <f t="shared" si="5"/>
        <v>54</v>
      </c>
      <c r="AS230" s="424" t="str">
        <f>IF(Účetní_závěrka!L64&lt;&gt;"",Účetní_závěrka!L64,"")</f>
        <v/>
      </c>
      <c r="AT230" s="424" t="str">
        <f>IF(Účetní_závěrka!K64&lt;&gt;"",Účetní_závěrka!K64,"")</f>
        <v/>
      </c>
      <c r="AV230">
        <v>54</v>
      </c>
      <c r="AW230" s="329"/>
    </row>
    <row r="231" spans="18:49" ht="15" customHeight="1" hidden="1">
      <c r="R231">
        <f t="shared" si="7"/>
        <v>1</v>
      </c>
      <c r="S231" s="326">
        <f t="shared" si="6"/>
        <v>54</v>
      </c>
      <c r="T231" s="424" t="str">
        <f>IF(Účetní_závěrka!D65&lt;&gt;"",Účetní_závěrka!D65,"")</f>
        <v/>
      </c>
      <c r="U231" s="424" t="str">
        <f>IF(Účetní_závěrka!E65&lt;&gt;"",ABS(Účetní_závěrka!E65),"")</f>
        <v/>
      </c>
      <c r="V231" s="424" t="str">
        <f>IF(Účetní_závěrka!F65&lt;&gt;"",Účetní_závěrka!F65,"")</f>
        <v/>
      </c>
      <c r="W231" s="424" t="str">
        <f>IF(Účetní_závěrka!G65&lt;&gt;"",Účetní_závěrka!G65,"")</f>
        <v/>
      </c>
      <c r="Y231">
        <v>54</v>
      </c>
      <c r="AB231">
        <f t="shared" si="8"/>
        <v>1</v>
      </c>
      <c r="AC231" s="526" t="str">
        <f t="shared" si="9"/>
        <v/>
      </c>
      <c r="AD231" s="424" t="str">
        <f>IF(Účetní_závěrka!E149&lt;&gt;"",Účetní_závěrka!E149,"")</f>
        <v/>
      </c>
      <c r="AE231" s="424" t="str">
        <f>IF(Účetní_závěrka!D149&lt;&gt;"",Účetní_závěrka!D149,"")</f>
        <v/>
      </c>
      <c r="AF231" s="329"/>
      <c r="AG231">
        <v>54</v>
      </c>
      <c r="AQ231">
        <f t="shared" si="10"/>
        <v>1</v>
      </c>
      <c r="AR231" s="326">
        <f t="shared" si="5"/>
        <v>55</v>
      </c>
      <c r="AS231" s="424" t="str">
        <f>IF(Účetní_závěrka!L65&lt;&gt;"",Účetní_závěrka!L65,"")</f>
        <v/>
      </c>
      <c r="AT231" s="424" t="str">
        <f>IF(Účetní_závěrka!K65&lt;&gt;"",Účetní_závěrka!K65,"")</f>
        <v/>
      </c>
      <c r="AV231">
        <v>55</v>
      </c>
      <c r="AW231" s="329"/>
    </row>
    <row r="232" spans="18:49" ht="15" customHeight="1" hidden="1">
      <c r="R232">
        <f t="shared" si="7"/>
        <v>1</v>
      </c>
      <c r="S232" s="326">
        <f t="shared" si="6"/>
        <v>55</v>
      </c>
      <c r="T232" s="424" t="str">
        <f>IF(Účetní_závěrka!D66&lt;&gt;"",Účetní_závěrka!D66,"")</f>
        <v/>
      </c>
      <c r="U232" s="424" t="str">
        <f>IF(Účetní_závěrka!E66&lt;&gt;"",ABS(Účetní_závěrka!E66),"")</f>
        <v/>
      </c>
      <c r="V232" s="424" t="str">
        <f>IF(Účetní_závěrka!F66&lt;&gt;"",Účetní_závěrka!F66,"")</f>
        <v/>
      </c>
      <c r="W232" s="424" t="str">
        <f>IF(Účetní_závěrka!G66&lt;&gt;"",Účetní_závěrka!G66,"")</f>
        <v/>
      </c>
      <c r="Y232">
        <v>55</v>
      </c>
      <c r="AB232">
        <f t="shared" si="8"/>
        <v>1</v>
      </c>
      <c r="AC232" s="526" t="str">
        <f t="shared" si="9"/>
        <v/>
      </c>
      <c r="AD232" s="424" t="str">
        <f>IF(Účetní_závěrka!E150&lt;&gt;"",Účetní_závěrka!E150,"")</f>
        <v/>
      </c>
      <c r="AE232" s="424" t="str">
        <f>IF(Účetní_závěrka!D150&lt;&gt;"",Účetní_závěrka!D150,"")</f>
        <v/>
      </c>
      <c r="AF232" s="329"/>
      <c r="AG232">
        <v>55</v>
      </c>
      <c r="AQ232">
        <f t="shared" si="10"/>
        <v>1</v>
      </c>
      <c r="AR232" s="326">
        <f t="shared" si="5"/>
        <v>56</v>
      </c>
      <c r="AS232" s="424" t="str">
        <f>IF(Účetní_závěrka!L66&lt;&gt;"",Účetní_závěrka!L66,"")</f>
        <v/>
      </c>
      <c r="AT232" s="424" t="str">
        <f>IF(Účetní_závěrka!K66&lt;&gt;"",Účetní_závěrka!K66,"")</f>
        <v/>
      </c>
      <c r="AV232">
        <v>56</v>
      </c>
      <c r="AW232" s="329"/>
    </row>
    <row r="233" spans="18:49" ht="15" customHeight="1" hidden="1">
      <c r="R233">
        <f t="shared" si="7"/>
        <v>1</v>
      </c>
      <c r="S233" s="326">
        <f t="shared" si="6"/>
        <v>56</v>
      </c>
      <c r="T233" s="424" t="str">
        <f>IF(Účetní_závěrka!D67&lt;&gt;"",Účetní_závěrka!D67,"")</f>
        <v/>
      </c>
      <c r="U233" s="424" t="str">
        <f>IF(Účetní_závěrka!E67&lt;&gt;"",ABS(Účetní_závěrka!E67),"")</f>
        <v/>
      </c>
      <c r="V233" s="424" t="str">
        <f>IF(Účetní_závěrka!F67&lt;&gt;"",Účetní_závěrka!F67,"")</f>
        <v/>
      </c>
      <c r="W233" s="424" t="str">
        <f>IF(Účetní_závěrka!G67&lt;&gt;"",Účetní_závěrka!G67,"")</f>
        <v/>
      </c>
      <c r="Y233">
        <v>56</v>
      </c>
      <c r="AB233">
        <f t="shared" si="8"/>
        <v>1</v>
      </c>
      <c r="AC233" s="526" t="str">
        <f t="shared" si="9"/>
        <v/>
      </c>
      <c r="AD233" s="424" t="str">
        <f>IF(Účetní_závěrka!E151&lt;&gt;"",Účetní_závěrka!E151,"")</f>
        <v/>
      </c>
      <c r="AE233" s="424" t="str">
        <f>IF(Účetní_závěrka!D151&lt;&gt;"",Účetní_závěrka!D151,"")</f>
        <v/>
      </c>
      <c r="AF233" s="329"/>
      <c r="AG233">
        <v>56</v>
      </c>
      <c r="AQ233">
        <f t="shared" si="10"/>
        <v>1</v>
      </c>
      <c r="AR233" s="326">
        <f t="shared" si="5"/>
        <v>57</v>
      </c>
      <c r="AS233" s="424" t="str">
        <f>IF(Účetní_závěrka!L67&lt;&gt;"",Účetní_závěrka!L67,"")</f>
        <v/>
      </c>
      <c r="AT233" s="424" t="str">
        <f>IF(Účetní_závěrka!K67&lt;&gt;"",Účetní_závěrka!K67,"")</f>
        <v/>
      </c>
      <c r="AV233">
        <v>57</v>
      </c>
      <c r="AW233" s="329"/>
    </row>
    <row r="234" spans="18:49" ht="15" customHeight="1" hidden="1">
      <c r="R234">
        <f t="shared" si="7"/>
        <v>1</v>
      </c>
      <c r="S234" s="326">
        <f t="shared" si="6"/>
        <v>57</v>
      </c>
      <c r="T234" s="424" t="str">
        <f>IF(Účetní_závěrka!D68&lt;&gt;"",Účetní_závěrka!D68,"")</f>
        <v/>
      </c>
      <c r="U234" s="424" t="str">
        <f>IF(Účetní_závěrka!E68&lt;&gt;"",ABS(Účetní_závěrka!E68),"")</f>
        <v/>
      </c>
      <c r="V234" s="424" t="str">
        <f>IF(Účetní_závěrka!F68&lt;&gt;"",Účetní_závěrka!F68,"")</f>
        <v/>
      </c>
      <c r="W234" s="424" t="str">
        <f>IF(Účetní_závěrka!G68&lt;&gt;"",Účetní_závěrka!G68,"")</f>
        <v/>
      </c>
      <c r="Y234">
        <v>57</v>
      </c>
      <c r="AB234" s="324">
        <f t="shared" si="11" ref="AB234:AB237">$AB$176</f>
        <v>1</v>
      </c>
      <c r="AC234" s="526" t="str">
        <f t="shared" si="12" ref="AC234:AC237">IF($B$38="P",AG238,IF(AH238&lt;&gt;"",AH238,""))</f>
        <v/>
      </c>
      <c r="AD234" s="527"/>
      <c r="AE234" s="527"/>
      <c r="AF234" s="329"/>
      <c r="AG234" s="329"/>
      <c r="AH234" s="329"/>
      <c r="AQ234">
        <f t="shared" si="10"/>
        <v>1</v>
      </c>
      <c r="AR234" s="326">
        <f t="shared" si="5"/>
        <v>58</v>
      </c>
      <c r="AS234" s="424" t="str">
        <f>IF(Účetní_závěrka!L68&lt;&gt;"",Účetní_závěrka!L68,"")</f>
        <v/>
      </c>
      <c r="AT234" s="424" t="str">
        <f>IF(Účetní_závěrka!K68&lt;&gt;"",Účetní_závěrka!K68,"")</f>
        <v/>
      </c>
      <c r="AV234">
        <v>58</v>
      </c>
      <c r="AW234" s="329"/>
    </row>
    <row r="235" spans="18:49" ht="15" customHeight="1" hidden="1">
      <c r="R235">
        <f t="shared" si="7"/>
        <v>1</v>
      </c>
      <c r="S235" s="326">
        <f t="shared" si="6"/>
        <v>58</v>
      </c>
      <c r="T235" s="424" t="str">
        <f>IF(Účetní_závěrka!D69&lt;&gt;"",Účetní_závěrka!D69,"")</f>
        <v/>
      </c>
      <c r="U235" s="424" t="str">
        <f>IF(Účetní_závěrka!E69&lt;&gt;"",ABS(Účetní_závěrka!E69),"")</f>
        <v/>
      </c>
      <c r="V235" s="424" t="str">
        <f>IF(Účetní_závěrka!F69&lt;&gt;"",Účetní_závěrka!F69,"")</f>
        <v/>
      </c>
      <c r="W235" s="424" t="str">
        <f>IF(Účetní_závěrka!G69&lt;&gt;"",Účetní_závěrka!G69,"")</f>
        <v/>
      </c>
      <c r="Y235">
        <v>58</v>
      </c>
      <c r="AB235" s="324">
        <f t="shared" si="11"/>
        <v>1</v>
      </c>
      <c r="AC235" s="526" t="str">
        <f t="shared" si="12"/>
        <v/>
      </c>
      <c r="AD235" s="527"/>
      <c r="AE235" s="527"/>
      <c r="AF235" s="329"/>
      <c r="AG235" s="329"/>
      <c r="AH235" s="329"/>
      <c r="AQ235">
        <f t="shared" si="10"/>
        <v>1</v>
      </c>
      <c r="AR235" s="326">
        <f t="shared" si="5"/>
        <v>59</v>
      </c>
      <c r="AS235" s="424" t="str">
        <f>IF(Účetní_závěrka!L69&lt;&gt;"",Účetní_závěrka!L69,"")</f>
        <v/>
      </c>
      <c r="AT235" s="424" t="str">
        <f>IF(Účetní_závěrka!K69&lt;&gt;"",Účetní_závěrka!K69,"")</f>
        <v/>
      </c>
      <c r="AV235">
        <v>59</v>
      </c>
      <c r="AW235" s="329"/>
    </row>
    <row r="236" spans="18:49" ht="15" customHeight="1" hidden="1">
      <c r="R236">
        <f t="shared" si="7"/>
        <v>1</v>
      </c>
      <c r="S236" s="326">
        <f t="shared" si="6"/>
        <v>59</v>
      </c>
      <c r="T236" s="424" t="str">
        <f>IF(Účetní_závěrka!D70&lt;&gt;"",Účetní_závěrka!D70,"")</f>
        <v/>
      </c>
      <c r="U236" s="424" t="str">
        <f>IF(Účetní_závěrka!E70&lt;&gt;"",ABS(Účetní_závěrka!E70),"")</f>
        <v/>
      </c>
      <c r="V236" s="424" t="str">
        <f>IF(Účetní_závěrka!F70&lt;&gt;"",Účetní_závěrka!F70,"")</f>
        <v/>
      </c>
      <c r="W236" s="424" t="str">
        <f>IF(Účetní_závěrka!G70&lt;&gt;"",Účetní_závěrka!G70,"")</f>
        <v/>
      </c>
      <c r="Y236">
        <v>59</v>
      </c>
      <c r="AB236" s="324">
        <f t="shared" si="11"/>
        <v>1</v>
      </c>
      <c r="AC236" s="526" t="str">
        <f t="shared" si="12"/>
        <v/>
      </c>
      <c r="AD236" s="527"/>
      <c r="AE236" s="527"/>
      <c r="AF236" s="329"/>
      <c r="AG236" s="329"/>
      <c r="AH236" s="329"/>
      <c r="AQ236" s="324">
        <f t="shared" si="13" ref="AQ236:AQ243">$AP$178</f>
        <v>1</v>
      </c>
      <c r="AR236" s="326">
        <f t="shared" si="5"/>
        <v>60</v>
      </c>
      <c r="AS236" s="424" t="str">
        <f>IF(Účetní_závěrka!L70&lt;&gt;"",Účetní_závěrka!L70,"")</f>
        <v/>
      </c>
      <c r="AT236" s="424" t="str">
        <f>IF(Účetní_závěrka!K70&lt;&gt;"",Účetní_závěrka!K70,"")</f>
        <v/>
      </c>
      <c r="AV236">
        <v>60</v>
      </c>
      <c r="AW236" s="329"/>
    </row>
    <row r="237" spans="18:49" ht="15" customHeight="1" hidden="1">
      <c r="R237">
        <f t="shared" si="7"/>
        <v>1</v>
      </c>
      <c r="S237" s="326">
        <f t="shared" si="6"/>
        <v>60</v>
      </c>
      <c r="T237" s="424" t="str">
        <f>IF(Účetní_závěrka!D71&lt;&gt;"",Účetní_závěrka!D71,"")</f>
        <v/>
      </c>
      <c r="U237" s="424" t="str">
        <f>IF(Účetní_závěrka!E71&lt;&gt;"",ABS(Účetní_závěrka!E71),"")</f>
        <v/>
      </c>
      <c r="V237" s="424" t="str">
        <f>IF(Účetní_závěrka!F71&lt;&gt;"",Účetní_závěrka!F71,"")</f>
        <v/>
      </c>
      <c r="W237" s="424" t="str">
        <f>IF(Účetní_závěrka!G71&lt;&gt;"",Účetní_závěrka!G71,"")</f>
        <v/>
      </c>
      <c r="Y237">
        <v>60</v>
      </c>
      <c r="AB237" s="324">
        <f t="shared" si="11"/>
        <v>1</v>
      </c>
      <c r="AC237" s="526" t="str">
        <f t="shared" si="12"/>
        <v/>
      </c>
      <c r="AD237" s="527"/>
      <c r="AE237" s="527"/>
      <c r="AF237" s="329"/>
      <c r="AG237" s="329"/>
      <c r="AH237" s="329"/>
      <c r="AQ237" s="324">
        <f t="shared" si="13"/>
        <v>1</v>
      </c>
      <c r="AR237" s="326">
        <f t="shared" si="5"/>
        <v>61</v>
      </c>
      <c r="AS237" s="424" t="str">
        <f>IF(Účetní_závěrka!L71&lt;&gt;"",Účetní_závěrka!L71,"")</f>
        <v/>
      </c>
      <c r="AT237" s="424" t="str">
        <f>IF(Účetní_závěrka!K71&lt;&gt;"",Účetní_závěrka!K71,"")</f>
        <v/>
      </c>
      <c r="AV237">
        <v>61</v>
      </c>
      <c r="AW237" s="329"/>
    </row>
    <row r="238" spans="18:49" ht="15" customHeight="1" hidden="1">
      <c r="R238">
        <f t="shared" si="7"/>
        <v>1</v>
      </c>
      <c r="S238" s="326">
        <f t="shared" si="6"/>
        <v>61</v>
      </c>
      <c r="T238" s="424" t="str">
        <f>IF(Účetní_závěrka!D72&lt;&gt;"",Účetní_závěrka!D72,"")</f>
        <v/>
      </c>
      <c r="U238" s="424" t="str">
        <f>IF(Účetní_závěrka!E72&lt;&gt;"",ABS(Účetní_závěrka!E72),"")</f>
        <v/>
      </c>
      <c r="V238" s="424" t="str">
        <f>IF(Účetní_závěrka!F72&lt;&gt;"",Účetní_závěrka!F72,"")</f>
        <v/>
      </c>
      <c r="W238" s="424" t="str">
        <f>IF(Účetní_závěrka!G72&lt;&gt;"",Účetní_závěrka!G72,"")</f>
        <v/>
      </c>
      <c r="Y238">
        <v>61</v>
      </c>
      <c r="AD238" s="324"/>
      <c r="AE238" s="324"/>
      <c r="AF238" s="329"/>
      <c r="AG238" s="329"/>
      <c r="AH238" s="329"/>
      <c r="AQ238" s="324">
        <f t="shared" si="13"/>
        <v>1</v>
      </c>
      <c r="AR238" s="326">
        <f t="shared" si="5"/>
        <v>62</v>
      </c>
      <c r="AS238" s="424" t="str">
        <f>IF(Účetní_závěrka!L72&lt;&gt;"",Účetní_závěrka!L72,"")</f>
        <v/>
      </c>
      <c r="AT238" s="424" t="str">
        <f>IF(Účetní_závěrka!K72&lt;&gt;"",Účetní_závěrka!K72,"")</f>
        <v/>
      </c>
      <c r="AV238">
        <v>62</v>
      </c>
      <c r="AW238" s="329"/>
    </row>
    <row r="239" spans="18:49" ht="15" customHeight="1" hidden="1">
      <c r="R239">
        <f t="shared" si="7"/>
        <v>1</v>
      </c>
      <c r="S239" s="326">
        <f t="shared" si="6"/>
        <v>62</v>
      </c>
      <c r="T239" s="424" t="str">
        <f>IF(Účetní_závěrka!D73&lt;&gt;"",Účetní_závěrka!D73,"")</f>
        <v/>
      </c>
      <c r="U239" s="424" t="str">
        <f>IF(Účetní_závěrka!E73&lt;&gt;"",ABS(Účetní_závěrka!E73),"")</f>
        <v/>
      </c>
      <c r="V239" s="424" t="str">
        <f>IF(Účetní_závěrka!F73&lt;&gt;"",Účetní_závěrka!F73,"")</f>
        <v/>
      </c>
      <c r="W239" s="424" t="str">
        <f>IF(Účetní_závěrka!G73&lt;&gt;"",Účetní_závěrka!G73,"")</f>
        <v/>
      </c>
      <c r="Y239">
        <v>62</v>
      </c>
      <c r="AQ239" s="324">
        <f t="shared" si="13"/>
        <v>1</v>
      </c>
      <c r="AR239" s="326">
        <f t="shared" si="5"/>
        <v>63</v>
      </c>
      <c r="AS239" s="424" t="str">
        <f>IF(Účetní_závěrka!L73&lt;&gt;"",Účetní_závěrka!L73,"")</f>
        <v/>
      </c>
      <c r="AT239" s="424" t="str">
        <f>IF(Účetní_závěrka!K73&lt;&gt;"",Účetní_závěrka!K73,"")</f>
        <v/>
      </c>
      <c r="AV239">
        <v>63</v>
      </c>
      <c r="AW239" s="329"/>
    </row>
    <row r="240" spans="18:49" ht="15" customHeight="1" hidden="1">
      <c r="R240">
        <f t="shared" si="7"/>
        <v>1</v>
      </c>
      <c r="S240" s="326">
        <f t="shared" si="6"/>
        <v>63</v>
      </c>
      <c r="T240" s="424" t="str">
        <f>IF(Účetní_závěrka!D74&lt;&gt;"",Účetní_závěrka!D74,"")</f>
        <v/>
      </c>
      <c r="U240" s="424" t="str">
        <f>IF(Účetní_závěrka!E74&lt;&gt;"",ABS(Účetní_závěrka!E74),"")</f>
        <v/>
      </c>
      <c r="V240" s="424" t="str">
        <f>IF(Účetní_závěrka!F74&lt;&gt;"",Účetní_závěrka!F74,"")</f>
        <v/>
      </c>
      <c r="W240" s="424" t="str">
        <f>IF(Účetní_závěrka!G74&lt;&gt;"",Účetní_závěrka!G74,"")</f>
        <v/>
      </c>
      <c r="Y240">
        <v>63</v>
      </c>
      <c r="AQ240" s="324">
        <f t="shared" si="13"/>
        <v>1</v>
      </c>
      <c r="AR240" s="326">
        <f t="shared" si="5"/>
        <v>67</v>
      </c>
      <c r="AS240" s="424" t="str">
        <f>IF(Účetní_závěrka!L74&lt;&gt;"",Účetní_závěrka!L74,"")</f>
        <v/>
      </c>
      <c r="AT240" s="424" t="str">
        <f>IF(Účetní_závěrka!K74&lt;&gt;"",Účetní_závěrka!K74,"")</f>
        <v/>
      </c>
      <c r="AV240">
        <v>67</v>
      </c>
      <c r="AW240" s="329"/>
    </row>
    <row r="241" spans="18:49" ht="15" customHeight="1" hidden="1">
      <c r="R241">
        <f t="shared" si="7"/>
        <v>1</v>
      </c>
      <c r="S241" s="326">
        <f t="shared" si="6"/>
        <v>64</v>
      </c>
      <c r="T241" s="424" t="str">
        <f>IF(Účetní_závěrka!D75&lt;&gt;"",Účetní_závěrka!D75,"")</f>
        <v/>
      </c>
      <c r="U241" s="424" t="str">
        <f>IF(Účetní_závěrka!E75&lt;&gt;"",ABS(Účetní_závěrka!E75),"")</f>
        <v/>
      </c>
      <c r="V241" s="424" t="str">
        <f>IF(Účetní_závěrka!F75&lt;&gt;"",Účetní_závěrka!F75,"")</f>
        <v/>
      </c>
      <c r="W241" s="424" t="str">
        <f>IF(Účetní_závěrka!G75&lt;&gt;"",Účetní_závěrka!G75,"")</f>
        <v/>
      </c>
      <c r="Y241">
        <v>64</v>
      </c>
      <c r="AQ241" s="324">
        <f t="shared" si="13"/>
        <v>1</v>
      </c>
      <c r="AR241" s="326">
        <f t="shared" si="5"/>
        <v>68</v>
      </c>
      <c r="AS241" s="424" t="str">
        <f>IF(Účetní_závěrka!L75&lt;&gt;"",Účetní_závěrka!L75,"")</f>
        <v/>
      </c>
      <c r="AT241" s="424" t="str">
        <f>IF(Účetní_závěrka!K75&lt;&gt;"",Účetní_závěrka!K75,"")</f>
        <v/>
      </c>
      <c r="AV241">
        <v>68</v>
      </c>
      <c r="AW241" s="329"/>
    </row>
    <row r="242" spans="18:49" ht="15" customHeight="1" hidden="1">
      <c r="R242">
        <f t="shared" si="7"/>
        <v>1</v>
      </c>
      <c r="S242" s="326">
        <f t="shared" si="14" ref="S242:S254">IF($B$38="P",Y242,IF($B$38="Z",IF(Z242&lt;&gt;"",Z242,""),IF($B$38="M",IF(AA242&lt;&gt;"",AA242,""),Y242)))</f>
        <v>65</v>
      </c>
      <c r="T242" s="424" t="str">
        <f>IF(Účetní_závěrka!D76&lt;&gt;"",Účetní_závěrka!D76,"")</f>
        <v/>
      </c>
      <c r="U242" s="424" t="str">
        <f>IF(Účetní_závěrka!E76&lt;&gt;"",ABS(Účetní_závěrka!E76),"")</f>
        <v/>
      </c>
      <c r="V242" s="424" t="str">
        <f>IF(Účetní_závěrka!F76&lt;&gt;"",Účetní_závěrka!F76,"")</f>
        <v/>
      </c>
      <c r="W242" s="424" t="str">
        <f>IF(Účetní_závěrka!G76&lt;&gt;"",Účetní_závěrka!G76,"")</f>
        <v/>
      </c>
      <c r="Y242">
        <v>65</v>
      </c>
      <c r="AQ242" s="324">
        <f t="shared" si="13"/>
        <v>1</v>
      </c>
      <c r="AR242" s="526">
        <f t="shared" si="15" ref="AR242">IF($B$38="P",AV242,IF($B$38="Z",IF(AW242&lt;&gt;"",AW242,""),IF($B$38="M",IF(AX242&lt;&gt;"",AX242,""),AV242)))</f>
        <v>69</v>
      </c>
      <c r="AS242" s="424" t="str">
        <f>IF(Účetní_závěrka!L76&lt;&gt;"",Účetní_závěrka!L76,"")</f>
        <v/>
      </c>
      <c r="AT242" s="424" t="str">
        <f>IF(Účetní_závěrka!K76&lt;&gt;"",Účetní_závěrka!K76,"")</f>
        <v/>
      </c>
      <c r="AV242">
        <v>69</v>
      </c>
      <c r="AW242" s="329"/>
    </row>
    <row r="243" spans="18:49" ht="15" customHeight="1" hidden="1">
      <c r="R243">
        <f t="shared" si="7"/>
        <v>1</v>
      </c>
      <c r="S243" s="326">
        <f t="shared" si="14"/>
        <v>66</v>
      </c>
      <c r="T243" s="424" t="str">
        <f>IF(Účetní_závěrka!D77&lt;&gt;"",Účetní_závěrka!D77,"")</f>
        <v/>
      </c>
      <c r="U243" s="424" t="str">
        <f>IF(Účetní_závěrka!E77&lt;&gt;"",ABS(Účetní_závěrka!E77),"")</f>
        <v/>
      </c>
      <c r="V243" s="424" t="str">
        <f>IF(Účetní_závěrka!F77&lt;&gt;"",Účetní_závěrka!F77,"")</f>
        <v/>
      </c>
      <c r="W243" s="424" t="str">
        <f>IF(Účetní_závěrka!G77&lt;&gt;"",Účetní_závěrka!G77,"")</f>
        <v/>
      </c>
      <c r="Y243">
        <v>66</v>
      </c>
      <c r="AQ243" s="324">
        <f t="shared" si="13"/>
        <v>1</v>
      </c>
      <c r="AR243" s="526">
        <f t="shared" si="16" ref="AR243:AR245">IF($B$38="P",AV243,IF($B$38="Z",IF(AW243&lt;&gt;"",AW243,""),IF($B$38="M",IF(AX243&lt;&gt;"",AX243,""),AV243)))</f>
        <v>64</v>
      </c>
      <c r="AS243" s="424" t="str">
        <f>IF(Účetní_závěrka!L77&lt;&gt;"",Účetní_závěrka!L77,"")</f>
        <v/>
      </c>
      <c r="AT243" s="424" t="str">
        <f>IF(Účetní_závěrka!K77&lt;&gt;"",Účetní_závěrka!K77,"")</f>
        <v/>
      </c>
      <c r="AV243">
        <v>64</v>
      </c>
      <c r="AW243" s="329"/>
    </row>
    <row r="244" spans="18:49" ht="15" customHeight="1" hidden="1">
      <c r="R244">
        <f t="shared" si="17" ref="R244:R254">$Q$178</f>
        <v>1</v>
      </c>
      <c r="S244" s="326">
        <f t="shared" si="14"/>
        <v>67</v>
      </c>
      <c r="T244" s="424" t="str">
        <f>IF(Účetní_závěrka!D78&lt;&gt;"",Účetní_závěrka!D78,"")</f>
        <v/>
      </c>
      <c r="U244" s="424" t="str">
        <f>IF(Účetní_závěrka!E78&lt;&gt;"",ABS(Účetní_závěrka!E78),"")</f>
        <v/>
      </c>
      <c r="V244" s="424" t="str">
        <f>IF(Účetní_závěrka!F78&lt;&gt;"",Účetní_závěrka!F78,"")</f>
        <v/>
      </c>
      <c r="W244" s="424" t="str">
        <f>IF(Účetní_závěrka!G78&lt;&gt;"",Účetní_závěrka!G78,"")</f>
        <v/>
      </c>
      <c r="Y244">
        <v>67</v>
      </c>
      <c r="AQ244" s="324">
        <f t="shared" si="18" ref="AQ244:AQ245">$AP$178</f>
        <v>1</v>
      </c>
      <c r="AR244" s="526">
        <f t="shared" si="16"/>
        <v>65</v>
      </c>
      <c r="AS244" s="424" t="str">
        <f>IF(Účetní_závěrka!L78&lt;&gt;"",Účetní_závěrka!L78,"")</f>
        <v/>
      </c>
      <c r="AT244" s="424" t="str">
        <f>IF(Účetní_závěrka!K78&lt;&gt;"",Účetní_závěrka!K78,"")</f>
        <v/>
      </c>
      <c r="AV244">
        <v>65</v>
      </c>
      <c r="AW244" s="329"/>
    </row>
    <row r="245" spans="18:49" ht="15" customHeight="1" hidden="1">
      <c r="R245">
        <f t="shared" si="17"/>
        <v>1</v>
      </c>
      <c r="S245" s="326">
        <f t="shared" si="14"/>
        <v>78</v>
      </c>
      <c r="T245" s="424" t="str">
        <f>IF(Účetní_závěrka!D79&lt;&gt;"",Účetní_závěrka!D79,"")</f>
        <v/>
      </c>
      <c r="U245" s="424" t="str">
        <f>IF(Účetní_závěrka!E79&lt;&gt;"",ABS(Účetní_závěrka!E79),"")</f>
        <v/>
      </c>
      <c r="V245" s="424" t="str">
        <f>IF(Účetní_závěrka!F79&lt;&gt;"",Účetní_závěrka!F79,"")</f>
        <v/>
      </c>
      <c r="W245" s="424" t="str">
        <f>IF(Účetní_závěrka!G79&lt;&gt;"",Účetní_závěrka!G79,"")</f>
        <v/>
      </c>
      <c r="Y245">
        <v>78</v>
      </c>
      <c r="AQ245" s="324">
        <f t="shared" si="18"/>
        <v>1</v>
      </c>
      <c r="AR245" s="526">
        <f t="shared" si="16"/>
        <v>66</v>
      </c>
      <c r="AS245" s="424" t="str">
        <f>IF(Účetní_závěrka!L79&lt;&gt;"",Účetní_závěrka!L79,"")</f>
        <v/>
      </c>
      <c r="AT245" s="424" t="str">
        <f>IF(Účetní_závěrka!K79&lt;&gt;"",Účetní_závěrka!K79,"")</f>
        <v/>
      </c>
      <c r="AV245">
        <v>66</v>
      </c>
      <c r="AW245" s="329"/>
    </row>
    <row r="246" spans="18:25" ht="15" customHeight="1" hidden="1">
      <c r="R246">
        <f t="shared" si="17"/>
        <v>1</v>
      </c>
      <c r="S246" s="326">
        <f t="shared" si="14"/>
        <v>79</v>
      </c>
      <c r="T246" s="424" t="str">
        <f>IF(Účetní_závěrka!D80&lt;&gt;"",Účetní_závěrka!D80,"")</f>
        <v/>
      </c>
      <c r="U246" s="424" t="str">
        <f>IF(Účetní_závěrka!E80&lt;&gt;"",ABS(Účetní_závěrka!E80),"")</f>
        <v/>
      </c>
      <c r="V246" s="424" t="str">
        <f>IF(Účetní_závěrka!F80&lt;&gt;"",Účetní_závěrka!F80,"")</f>
        <v/>
      </c>
      <c r="W246" s="424" t="str">
        <f>IF(Účetní_závěrka!G80&lt;&gt;"",Účetní_závěrka!G80,"")</f>
        <v/>
      </c>
      <c r="Y246">
        <v>79</v>
      </c>
    </row>
    <row r="247" spans="18:25" ht="15" customHeight="1" hidden="1">
      <c r="R247">
        <f t="shared" si="17"/>
        <v>1</v>
      </c>
      <c r="S247" s="326">
        <f t="shared" si="14"/>
        <v>80</v>
      </c>
      <c r="T247" s="424" t="str">
        <f>IF(Účetní_závěrka!D81&lt;&gt;"",Účetní_závěrka!D81,"")</f>
        <v/>
      </c>
      <c r="U247" s="424" t="str">
        <f>IF(Účetní_závěrka!E81&lt;&gt;"",ABS(Účetní_závěrka!E81),"")</f>
        <v/>
      </c>
      <c r="V247" s="424" t="str">
        <f>IF(Účetní_závěrka!F81&lt;&gt;"",Účetní_závěrka!F81,"")</f>
        <v/>
      </c>
      <c r="W247" s="424" t="str">
        <f>IF(Účetní_závěrka!G81&lt;&gt;"",Účetní_závěrka!G81,"")</f>
        <v/>
      </c>
      <c r="Y247">
        <v>80</v>
      </c>
    </row>
    <row r="248" spans="18:25" ht="15" customHeight="1" hidden="1">
      <c r="R248">
        <f t="shared" si="17"/>
        <v>1</v>
      </c>
      <c r="S248" s="326">
        <f t="shared" si="14"/>
        <v>81</v>
      </c>
      <c r="T248" s="424" t="str">
        <f>IF(Účetní_závěrka!D82&lt;&gt;"",Účetní_závěrka!D82,"")</f>
        <v/>
      </c>
      <c r="U248" s="424" t="str">
        <f>IF(Účetní_závěrka!E82&lt;&gt;"",ABS(Účetní_závěrka!E82),"")</f>
        <v/>
      </c>
      <c r="V248" s="424" t="str">
        <f>IF(Účetní_závěrka!F82&lt;&gt;"",Účetní_závěrka!F82,"")</f>
        <v/>
      </c>
      <c r="W248" s="424" t="str">
        <f>IF(Účetní_závěrka!G82&lt;&gt;"",Účetní_závěrka!G82,"")</f>
        <v/>
      </c>
      <c r="Y248">
        <v>81</v>
      </c>
    </row>
    <row r="249" spans="18:25" ht="15" customHeight="1" hidden="1">
      <c r="R249">
        <f t="shared" si="17"/>
        <v>1</v>
      </c>
      <c r="S249" s="326">
        <f t="shared" si="14"/>
        <v>68</v>
      </c>
      <c r="T249" s="424" t="str">
        <f>IF(Účetní_závěrka!D83&lt;&gt;"",Účetní_závěrka!D83,"")</f>
        <v/>
      </c>
      <c r="U249" s="424" t="str">
        <f>IF(Účetní_závěrka!E83&lt;&gt;"",ABS(Účetní_závěrka!E83),"")</f>
        <v/>
      </c>
      <c r="V249" s="424" t="str">
        <f>IF(Účetní_závěrka!F83&lt;&gt;"",Účetní_závěrka!F83,"")</f>
        <v/>
      </c>
      <c r="W249" s="424" t="str">
        <f>IF(Účetní_závěrka!G83&lt;&gt;"",Účetní_závěrka!G83,"")</f>
        <v/>
      </c>
      <c r="Y249">
        <v>68</v>
      </c>
    </row>
    <row r="250" spans="18:25" ht="15" customHeight="1" hidden="1">
      <c r="R250">
        <f t="shared" si="17"/>
        <v>1</v>
      </c>
      <c r="S250" s="326">
        <f t="shared" si="14"/>
        <v>69</v>
      </c>
      <c r="T250" s="424" t="str">
        <f>IF(Účetní_závěrka!D84&lt;&gt;"",Účetní_závěrka!D84,"")</f>
        <v/>
      </c>
      <c r="U250" s="424" t="str">
        <f>IF(Účetní_závěrka!E84&lt;&gt;"",ABS(Účetní_závěrka!E84),"")</f>
        <v/>
      </c>
      <c r="V250" s="424" t="str">
        <f>IF(Účetní_závěrka!F84&lt;&gt;"",Účetní_závěrka!F84,"")</f>
        <v/>
      </c>
      <c r="W250" s="424" t="str">
        <f>IF(Účetní_závěrka!G84&lt;&gt;"",Účetní_závěrka!G84,"")</f>
        <v/>
      </c>
      <c r="Y250">
        <v>69</v>
      </c>
    </row>
    <row r="251" spans="18:25" ht="15" customHeight="1" hidden="1">
      <c r="R251">
        <f t="shared" si="17"/>
        <v>1</v>
      </c>
      <c r="S251" s="326">
        <f t="shared" si="14"/>
        <v>70</v>
      </c>
      <c r="T251" s="424" t="str">
        <f>IF(Účetní_závěrka!D85&lt;&gt;"",Účetní_závěrka!D85,"")</f>
        <v/>
      </c>
      <c r="U251" s="424" t="str">
        <f>IF(Účetní_závěrka!E85&lt;&gt;"",ABS(Účetní_závěrka!E85),"")</f>
        <v/>
      </c>
      <c r="V251" s="424" t="str">
        <f>IF(Účetní_závěrka!F85&lt;&gt;"",Účetní_závěrka!F85,"")</f>
        <v/>
      </c>
      <c r="W251" s="424" t="str">
        <f>IF(Účetní_závěrka!G85&lt;&gt;"",Účetní_závěrka!G85,"")</f>
        <v/>
      </c>
      <c r="Y251">
        <v>70</v>
      </c>
    </row>
    <row r="252" spans="18:25" ht="15" customHeight="1" hidden="1">
      <c r="R252">
        <f t="shared" si="17"/>
        <v>1</v>
      </c>
      <c r="S252" s="326">
        <f t="shared" si="14"/>
        <v>71</v>
      </c>
      <c r="T252" s="424" t="str">
        <f>IF(Účetní_závěrka!D86&lt;&gt;"",Účetní_závěrka!D86,"")</f>
        <v/>
      </c>
      <c r="U252" s="424" t="str">
        <f>IF(Účetní_závěrka!E86&lt;&gt;"",ABS(Účetní_závěrka!E86),"")</f>
        <v/>
      </c>
      <c r="V252" s="424" t="str">
        <f>IF(Účetní_závěrka!F86&lt;&gt;"",Účetní_závěrka!F86,"")</f>
        <v/>
      </c>
      <c r="W252" s="424" t="str">
        <f>IF(Účetní_závěrka!G86&lt;&gt;"",Účetní_závěrka!G86,"")</f>
        <v/>
      </c>
      <c r="Y252">
        <v>71</v>
      </c>
    </row>
    <row r="253" spans="18:25" ht="15" customHeight="1" hidden="1">
      <c r="R253">
        <f t="shared" si="17"/>
        <v>1</v>
      </c>
      <c r="S253" s="326">
        <f t="shared" si="14"/>
        <v>72</v>
      </c>
      <c r="T253" s="424" t="str">
        <f>IF(Účetní_závěrka!D87&lt;&gt;"",Účetní_závěrka!D87,"")</f>
        <v/>
      </c>
      <c r="U253" s="424" t="str">
        <f>IF(Účetní_závěrka!E87&lt;&gt;"",ABS(Účetní_závěrka!E87),"")</f>
        <v/>
      </c>
      <c r="V253" s="424" t="str">
        <f>IF(Účetní_závěrka!F87&lt;&gt;"",Účetní_závěrka!F87,"")</f>
        <v/>
      </c>
      <c r="W253" s="424" t="str">
        <f>IF(Účetní_závěrka!G87&lt;&gt;"",Účetní_závěrka!G87,"")</f>
        <v/>
      </c>
      <c r="Y253">
        <v>72</v>
      </c>
    </row>
    <row r="254" spans="18:25" ht="15" customHeight="1" hidden="1">
      <c r="R254">
        <f t="shared" si="17"/>
        <v>1</v>
      </c>
      <c r="S254" s="326">
        <f t="shared" si="14"/>
        <v>73</v>
      </c>
      <c r="T254" s="424" t="str">
        <f>IF(Účetní_závěrka!D88&lt;&gt;"",Účetní_závěrka!D88,"")</f>
        <v/>
      </c>
      <c r="U254" s="424" t="str">
        <f>IF(Účetní_závěrka!E88&lt;&gt;"",ABS(Účetní_závěrka!E88),"")</f>
        <v/>
      </c>
      <c r="V254" s="424" t="str">
        <f>IF(Účetní_závěrka!F88&lt;&gt;"",Účetní_závěrka!F88,"")</f>
        <v/>
      </c>
      <c r="W254" s="424" t="str">
        <f>IF(Účetní_závěrka!G88&lt;&gt;"",Účetní_závěrka!G88,"")</f>
        <v/>
      </c>
      <c r="Y254">
        <v>73</v>
      </c>
    </row>
    <row r="255" spans="18:25" ht="15" customHeight="1" hidden="1">
      <c r="R255">
        <f t="shared" si="19" ref="R255:R258">$Q$178</f>
        <v>1</v>
      </c>
      <c r="S255" s="526">
        <f t="shared" si="20" ref="S255:S258">IF($B$38="P",Y255,IF($B$38="Z",IF(Z255&lt;&gt;"",Z255,""),IF($B$38="M",IF(AA255&lt;&gt;"",AA255,""),Y255)))</f>
        <v>74</v>
      </c>
      <c r="T255" s="424" t="str">
        <f>IF(Účetní_závěrka!D89&lt;&gt;"",Účetní_závěrka!D89,"")</f>
        <v/>
      </c>
      <c r="U255" s="424" t="str">
        <f>IF(Účetní_závěrka!E89&lt;&gt;"",ABS(Účetní_závěrka!E89),"")</f>
        <v/>
      </c>
      <c r="V255" s="424" t="str">
        <f>IF(Účetní_závěrka!F89&lt;&gt;"",Účetní_závěrka!F89,"")</f>
        <v/>
      </c>
      <c r="W255" s="424" t="str">
        <f>IF(Účetní_závěrka!G89&lt;&gt;"",Účetní_závěrka!G89,"")</f>
        <v/>
      </c>
      <c r="Y255">
        <v>74</v>
      </c>
    </row>
    <row r="256" spans="18:25" ht="15" customHeight="1" hidden="1">
      <c r="R256">
        <f t="shared" si="19"/>
        <v>1</v>
      </c>
      <c r="S256" s="526">
        <f t="shared" si="20"/>
        <v>75</v>
      </c>
      <c r="T256" s="424" t="str">
        <f>IF(Účetní_závěrka!D90&lt;&gt;"",Účetní_závěrka!D90,"")</f>
        <v/>
      </c>
      <c r="U256" s="424" t="str">
        <f>IF(Účetní_závěrka!E90&lt;&gt;"",ABS(Účetní_závěrka!E90),"")</f>
        <v/>
      </c>
      <c r="V256" s="424" t="str">
        <f>IF(Účetní_závěrka!F90&lt;&gt;"",Účetní_závěrka!F90,"")</f>
        <v/>
      </c>
      <c r="W256" s="424" t="str">
        <f>IF(Účetní_závěrka!G90&lt;&gt;"",Účetní_závěrka!G90,"")</f>
        <v/>
      </c>
      <c r="Y256">
        <v>75</v>
      </c>
    </row>
    <row r="257" spans="18:25" ht="15" customHeight="1" hidden="1">
      <c r="R257">
        <f t="shared" si="19"/>
        <v>1</v>
      </c>
      <c r="S257" s="526">
        <f t="shared" si="20"/>
        <v>76</v>
      </c>
      <c r="T257" s="424" t="str">
        <f>IF(Účetní_závěrka!D91&lt;&gt;"",Účetní_závěrka!D91,"")</f>
        <v/>
      </c>
      <c r="U257" s="424" t="str">
        <f>IF(Účetní_závěrka!E91&lt;&gt;"",ABS(Účetní_závěrka!E91),"")</f>
        <v/>
      </c>
      <c r="V257" s="424" t="str">
        <f>IF(Účetní_závěrka!F91&lt;&gt;"",Účetní_závěrka!F91,"")</f>
        <v/>
      </c>
      <c r="W257" s="424" t="str">
        <f>IF(Účetní_závěrka!G91&lt;&gt;"",Účetní_závěrka!G91,"")</f>
        <v/>
      </c>
      <c r="Y257">
        <v>76</v>
      </c>
    </row>
    <row r="258" spans="18:25" ht="15" customHeight="1" hidden="1">
      <c r="R258">
        <f t="shared" si="19"/>
        <v>1</v>
      </c>
      <c r="S258" s="526">
        <f t="shared" si="20"/>
        <v>77</v>
      </c>
      <c r="T258" s="424" t="str">
        <f>IF(Účetní_závěrka!D92&lt;&gt;"",Účetní_závěrka!D92,"")</f>
        <v/>
      </c>
      <c r="U258" s="424" t="str">
        <f>IF(Účetní_závěrka!E92&lt;&gt;"",ABS(Účetní_závěrka!E92),"")</f>
        <v/>
      </c>
      <c r="V258" s="424" t="str">
        <f>IF(Účetní_závěrka!F92&lt;&gt;"",Účetní_závěrka!F92,"")</f>
        <v/>
      </c>
      <c r="W258" s="424" t="str">
        <f>IF(Účetní_závěrka!G92&lt;&gt;"",Účetní_závěrka!G92,"")</f>
        <v/>
      </c>
      <c r="Y258">
        <v>77</v>
      </c>
    </row>
    <row r="271" spans="17:24" ht="15" customHeight="1" hidden="1">
      <c r="Q271" t="s">
        <v>731</v>
      </c>
      <c r="R271" s="266" t="s">
        <v>721</v>
      </c>
      <c r="S271" s="269" t="s">
        <v>722</v>
      </c>
      <c r="T271" s="269" t="s">
        <v>723</v>
      </c>
      <c r="U271" s="269" t="s">
        <v>724</v>
      </c>
      <c r="V271" s="269" t="s">
        <v>725</v>
      </c>
      <c r="W271" s="269" t="s">
        <v>726</v>
      </c>
      <c r="X271" s="269" t="s">
        <v>733</v>
      </c>
    </row>
    <row r="272" spans="24:24" ht="15" customHeight="1" hidden="1">
      <c r="X272" s="267"/>
    </row>
    <row r="281" spans="17:22" ht="15" customHeight="1" hidden="1">
      <c r="Q281" t="s">
        <v>732</v>
      </c>
      <c r="R281" s="266" t="s">
        <v>721</v>
      </c>
      <c r="S281" s="269" t="s">
        <v>722</v>
      </c>
      <c r="T281" s="269" t="s">
        <v>727</v>
      </c>
      <c r="U281" s="269" t="s">
        <v>728</v>
      </c>
      <c r="V281" s="269" t="s">
        <v>733</v>
      </c>
    </row>
    <row r="282" spans="22:22" ht="15" customHeight="1" hidden="1">
      <c r="V282" s="267"/>
    </row>
    <row r="291" spans="17:21" ht="15" customHeight="1" hidden="1">
      <c r="Q291" t="s">
        <v>738</v>
      </c>
      <c r="R291" s="266" t="s">
        <v>734</v>
      </c>
      <c r="S291" s="269" t="s">
        <v>735</v>
      </c>
      <c r="T291" s="269" t="s">
        <v>736</v>
      </c>
      <c r="U291" s="269" t="s">
        <v>737</v>
      </c>
    </row>
    <row r="292" spans="18:21" ht="1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22" t="str">
        <f>IF('2Př'!C30&lt;&gt;"",LEFT('2Př'!C30,1),"")</f>
        <v/>
      </c>
    </row>
    <row r="294" spans="18:21" ht="15" customHeight="1" hidden="1">
      <c r="R294" s="273" t="s">
        <v>3438</v>
      </c>
      <c r="S294" s="273" t="s">
        <v>3438</v>
      </c>
      <c r="T294" s="273" t="s">
        <v>3438</v>
      </c>
      <c r="U294" s="273" t="s">
        <v>3438</v>
      </c>
    </row>
    <row r="301" spans="17:21" ht="15" customHeight="1" hidden="1">
      <c r="Q301" t="s">
        <v>739</v>
      </c>
      <c r="R301" s="268" t="s">
        <v>740</v>
      </c>
      <c r="S301" s="270" t="s">
        <v>741</v>
      </c>
      <c r="T301" s="270" t="s">
        <v>742</v>
      </c>
      <c r="U301" s="270" t="s">
        <v>743</v>
      </c>
    </row>
    <row r="302" spans="19:21" ht="15" customHeight="1" hidden="1">
      <c r="S302" s="267"/>
      <c r="T302" s="267"/>
      <c r="U302" s="267"/>
    </row>
    <row r="311" spans="17:22" ht="15" customHeight="1" hidden="1">
      <c r="Q311" t="s">
        <v>744</v>
      </c>
      <c r="R311" t="s">
        <v>740</v>
      </c>
      <c r="S311" t="s">
        <v>741</v>
      </c>
      <c r="T311" t="s">
        <v>742</v>
      </c>
      <c r="U311" t="s">
        <v>743</v>
      </c>
      <c r="V311" t="s">
        <v>745</v>
      </c>
    </row>
    <row r="312" spans="19:22" ht="15" customHeight="1" hidden="1">
      <c r="S312" s="267"/>
      <c r="T312" s="267"/>
      <c r="U312" s="267"/>
      <c r="V312" s="267"/>
    </row>
  </sheetData>
  <sheetProtection algorithmName="SHA-512" hashValue="yeUWHbPBmmHihgUKfvxRDfdIHSuLKmRWayMV+A2VWOA/ZFiL8Ah5hR8dFIlzqIBoOkDQA8YudOPY6cxneYGqWg==" saltValue="8ENiny+z9r/bF+9kcIyt5g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92EADF6-9B6E-4B7A-A920-22314C6C5327}">
  <sheetPr>
    <tabColor theme="0"/>
    <pageSetUpPr fitToPage="1"/>
  </sheetPr>
  <dimension ref="A1:BU15"/>
  <sheetViews>
    <sheetView workbookViewId="0" topLeftCell="A1">
      <selection pane="topLeft" activeCell="A14" sqref="A14:K14"/>
    </sheetView>
  </sheetViews>
  <sheetFormatPr defaultRowHeight="12.75"/>
  <cols>
    <col min="1" max="1" width="4.42857142857143" style="333" bestFit="1" customWidth="1"/>
    <col min="2" max="2" width="10" style="333" customWidth="1"/>
    <col min="3" max="3" width="36.1428571428571" style="333" customWidth="1"/>
    <col min="4" max="11" width="7.71428571428571" style="333" customWidth="1"/>
    <col min="12" max="73" width="9.14285714285714" style="595"/>
    <col min="74" max="16384" width="9.14285714285714" style="333"/>
  </cols>
  <sheetData>
    <row r="1" spans="1:11" ht="30" customHeight="1" thickBot="1">
      <c r="A1" s="1507" t="s">
        <v>3908</v>
      </c>
      <c r="B1" s="1507"/>
      <c r="C1" s="1508"/>
      <c r="D1" s="1508"/>
      <c r="E1" s="1508"/>
      <c r="F1" s="1508"/>
      <c r="G1" s="1508"/>
      <c r="H1" s="1508"/>
      <c r="I1" s="1508"/>
      <c r="J1" s="1508"/>
      <c r="K1" s="1508"/>
    </row>
    <row r="2" spans="1:11 69:73" ht="22.5" customHeight="1">
      <c r="A2" s="1509"/>
      <c r="B2" s="1512" t="s">
        <v>3479</v>
      </c>
      <c r="C2" s="1513"/>
      <c r="D2" s="1512" t="s">
        <v>148</v>
      </c>
      <c r="E2" s="1516"/>
      <c r="F2" s="1517" t="s">
        <v>3477</v>
      </c>
      <c r="G2" s="1518"/>
      <c r="H2" s="1517" t="s">
        <v>3478</v>
      </c>
      <c r="I2" s="1518"/>
      <c r="J2" s="1517" t="s">
        <v>3568</v>
      </c>
      <c r="K2" s="1519"/>
      <c r="BQ2" s="333"/>
      <c r="BR2" s="333"/>
      <c r="BS2" s="333"/>
      <c r="BT2" s="333"/>
      <c r="BU2" s="333"/>
    </row>
    <row r="3" spans="1:11 69:73" ht="21.95" customHeight="1">
      <c r="A3" s="1510"/>
      <c r="B3" s="1514"/>
      <c r="C3" s="1515"/>
      <c r="D3" s="1514"/>
      <c r="E3" s="1515"/>
      <c r="F3" s="669" t="s">
        <v>3566</v>
      </c>
      <c r="G3" s="669" t="s">
        <v>3567</v>
      </c>
      <c r="H3" s="669" t="s">
        <v>3566</v>
      </c>
      <c r="I3" s="669" t="s">
        <v>3567</v>
      </c>
      <c r="J3" s="669" t="s">
        <v>3566</v>
      </c>
      <c r="K3" s="670" t="s">
        <v>3567</v>
      </c>
      <c r="BQ3" s="333"/>
      <c r="BR3" s="333"/>
      <c r="BS3" s="333"/>
      <c r="BT3" s="333"/>
      <c r="BU3" s="333"/>
    </row>
    <row r="4" spans="1:11 69:73" ht="12" customHeight="1">
      <c r="A4" s="1511"/>
      <c r="B4" s="1520">
        <v>1</v>
      </c>
      <c r="C4" s="1521"/>
      <c r="D4" s="1520">
        <v>2</v>
      </c>
      <c r="E4" s="1520"/>
      <c r="F4" s="1522">
        <v>3</v>
      </c>
      <c r="G4" s="1523"/>
      <c r="H4" s="1522">
        <v>4</v>
      </c>
      <c r="I4" s="1523"/>
      <c r="J4" s="1522">
        <v>5</v>
      </c>
      <c r="K4" s="1524"/>
      <c r="BQ4" s="333"/>
      <c r="BR4" s="333"/>
      <c r="BS4" s="333"/>
      <c r="BT4" s="333"/>
      <c r="BU4" s="333"/>
    </row>
    <row r="5" spans="1:11 69:73" ht="18" customHeight="1">
      <c r="A5" s="671">
        <v>5</v>
      </c>
      <c r="B5" s="1525" t="s">
        <v>142</v>
      </c>
      <c r="C5" s="1526"/>
      <c r="D5" s="1527"/>
      <c r="E5" s="1528"/>
      <c r="F5" s="672"/>
      <c r="G5" s="672"/>
      <c r="H5" s="672"/>
      <c r="I5" s="672"/>
      <c r="J5" s="673"/>
      <c r="K5" s="674"/>
      <c r="BQ5" s="333"/>
      <c r="BR5" s="333"/>
      <c r="BS5" s="333"/>
      <c r="BT5" s="333"/>
      <c r="BU5" s="333"/>
    </row>
    <row r="6" spans="1:11 69:73" ht="18" customHeight="1">
      <c r="A6" s="671">
        <v>6</v>
      </c>
      <c r="B6" s="1525" t="s">
        <v>142</v>
      </c>
      <c r="C6" s="1526"/>
      <c r="D6" s="1527"/>
      <c r="E6" s="1527"/>
      <c r="F6" s="672"/>
      <c r="G6" s="672"/>
      <c r="H6" s="672"/>
      <c r="I6" s="672"/>
      <c r="J6" s="673"/>
      <c r="K6" s="674"/>
      <c r="BQ6" s="333"/>
      <c r="BR6" s="333"/>
      <c r="BS6" s="333"/>
      <c r="BT6" s="333"/>
      <c r="BU6" s="333"/>
    </row>
    <row r="7" spans="1:11 69:73" ht="18" customHeight="1">
      <c r="A7" s="671">
        <v>7</v>
      </c>
      <c r="B7" s="1525" t="s">
        <v>142</v>
      </c>
      <c r="C7" s="1526"/>
      <c r="D7" s="1527"/>
      <c r="E7" s="1527"/>
      <c r="F7" s="672"/>
      <c r="G7" s="672"/>
      <c r="H7" s="672"/>
      <c r="I7" s="672"/>
      <c r="J7" s="673"/>
      <c r="K7" s="674"/>
      <c r="BQ7" s="333"/>
      <c r="BR7" s="333"/>
      <c r="BS7" s="333"/>
      <c r="BT7" s="333"/>
      <c r="BU7" s="333"/>
    </row>
    <row r="8" spans="1:11 69:73" ht="18" customHeight="1">
      <c r="A8" s="671">
        <v>8</v>
      </c>
      <c r="B8" s="1525" t="s">
        <v>142</v>
      </c>
      <c r="C8" s="1526"/>
      <c r="D8" s="1527"/>
      <c r="E8" s="1527"/>
      <c r="F8" s="672"/>
      <c r="G8" s="672"/>
      <c r="H8" s="672"/>
      <c r="I8" s="672"/>
      <c r="J8" s="673"/>
      <c r="K8" s="674"/>
      <c r="BQ8" s="333"/>
      <c r="BR8" s="333"/>
      <c r="BS8" s="333"/>
      <c r="BT8" s="333"/>
      <c r="BU8" s="333"/>
    </row>
    <row r="9" spans="1:11 69:73" ht="18" customHeight="1">
      <c r="A9" s="671">
        <v>9</v>
      </c>
      <c r="B9" s="1525" t="s">
        <v>142</v>
      </c>
      <c r="C9" s="1526"/>
      <c r="D9" s="1527"/>
      <c r="E9" s="1527"/>
      <c r="F9" s="672"/>
      <c r="G9" s="672"/>
      <c r="H9" s="672"/>
      <c r="I9" s="672"/>
      <c r="J9" s="673"/>
      <c r="K9" s="674"/>
      <c r="BQ9" s="333"/>
      <c r="BR9" s="333"/>
      <c r="BS9" s="333"/>
      <c r="BT9" s="333"/>
      <c r="BU9" s="333"/>
    </row>
    <row r="10" spans="1:11 69:73" ht="18" customHeight="1">
      <c r="A10" s="671">
        <v>10</v>
      </c>
      <c r="B10" s="1525" t="s">
        <v>142</v>
      </c>
      <c r="C10" s="1526"/>
      <c r="D10" s="1527"/>
      <c r="E10" s="1527"/>
      <c r="F10" s="672"/>
      <c r="G10" s="672"/>
      <c r="H10" s="672"/>
      <c r="I10" s="672"/>
      <c r="J10" s="673"/>
      <c r="K10" s="674"/>
      <c r="BQ10" s="333"/>
      <c r="BR10" s="333"/>
      <c r="BS10" s="333"/>
      <c r="BT10" s="333"/>
      <c r="BU10" s="333"/>
    </row>
    <row r="11" spans="1:11 69:73" ht="18" customHeight="1">
      <c r="A11" s="671">
        <v>11</v>
      </c>
      <c r="B11" s="1525" t="s">
        <v>142</v>
      </c>
      <c r="C11" s="1526"/>
      <c r="D11" s="1527"/>
      <c r="E11" s="1527"/>
      <c r="F11" s="672"/>
      <c r="G11" s="672"/>
      <c r="H11" s="672"/>
      <c r="I11" s="672"/>
      <c r="J11" s="673"/>
      <c r="K11" s="674"/>
      <c r="BQ11" s="333"/>
      <c r="BR11" s="333"/>
      <c r="BS11" s="333"/>
      <c r="BT11" s="333"/>
      <c r="BU11" s="333"/>
    </row>
    <row r="12" spans="1:11 69:73" ht="18" customHeight="1">
      <c r="A12" s="671">
        <v>12</v>
      </c>
      <c r="B12" s="1525" t="s">
        <v>142</v>
      </c>
      <c r="C12" s="1526"/>
      <c r="D12" s="1527"/>
      <c r="E12" s="1527"/>
      <c r="F12" s="672"/>
      <c r="G12" s="672"/>
      <c r="H12" s="672"/>
      <c r="I12" s="672"/>
      <c r="J12" s="673"/>
      <c r="K12" s="674"/>
      <c r="BQ12" s="333"/>
      <c r="BR12" s="333"/>
      <c r="BS12" s="333"/>
      <c r="BT12" s="333"/>
      <c r="BU12" s="333"/>
    </row>
    <row r="13" spans="1:11 73:73" ht="15.95" customHeight="1" thickBot="1">
      <c r="A13" s="675"/>
      <c r="B13" s="1529" t="s">
        <v>59</v>
      </c>
      <c r="C13" s="1530"/>
      <c r="D13" s="1531"/>
      <c r="E13" s="1531"/>
      <c r="F13" s="676">
        <f t="shared" si="0" ref="F13:K13">+SUM(F5:F12)</f>
        <v>0</v>
      </c>
      <c r="G13" s="676">
        <f t="shared" si="0"/>
        <v>0</v>
      </c>
      <c r="H13" s="676">
        <f t="shared" si="0"/>
        <v>0</v>
      </c>
      <c r="I13" s="676">
        <f t="shared" si="0"/>
        <v>0</v>
      </c>
      <c r="J13" s="676">
        <f t="shared" si="0"/>
        <v>0</v>
      </c>
      <c r="K13" s="677">
        <f t="shared" si="0"/>
        <v>0</v>
      </c>
      <c r="BU13" s="333"/>
    </row>
    <row r="14" spans="1:11" s="595" customFormat="1" ht="99.95" customHeight="1">
      <c r="A14" s="1532"/>
      <c r="B14" s="1532"/>
      <c r="C14" s="1533"/>
      <c r="D14" s="1533"/>
      <c r="E14" s="1533"/>
      <c r="F14" s="1533"/>
      <c r="G14" s="1533"/>
      <c r="H14" s="1533"/>
      <c r="I14" s="1533"/>
      <c r="J14" s="1533"/>
      <c r="K14" s="1533"/>
    </row>
    <row r="15" spans="1:11" s="595" customFormat="1" ht="99.95" customHeight="1">
      <c r="A15" s="1534"/>
      <c r="B15" s="1534"/>
      <c r="C15" s="1534"/>
      <c r="D15" s="1534"/>
      <c r="E15" s="1534"/>
      <c r="F15" s="1534"/>
      <c r="G15" s="1534"/>
      <c r="H15" s="1534"/>
      <c r="I15" s="1534"/>
      <c r="J15" s="1534"/>
      <c r="K15" s="1534"/>
    </row>
    <row r="16" s="595" customFormat="1" ht="12.75"/>
    <row r="17" s="595" customFormat="1" ht="12.75"/>
    <row r="18" s="595" customFormat="1" ht="12.75"/>
    <row r="19" s="595" customFormat="1" ht="12.75"/>
    <row r="20" s="595" customFormat="1" ht="12.75"/>
    <row r="21" s="595" customFormat="1" ht="12.75"/>
    <row r="22" s="595" customFormat="1" ht="12.75"/>
    <row r="23" s="595" customFormat="1" ht="12.75"/>
    <row r="24" s="595" customFormat="1" ht="12.75"/>
    <row r="25" s="595" customFormat="1" ht="12.75"/>
    <row r="26" s="595" customFormat="1" ht="12.75"/>
    <row r="27" s="595" customFormat="1" ht="12.75"/>
    <row r="28" s="595" customFormat="1" ht="12.75"/>
    <row r="29" s="595" customFormat="1" ht="12.75"/>
    <row r="30" s="595" customFormat="1" ht="12.75"/>
    <row r="31" s="595" customFormat="1" ht="12.75"/>
    <row r="32" s="595" customFormat="1" ht="12.75"/>
    <row r="33" s="595" customFormat="1" ht="12.75"/>
    <row r="34" s="595" customFormat="1" ht="12.75"/>
    <row r="35" s="595" customFormat="1" ht="12.75"/>
    <row r="36" s="595" customFormat="1" ht="12.75"/>
    <row r="37" s="595" customFormat="1" ht="12.75"/>
    <row r="38" s="595" customFormat="1" ht="12.75"/>
    <row r="39" s="595" customFormat="1" ht="12.75"/>
    <row r="40" s="595" customFormat="1" ht="12.75"/>
    <row r="41" s="595" customFormat="1" ht="12.75"/>
    <row r="42" s="595" customFormat="1" ht="12.75"/>
    <row r="43" s="595" customFormat="1" ht="12.75"/>
    <row r="44" s="595" customFormat="1" ht="12.75"/>
    <row r="45" s="595" customFormat="1" ht="12.75"/>
    <row r="46" s="595" customFormat="1" ht="12.75"/>
    <row r="47" s="595" customFormat="1" ht="12.75"/>
    <row r="48" s="595" customFormat="1" ht="12.75"/>
    <row r="49" s="595" customFormat="1" ht="12.75"/>
    <row r="50" s="595" customFormat="1" ht="12.75"/>
    <row r="51" s="595" customFormat="1" ht="12.75"/>
    <row r="52" s="595" customFormat="1" ht="12.75"/>
    <row r="53" s="595" customFormat="1" ht="12.75"/>
    <row r="54" s="595" customFormat="1" ht="12.75"/>
    <row r="55" s="595" customFormat="1" ht="12.75"/>
    <row r="56" s="595" customFormat="1" ht="12.75"/>
    <row r="57" s="595" customFormat="1" ht="12.75"/>
    <row r="58" s="595" customFormat="1" ht="12.75"/>
    <row r="59" s="595" customFormat="1" ht="12.75"/>
    <row r="60" s="595" customFormat="1" ht="12.75"/>
    <row r="61" s="595" customFormat="1" ht="12.75"/>
    <row r="62" s="595" customFormat="1" ht="12.75"/>
    <row r="63" s="595" customFormat="1" ht="12.75"/>
    <row r="64" s="595" customFormat="1" ht="12.75"/>
    <row r="65" s="595" customFormat="1" ht="12.75"/>
    <row r="66" s="595" customFormat="1" ht="12.75"/>
    <row r="67" s="595" customFormat="1" ht="12.75"/>
    <row r="68" s="595" customFormat="1" ht="12.75"/>
    <row r="69" s="595" customFormat="1" ht="12.75"/>
    <row r="70" s="595" customFormat="1" ht="12.75"/>
    <row r="71" s="595" customFormat="1" ht="12.75"/>
    <row r="72" s="595" customFormat="1" ht="12.75"/>
    <row r="73" s="595" customFormat="1" ht="12.75"/>
    <row r="74" s="595" customFormat="1" ht="12.75"/>
    <row r="75" s="595" customFormat="1" ht="12.75"/>
    <row r="76" s="595" customFormat="1" ht="12.75"/>
    <row r="77" s="595" customFormat="1" ht="12.75"/>
    <row r="78" s="595" customFormat="1" ht="12.75"/>
    <row r="79" s="595" customFormat="1" ht="12.75"/>
    <row r="80" s="595" customFormat="1" ht="12.75"/>
    <row r="81" s="595" customFormat="1" ht="12.75"/>
    <row r="82" s="595" customFormat="1" ht="12.75"/>
    <row r="83" s="595" customFormat="1" ht="12.75"/>
    <row r="84" s="595" customFormat="1" ht="12.75"/>
    <row r="85" s="595" customFormat="1" ht="12.75"/>
    <row r="86" s="595" customFormat="1" ht="12.75"/>
    <row r="87" s="595" customFormat="1" ht="12.75"/>
    <row r="88" s="595" customFormat="1" ht="12.75"/>
    <row r="89" s="595" customFormat="1" ht="12.75"/>
    <row r="90" s="595" customFormat="1" ht="12.75"/>
    <row r="91" s="595" customFormat="1" ht="12.75"/>
    <row r="92" s="595" customFormat="1" ht="12.75"/>
    <row r="93" s="595" customFormat="1" ht="12.75"/>
    <row r="94" s="595" customFormat="1" ht="12.75"/>
    <row r="95" s="595" customFormat="1" ht="12.75"/>
    <row r="96" s="595" customFormat="1" ht="12.75"/>
    <row r="97" s="595" customFormat="1" ht="12.75"/>
    <row r="98" s="595" customFormat="1" ht="12.75"/>
    <row r="99" s="595" customFormat="1" ht="12.75"/>
    <row r="100" s="595" customFormat="1" ht="12.75"/>
    <row r="101" s="595" customFormat="1" ht="12.75"/>
    <row r="102" s="595" customFormat="1" ht="12.75"/>
    <row r="103" s="595" customFormat="1" ht="12.75"/>
    <row r="104" s="595" customFormat="1" ht="12.75"/>
    <row r="105" s="595" customFormat="1" ht="12.75"/>
    <row r="106" s="595" customFormat="1" ht="12.75"/>
    <row r="107" s="595" customFormat="1" ht="12.75"/>
    <row r="108" s="595" customFormat="1" ht="12.75"/>
    <row r="109" s="595" customFormat="1" ht="12.75"/>
    <row r="110" s="595" customFormat="1" ht="12.75"/>
    <row r="111" s="595" customFormat="1" ht="12.75"/>
    <row r="112" s="595" customFormat="1" ht="12.75"/>
    <row r="113" s="595" customFormat="1" ht="12.75"/>
    <row r="114" s="595" customFormat="1" ht="12.75"/>
    <row r="115" s="595" customFormat="1" ht="12.75"/>
    <row r="116" s="595" customFormat="1" ht="12.75"/>
    <row r="117" s="595" customFormat="1" ht="12.75"/>
    <row r="118" s="595" customFormat="1" ht="12.75"/>
    <row r="119" s="595" customFormat="1" ht="12.75"/>
    <row r="120" s="595" customFormat="1" ht="12.75"/>
    <row r="121" s="595" customFormat="1" ht="12.75"/>
    <row r="122" s="595" customFormat="1" ht="12.75"/>
    <row r="123" s="595" customFormat="1" ht="12.75"/>
    <row r="124" s="595" customFormat="1" ht="12.75"/>
    <row r="125" s="595" customFormat="1" ht="12.75"/>
    <row r="126" s="595" customFormat="1" ht="12.75"/>
    <row r="127" s="595" customFormat="1" ht="12.75"/>
    <row r="128" s="595" customFormat="1" ht="12.75"/>
    <row r="129" s="595" customFormat="1" ht="12.75"/>
    <row r="130" s="595" customFormat="1" ht="12.75"/>
    <row r="131" s="595" customFormat="1" ht="12.75"/>
    <row r="132" s="595" customFormat="1" ht="12.75"/>
    <row r="133" s="595" customFormat="1" ht="12.75"/>
    <row r="134" s="595" customFormat="1" ht="12.75"/>
    <row r="135" s="595" customFormat="1" ht="12.75"/>
    <row r="136" s="595" customFormat="1" ht="12.75"/>
    <row r="137" s="595" customFormat="1" ht="12.75"/>
    <row r="138" s="595" customFormat="1" ht="12.75"/>
    <row r="139" s="595" customFormat="1" ht="12.75"/>
    <row r="140" s="595" customFormat="1" ht="12.75"/>
    <row r="141" s="595" customFormat="1" ht="12.75"/>
    <row r="142" s="595" customFormat="1" ht="12.75"/>
    <row r="143" s="595" customFormat="1" ht="12.75"/>
    <row r="144" s="595" customFormat="1" ht="12.75"/>
    <row r="145" s="595" customFormat="1" ht="12.75"/>
    <row r="146" s="595" customFormat="1" ht="12.75"/>
    <row r="147" s="595" customFormat="1" ht="12.75"/>
    <row r="148" s="595" customFormat="1" ht="12.75"/>
    <row r="149" s="595" customFormat="1" ht="12.75"/>
    <row r="150" s="595" customFormat="1" ht="12.75"/>
    <row r="151" s="595" customFormat="1" ht="12.75"/>
    <row r="152" s="595" customFormat="1" ht="12.75"/>
    <row r="153" s="595" customFormat="1" ht="12.75"/>
    <row r="154" s="595" customFormat="1" ht="12.75"/>
    <row r="155" s="595" customFormat="1" ht="12.75"/>
    <row r="156" s="595" customFormat="1" ht="12.75"/>
    <row r="157" s="595" customFormat="1" ht="12.75"/>
    <row r="158" s="595" customFormat="1" ht="12.75"/>
    <row r="159" s="595" customFormat="1" ht="12.75"/>
    <row r="160" s="595" customFormat="1" ht="12.75"/>
    <row r="161" s="595" customFormat="1" ht="12.75"/>
    <row r="162" s="595" customFormat="1" ht="12.75"/>
    <row r="163" s="595" customFormat="1" ht="12.75"/>
    <row r="164" s="595" customFormat="1" ht="12.75"/>
    <row r="165" s="595" customFormat="1" ht="12.75"/>
    <row r="166" s="595" customFormat="1" ht="12.75"/>
    <row r="167" s="595" customFormat="1" ht="12.75"/>
    <row r="168" s="595" customFormat="1" ht="12.75"/>
    <row r="169" s="595" customFormat="1" ht="12.75"/>
    <row r="170" s="595" customFormat="1" ht="12.75"/>
    <row r="171" s="595" customFormat="1" ht="12.75"/>
    <row r="172" s="595" customFormat="1" ht="12.75"/>
    <row r="173" s="595" customFormat="1" ht="12.75"/>
    <row r="174" s="595" customFormat="1" ht="12.75"/>
    <row r="175" s="595" customFormat="1" ht="12.75"/>
    <row r="176" s="595" customFormat="1" ht="12.75"/>
    <row r="177" s="595" customFormat="1" ht="12.75"/>
    <row r="178" s="595" customFormat="1" ht="12.75"/>
    <row r="179" s="595" customFormat="1" ht="12.75"/>
    <row r="180" s="595" customFormat="1" ht="12.75"/>
    <row r="181" s="595" customFormat="1" ht="12.75"/>
    <row r="182" s="595" customFormat="1" ht="12.75"/>
    <row r="183" s="595" customFormat="1" ht="12.75"/>
    <row r="184" s="595" customFormat="1" ht="12.75"/>
    <row r="185" s="595" customFormat="1" ht="12.75"/>
    <row r="186" s="595" customFormat="1" ht="12.75"/>
    <row r="187" s="595" customFormat="1" ht="12.75"/>
    <row r="188" s="595" customFormat="1" ht="12.75"/>
    <row r="189" s="595" customFormat="1" ht="12.75"/>
    <row r="190" s="595" customFormat="1" ht="12.75"/>
    <row r="191" s="595" customFormat="1" ht="12.75"/>
    <row r="192" s="595" customFormat="1" ht="12.75"/>
    <row r="193" s="595" customFormat="1" ht="12.75"/>
    <row r="194" s="595" customFormat="1" ht="12.75"/>
    <row r="195" s="595" customFormat="1" ht="12.75"/>
    <row r="196" s="595" customFormat="1" ht="12.75"/>
    <row r="197" s="595" customFormat="1" ht="12.75"/>
    <row r="198" s="595" customFormat="1" ht="12.75"/>
    <row r="199" s="595" customFormat="1" ht="12.75"/>
    <row r="200" s="595" customFormat="1" ht="12.75"/>
    <row r="201" s="595" customFormat="1" ht="12.75"/>
    <row r="202" s="595" customFormat="1" ht="12.75"/>
    <row r="203" s="595" customFormat="1" ht="12.75"/>
    <row r="204" s="595" customFormat="1" ht="12.75"/>
    <row r="205" s="595" customFormat="1" ht="12.75"/>
    <row r="206" s="595" customFormat="1" ht="12.75"/>
    <row r="207" s="595" customFormat="1" ht="12.75"/>
    <row r="208" s="595" customFormat="1" ht="12.75"/>
    <row r="209" s="595" customFormat="1" ht="12.75"/>
    <row r="210" s="595" customFormat="1" ht="12.75"/>
    <row r="211" s="595" customFormat="1" ht="12.75"/>
    <row r="212" s="595" customFormat="1" ht="12.75"/>
    <row r="213" s="595" customFormat="1" ht="12.75"/>
    <row r="214" s="595" customFormat="1" ht="12.75"/>
    <row r="215" s="595" customFormat="1" ht="12.75"/>
    <row r="216" s="595" customFormat="1" ht="12.75"/>
    <row r="217" s="595" customFormat="1" ht="12.75"/>
    <row r="218" s="595" customFormat="1" ht="12.75"/>
    <row r="219" s="595" customFormat="1" ht="12.75"/>
    <row r="220" s="595" customFormat="1" ht="12.75"/>
    <row r="221" s="595" customFormat="1" ht="12.75"/>
    <row r="222" s="595" customFormat="1" ht="12.75"/>
    <row r="223" s="595" customFormat="1" ht="12.75"/>
    <row r="224" s="595" customFormat="1" ht="12.75"/>
    <row r="225" s="595" customFormat="1" ht="12.75"/>
    <row r="226" s="595" customFormat="1" ht="12.75"/>
    <row r="227" s="595" customFormat="1" ht="12.75"/>
    <row r="228" s="595" customFormat="1" ht="12.75"/>
    <row r="229" s="595" customFormat="1" ht="12.75"/>
    <row r="230" s="595" customFormat="1" ht="12.75"/>
    <row r="231" s="595" customFormat="1" ht="12.75"/>
    <row r="232" s="595" customFormat="1" ht="12.75"/>
    <row r="233" s="595" customFormat="1" ht="12.75"/>
    <row r="234" s="595" customFormat="1" ht="12.75"/>
    <row r="235" s="595" customFormat="1" ht="12.75"/>
    <row r="236" s="595" customFormat="1" ht="12.75"/>
    <row r="237" s="595" customFormat="1" ht="12.75"/>
    <row r="238" s="595" customFormat="1" ht="12.75"/>
    <row r="239" s="595" customFormat="1" ht="12.75"/>
    <row r="240" s="595" customFormat="1" ht="12.75"/>
    <row r="241" s="595" customFormat="1" ht="12.75"/>
    <row r="242" s="595" customFormat="1" ht="12.75"/>
    <row r="243" s="595" customFormat="1" ht="12.75"/>
    <row r="244" s="595" customFormat="1" ht="12.75"/>
    <row r="245" s="595" customFormat="1" ht="12.75"/>
    <row r="246" s="595" customFormat="1" ht="12.75"/>
    <row r="247" s="595" customFormat="1" ht="12.75"/>
    <row r="248" s="595" customFormat="1" ht="12.75"/>
    <row r="249" s="595" customFormat="1" ht="12.75"/>
    <row r="250" s="595" customFormat="1" ht="12.75"/>
    <row r="251" s="595" customFormat="1" ht="12.75"/>
    <row r="252" s="595" customFormat="1" ht="12.75"/>
    <row r="253" s="595" customFormat="1" ht="12.75"/>
    <row r="254" s="595" customFormat="1" ht="12.75"/>
    <row r="255" s="595" customFormat="1" ht="12.75"/>
    <row r="256" s="595" customFormat="1" ht="12.75"/>
    <row r="257" s="595" customFormat="1" ht="12.75"/>
    <row r="258" s="595" customFormat="1" ht="12.75"/>
    <row r="259" s="595" customFormat="1" ht="12.75"/>
    <row r="260" s="595" customFormat="1" ht="12.75"/>
    <row r="261" s="595" customFormat="1" ht="12.75"/>
    <row r="262" s="595" customFormat="1" ht="12.75"/>
    <row r="263" s="595" customFormat="1" ht="12.75"/>
    <row r="264" s="595" customFormat="1" ht="12.75"/>
    <row r="265" s="595" customFormat="1" ht="12.75"/>
    <row r="266" s="595" customFormat="1" ht="12.75"/>
    <row r="267" s="595" customFormat="1" ht="12.75"/>
    <row r="268" s="595" customFormat="1" ht="12.75"/>
    <row r="269" s="595" customFormat="1" ht="12.75"/>
    <row r="270" s="595" customFormat="1" ht="12.75"/>
    <row r="271" s="595" customFormat="1" ht="12.75"/>
    <row r="272" s="595" customFormat="1" ht="12.75"/>
    <row r="273" s="595" customFormat="1" ht="12.75"/>
    <row r="274" s="595" customFormat="1" ht="12.75"/>
    <row r="275" s="595" customFormat="1" ht="12.75"/>
    <row r="276" s="595" customFormat="1" ht="12.75"/>
    <row r="277" s="595" customFormat="1" ht="12.75"/>
    <row r="278" s="595" customFormat="1" ht="12.75"/>
    <row r="279" s="595" customFormat="1" ht="12.75"/>
    <row r="280" s="595" customFormat="1" ht="12.75"/>
    <row r="281" s="595" customFormat="1" ht="12.75"/>
    <row r="282" s="595" customFormat="1" ht="12.75"/>
    <row r="283" s="595" customFormat="1" ht="12.75"/>
    <row r="284" s="595" customFormat="1" ht="12.75"/>
    <row r="285" s="595" customFormat="1" ht="12.75"/>
    <row r="286" s="595" customFormat="1" ht="12.75"/>
    <row r="287" s="595" customFormat="1" ht="12.75"/>
    <row r="288" s="595" customFormat="1" ht="12.75"/>
    <row r="289" s="595" customFormat="1" ht="12.75"/>
    <row r="290" s="595" customFormat="1" ht="12.75"/>
    <row r="291" s="595" customFormat="1" ht="12.75"/>
    <row r="292" s="595" customFormat="1" ht="12.75"/>
    <row r="293" s="595" customFormat="1" ht="12.75"/>
    <row r="294" s="595" customFormat="1" ht="12.75"/>
    <row r="295" s="595" customFormat="1" ht="12.75"/>
    <row r="296" s="595" customFormat="1" ht="12.75"/>
    <row r="297" s="595" customFormat="1" ht="12.75"/>
    <row r="298" s="595" customFormat="1" ht="12.75"/>
    <row r="299" s="595" customFormat="1" ht="12.75"/>
    <row r="300" s="595" customFormat="1" ht="12.75"/>
    <row r="301" s="595" customFormat="1" ht="12.75"/>
    <row r="302" s="595" customFormat="1" ht="12.75"/>
    <row r="303" s="595" customFormat="1" ht="12.75"/>
    <row r="304" s="595" customFormat="1" ht="12.75"/>
    <row r="305" s="595" customFormat="1" ht="12.75"/>
    <row r="306" s="595" customFormat="1" ht="12.75"/>
    <row r="307" s="595" customFormat="1" ht="12.75"/>
    <row r="308" s="595" customFormat="1" ht="12.75"/>
    <row r="309" s="595" customFormat="1" ht="12.75"/>
    <row r="310" s="595" customFormat="1" ht="12.75"/>
    <row r="311" s="595" customFormat="1" ht="12.75"/>
    <row r="312" s="595" customFormat="1" ht="12.75"/>
    <row r="313" s="595" customFormat="1" ht="12.75"/>
    <row r="314" s="595" customFormat="1" ht="12.75"/>
    <row r="315" s="595" customFormat="1" ht="12.75"/>
    <row r="316" s="595" customFormat="1" ht="12.75"/>
    <row r="317" s="595" customFormat="1" ht="12.75"/>
    <row r="318" s="595" customFormat="1" ht="12.75"/>
    <row r="319" s="595" customFormat="1" ht="12.75"/>
    <row r="320" s="595" customFormat="1" ht="12.75"/>
    <row r="321" s="595" customFormat="1" ht="12.75"/>
    <row r="322" s="595" customFormat="1" ht="12.75"/>
    <row r="323" s="595" customFormat="1" ht="12.75"/>
    <row r="324" s="595" customFormat="1" ht="12.75"/>
    <row r="325" s="595" customFormat="1" ht="12.75"/>
    <row r="326" s="595" customFormat="1" ht="12.75"/>
    <row r="327" s="595" customFormat="1" ht="12.75"/>
    <row r="328" s="595" customFormat="1" ht="12.75"/>
    <row r="329" s="595" customFormat="1" ht="12.75"/>
    <row r="330" s="595" customFormat="1" ht="12.75"/>
    <row r="331" s="595" customFormat="1" ht="12.75"/>
    <row r="332" s="595" customFormat="1" ht="12.75"/>
    <row r="333" s="595" customFormat="1" ht="12.75"/>
    <row r="334" s="595" customFormat="1" ht="12.75"/>
    <row r="335" s="595" customFormat="1" ht="12.75"/>
    <row r="336" s="595" customFormat="1" ht="12.75"/>
    <row r="337" s="595" customFormat="1" ht="12.75"/>
    <row r="338" s="595" customFormat="1" ht="12.75"/>
    <row r="339" s="595" customFormat="1" ht="12.75"/>
    <row r="340" s="595" customFormat="1" ht="12.75"/>
    <row r="341" s="595" customFormat="1" ht="12.75"/>
    <row r="342" s="595" customFormat="1" ht="12.75"/>
    <row r="343" s="595" customFormat="1" ht="12.75"/>
    <row r="344" s="595" customFormat="1" ht="12.75"/>
    <row r="345" s="595" customFormat="1" ht="12.75"/>
    <row r="346" s="595" customFormat="1" ht="12.75"/>
    <row r="347" s="595" customFormat="1" ht="12.75"/>
    <row r="348" s="595" customFormat="1" ht="12.75"/>
    <row r="349" s="595" customFormat="1" ht="12.75"/>
    <row r="350" s="595" customFormat="1" ht="12.75"/>
    <row r="351" s="595" customFormat="1" ht="12.75"/>
    <row r="352" s="595" customFormat="1" ht="12.75"/>
    <row r="353" s="595" customFormat="1" ht="12.75"/>
    <row r="354" s="595" customFormat="1" ht="12.75"/>
    <row r="355" s="595" customFormat="1" ht="12.75"/>
    <row r="356" s="595" customFormat="1" ht="12.75"/>
    <row r="357" s="595" customFormat="1" ht="12.75"/>
    <row r="358" s="595" customFormat="1" ht="12.75"/>
    <row r="359" s="595" customFormat="1" ht="12.75"/>
    <row r="360" s="595" customFormat="1" ht="12.75"/>
    <row r="361" s="595" customFormat="1" ht="12.75"/>
    <row r="362" s="595" customFormat="1" ht="12.75"/>
    <row r="363" s="595" customFormat="1" ht="12.75"/>
    <row r="364" s="595" customFormat="1" ht="12.75"/>
    <row r="365" s="595" customFormat="1" ht="12.75"/>
    <row r="366" s="595" customFormat="1" ht="12.75"/>
    <row r="367" s="595" customFormat="1" ht="12.75"/>
    <row r="368" s="595" customFormat="1" ht="12.75"/>
    <row r="369" s="595" customFormat="1" ht="12.75"/>
    <row r="370" s="595" customFormat="1" ht="12.75"/>
    <row r="371" s="595" customFormat="1" ht="12.75"/>
    <row r="372" s="595" customFormat="1" ht="12.75"/>
    <row r="373" s="595" customFormat="1" ht="12.75"/>
    <row r="374" s="595" customFormat="1" ht="12.75"/>
    <row r="375" s="595" customFormat="1" ht="12.75"/>
    <row r="376" s="595" customFormat="1" ht="12.75"/>
    <row r="377" s="595" customFormat="1" ht="12.75"/>
    <row r="378" s="595" customFormat="1" ht="12.75"/>
    <row r="379" s="595" customFormat="1" ht="12.75"/>
    <row r="380" s="595" customFormat="1" ht="12.75"/>
    <row r="381" s="595" customFormat="1" ht="12.75"/>
    <row r="382" s="595" customFormat="1" ht="12.75"/>
    <row r="383" s="595" customFormat="1" ht="12.75"/>
    <row r="384" s="595" customFormat="1" ht="12.75"/>
    <row r="385" s="595" customFormat="1" ht="12.75"/>
    <row r="386" s="595" customFormat="1" ht="12.75"/>
    <row r="387" s="595" customFormat="1" ht="12.75"/>
    <row r="388" s="595" customFormat="1" ht="12.75"/>
    <row r="389" s="595" customFormat="1" ht="12.75"/>
    <row r="390" s="595" customFormat="1" ht="12.75"/>
    <row r="391" s="595" customFormat="1" ht="12.75"/>
    <row r="392" s="595" customFormat="1" ht="12.75"/>
    <row r="393" s="595" customFormat="1" ht="12.75"/>
    <row r="394" s="595" customFormat="1" ht="12.75"/>
    <row r="395" s="595" customFormat="1" ht="12.75"/>
    <row r="396" s="595" customFormat="1" ht="12.75"/>
    <row r="397" s="595" customFormat="1" ht="12.75"/>
    <row r="398" s="595" customFormat="1" ht="12.75"/>
    <row r="399" s="595" customFormat="1" ht="12.75"/>
    <row r="400" s="595" customFormat="1" ht="12.75"/>
    <row r="401" s="595" customFormat="1" ht="12.75"/>
    <row r="402" s="595" customFormat="1" ht="12.75"/>
    <row r="403" s="595" customFormat="1" ht="12.75"/>
    <row r="404" s="595" customFormat="1" ht="12.75"/>
    <row r="405" s="595" customFormat="1" ht="12.75"/>
    <row r="406" s="595" customFormat="1" ht="12.75"/>
    <row r="407" s="595" customFormat="1" ht="12.75"/>
    <row r="408" s="595" customFormat="1" ht="12.75"/>
    <row r="409" s="595" customFormat="1" ht="12.75"/>
    <row r="410" s="595" customFormat="1" ht="12.75"/>
    <row r="411" s="595" customFormat="1" ht="12.75"/>
    <row r="412" s="595" customFormat="1" ht="12.75"/>
    <row r="413" s="595" customFormat="1" ht="12.75"/>
    <row r="414" s="595" customFormat="1" ht="12.75"/>
    <row r="415" s="595" customFormat="1" ht="12.75"/>
    <row r="416" s="595" customFormat="1" ht="12.75"/>
    <row r="417" s="595" customFormat="1" ht="12.75"/>
    <row r="418" s="595" customFormat="1" ht="12.75"/>
    <row r="419" s="595" customFormat="1" ht="12.75"/>
    <row r="420" s="595" customFormat="1" ht="12.75"/>
    <row r="421" s="595" customFormat="1" ht="12.75"/>
    <row r="422" s="595" customFormat="1" ht="12.75"/>
    <row r="423" s="595" customFormat="1" ht="12.75"/>
    <row r="424" s="595" customFormat="1" ht="12.75"/>
    <row r="425" s="595" customFormat="1" ht="12.75"/>
    <row r="426" s="595" customFormat="1" ht="12.75"/>
    <row r="427" s="595" customFormat="1" ht="12.75"/>
    <row r="428" s="595" customFormat="1" ht="12.75"/>
    <row r="429" s="595" customFormat="1" ht="12.75"/>
    <row r="430" s="595" customFormat="1" ht="12.75"/>
    <row r="431" s="595" customFormat="1" ht="12.75"/>
    <row r="432" s="595" customFormat="1" ht="12.75"/>
    <row r="433" s="595" customFormat="1" ht="12.75"/>
    <row r="434" s="595" customFormat="1" ht="12.75"/>
    <row r="435" s="595" customFormat="1" ht="12.75"/>
    <row r="436" s="595" customFormat="1" ht="12.75"/>
    <row r="437" s="595" customFormat="1" ht="12.75"/>
    <row r="438" s="595" customFormat="1" ht="12.75"/>
    <row r="439" s="595" customFormat="1" ht="12.75"/>
    <row r="440" s="595" customFormat="1" ht="12.75"/>
    <row r="441" s="595" customFormat="1" ht="12.75"/>
    <row r="442" s="595" customFormat="1" ht="12.75"/>
    <row r="443" s="595" customFormat="1" ht="12.75"/>
    <row r="444" s="595" customFormat="1" ht="12.75"/>
    <row r="445" s="595" customFormat="1" ht="12.75"/>
    <row r="446" s="595" customFormat="1" ht="12.75"/>
    <row r="447" s="595" customFormat="1" ht="12.75"/>
    <row r="448" s="595" customFormat="1" ht="12.75"/>
    <row r="449" s="595" customFormat="1" ht="12.75"/>
    <row r="450" s="595" customFormat="1" ht="12.75"/>
    <row r="451" s="595" customFormat="1" ht="12.75"/>
    <row r="452" s="595" customFormat="1" ht="12.75"/>
    <row r="453" s="595" customFormat="1" ht="12.75"/>
    <row r="454" s="595" customFormat="1" ht="12.75"/>
    <row r="455" s="595" customFormat="1" ht="12.75"/>
    <row r="456" s="595" customFormat="1" ht="12.75"/>
    <row r="457" s="595" customFormat="1" ht="12.75"/>
    <row r="458" s="595" customFormat="1" ht="12.75"/>
    <row r="459" s="595" customFormat="1" ht="12.75"/>
    <row r="460" s="595" customFormat="1" ht="12.75"/>
    <row r="461" s="595" customFormat="1" ht="12.75"/>
    <row r="462" s="595" customFormat="1" ht="12.75"/>
    <row r="463" s="595" customFormat="1" ht="12.75"/>
    <row r="464" s="595" customFormat="1" ht="12.75"/>
    <row r="465" s="595" customFormat="1" ht="12.75"/>
    <row r="466" s="595" customFormat="1" ht="12.75"/>
    <row r="467" s="595" customFormat="1" ht="12.75"/>
    <row r="468" s="595" customFormat="1" ht="12.75"/>
    <row r="469" s="595" customFormat="1" ht="12.75"/>
    <row r="470" s="595" customFormat="1" ht="12.75"/>
    <row r="471" s="595" customFormat="1" ht="12.75"/>
    <row r="472" s="595" customFormat="1" ht="12.75"/>
    <row r="473" s="595" customFormat="1" ht="12.75"/>
    <row r="474" s="595" customFormat="1" ht="12.75"/>
    <row r="475" s="595" customFormat="1" ht="12.75"/>
    <row r="476" s="595" customFormat="1" ht="12.75"/>
    <row r="477" s="595" customFormat="1" ht="12.75"/>
    <row r="478" s="595" customFormat="1" ht="12.75"/>
    <row r="479" s="595" customFormat="1" ht="12.75"/>
    <row r="480" s="595" customFormat="1" ht="12.75"/>
    <row r="481" s="595" customFormat="1" ht="12.75"/>
    <row r="482" s="595" customFormat="1" ht="12.75"/>
    <row r="483" s="595" customFormat="1" ht="12.75"/>
    <row r="484" s="595" customFormat="1" ht="12.75"/>
    <row r="485" s="595" customFormat="1" ht="12.75"/>
    <row r="486" s="595" customFormat="1" ht="12.75"/>
    <row r="487" s="595" customFormat="1" ht="12.75"/>
    <row r="488" s="595" customFormat="1" ht="12.75"/>
    <row r="489" s="595" customFormat="1" ht="12.75"/>
    <row r="490" s="595" customFormat="1" ht="12.75"/>
    <row r="491" s="595" customFormat="1" ht="12.75"/>
    <row r="492" s="595" customFormat="1" ht="12.75"/>
    <row r="493" s="595" customFormat="1" ht="12.75"/>
    <row r="494" s="595" customFormat="1" ht="12.75"/>
    <row r="495" s="595" customFormat="1" ht="12.75"/>
    <row r="496" s="595" customFormat="1" ht="12.75"/>
    <row r="497" s="595" customFormat="1" ht="12.75"/>
    <row r="498" s="595" customFormat="1" ht="12.75"/>
    <row r="499" s="595" customFormat="1" ht="12.75"/>
    <row r="500" s="595" customFormat="1" ht="12.75"/>
    <row r="501" s="595" customFormat="1" ht="12.75"/>
    <row r="502" s="595" customFormat="1" ht="12.75"/>
    <row r="503" s="595" customFormat="1" ht="12.75"/>
    <row r="504" s="595" customFormat="1" ht="12.75"/>
    <row r="505" s="595" customFormat="1" ht="12.75"/>
    <row r="506" s="595" customFormat="1" ht="12.75"/>
    <row r="507" s="595" customFormat="1" ht="12.75"/>
    <row r="508" s="595" customFormat="1" ht="12.75"/>
    <row r="509" s="595" customFormat="1" ht="12.75"/>
    <row r="510" s="595" customFormat="1" ht="12.75"/>
    <row r="511" s="595" customFormat="1" ht="12.75"/>
    <row r="512" s="595" customFormat="1" ht="12.75"/>
    <row r="513" s="595" customFormat="1" ht="12.75"/>
    <row r="514" s="595" customFormat="1" ht="12.75"/>
    <row r="515" s="595" customFormat="1" ht="12.75"/>
    <row r="516" s="595" customFormat="1" ht="12.75"/>
    <row r="517" s="595" customFormat="1" ht="12.75"/>
    <row r="518" s="595" customFormat="1" ht="12.75"/>
    <row r="519" s="595" customFormat="1" ht="12.75"/>
    <row r="520" s="595" customFormat="1" ht="12.75"/>
    <row r="521" s="595" customFormat="1" ht="12.75"/>
    <row r="522" s="595" customFormat="1" ht="12.75"/>
    <row r="523" s="595" customFormat="1" ht="12.75"/>
    <row r="524" s="595" customFormat="1" ht="12.75"/>
    <row r="525" s="595" customFormat="1" ht="12.75"/>
    <row r="526" s="595" customFormat="1" ht="12.75"/>
    <row r="527" s="595" customFormat="1" ht="12.75"/>
    <row r="528" s="595" customFormat="1" ht="12.75"/>
    <row r="529" s="595" customFormat="1" ht="12.75"/>
    <row r="530" s="595" customFormat="1" ht="12.75"/>
    <row r="531" s="595" customFormat="1" ht="12.75"/>
    <row r="532" s="595" customFormat="1" ht="12.75"/>
    <row r="533" s="595" customFormat="1" ht="12.75"/>
    <row r="534" s="595" customFormat="1" ht="12.75"/>
    <row r="535" s="595" customFormat="1" ht="12.75"/>
    <row r="536" s="595" customFormat="1" ht="12.75"/>
    <row r="537" s="595" customFormat="1" ht="12.75"/>
    <row r="538" s="595" customFormat="1" ht="12.75"/>
    <row r="539" s="595" customFormat="1" ht="12.75"/>
    <row r="540" s="595" customFormat="1" ht="12.75"/>
    <row r="541" s="595" customFormat="1" ht="12.75"/>
    <row r="542" s="595" customFormat="1" ht="12.75"/>
    <row r="543" s="595" customFormat="1" ht="12.75"/>
    <row r="544" s="595" customFormat="1" ht="12.75"/>
    <row r="545" s="595" customFormat="1" ht="12.75"/>
    <row r="546" s="595" customFormat="1" ht="12.75"/>
    <row r="547" s="595" customFormat="1" ht="12.75"/>
    <row r="548" s="595" customFormat="1" ht="12.75"/>
    <row r="549" s="595" customFormat="1" ht="12.75"/>
    <row r="550" s="595" customFormat="1" ht="12.75"/>
    <row r="551" s="595" customFormat="1" ht="12.75"/>
    <row r="552" s="595" customFormat="1" ht="12.75"/>
    <row r="553" s="595" customFormat="1" ht="12.75"/>
    <row r="554" s="595" customFormat="1" ht="12.75"/>
    <row r="555" s="595" customFormat="1" ht="12.75"/>
    <row r="556" s="595" customFormat="1" ht="12.75"/>
    <row r="557" s="595" customFormat="1" ht="12.75"/>
    <row r="558" s="595" customFormat="1" ht="12.75"/>
    <row r="559" s="595" customFormat="1" ht="12.75"/>
    <row r="560" s="595" customFormat="1" ht="12.75"/>
    <row r="561" s="595" customFormat="1" ht="12.75"/>
    <row r="562" s="595" customFormat="1" ht="12.75"/>
    <row r="563" s="595" customFormat="1" ht="12.75"/>
    <row r="564" s="595" customFormat="1" ht="12.75"/>
    <row r="565" s="595" customFormat="1" ht="12.75"/>
    <row r="566" s="595" customFormat="1" ht="12.75"/>
    <row r="567" s="595" customFormat="1" ht="12.75"/>
    <row r="568" s="595" customFormat="1" ht="12.75"/>
    <row r="569" s="595" customFormat="1" ht="12.75"/>
    <row r="570" s="595" customFormat="1" ht="12.75"/>
    <row r="571" s="595" customFormat="1" ht="12.75"/>
    <row r="572" s="595" customFormat="1" ht="12.75"/>
    <row r="573" s="595" customFormat="1" ht="12.75"/>
    <row r="574" s="595" customFormat="1" ht="12.75"/>
    <row r="575" s="595" customFormat="1" ht="12.75"/>
    <row r="576" s="595" customFormat="1" ht="12.75"/>
    <row r="577" s="595" customFormat="1" ht="12.75"/>
    <row r="578" s="595" customFormat="1" ht="12.75"/>
    <row r="579" s="595" customFormat="1" ht="12.75"/>
    <row r="580" s="595" customFormat="1" ht="12.75"/>
    <row r="581" s="595" customFormat="1" ht="12.75"/>
    <row r="582" s="595" customFormat="1" ht="12.75"/>
    <row r="583" s="595" customFormat="1" ht="12.75"/>
    <row r="584" s="595" customFormat="1" ht="12.75"/>
    <row r="585" s="595" customFormat="1" ht="12.75"/>
    <row r="586" s="595" customFormat="1" ht="12.75"/>
    <row r="587" s="595" customFormat="1" ht="12.75"/>
    <row r="588" s="595" customFormat="1" ht="12.75"/>
    <row r="589" s="595" customFormat="1" ht="12.75"/>
    <row r="590" s="595" customFormat="1" ht="12.75"/>
    <row r="591" s="595" customFormat="1" ht="12.75"/>
    <row r="592" s="595" customFormat="1" ht="12.75"/>
    <row r="593" s="595" customFormat="1" ht="12.75"/>
    <row r="594" s="595" customFormat="1" ht="12.75"/>
    <row r="595" s="595" customFormat="1" ht="12.75"/>
    <row r="596" s="595" customFormat="1" ht="12.75"/>
    <row r="597" s="595" customFormat="1" ht="12.75"/>
    <row r="598" s="595" customFormat="1" ht="12.75"/>
    <row r="599" s="595" customFormat="1" ht="12.75"/>
    <row r="600" s="595" customFormat="1" ht="12.75"/>
    <row r="601" s="595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5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57" customWidth="1"/>
    <col min="2" max="4" width="16.7142857142857" style="357" customWidth="1"/>
    <col min="5" max="7" width="17.7142857142857" style="357" customWidth="1"/>
    <col min="8" max="16384" width="8.85714285714286" style="357"/>
  </cols>
  <sheetData>
    <row r="1" spans="1:7" ht="15" customHeight="1">
      <c r="A1" s="1541"/>
      <c r="B1" s="1541"/>
      <c r="C1" s="1541"/>
      <c r="D1" s="1541"/>
      <c r="E1" s="1541"/>
      <c r="F1" s="1541"/>
      <c r="G1" s="1541"/>
    </row>
    <row r="2" spans="1:7" ht="26.45" customHeight="1">
      <c r="A2" s="1597" t="s">
        <v>3590</v>
      </c>
      <c r="B2" s="1597"/>
      <c r="C2" s="1597"/>
      <c r="D2" s="1597"/>
      <c r="E2" s="1597"/>
      <c r="F2" s="1597"/>
      <c r="G2" s="1597"/>
    </row>
    <row r="3" spans="1:7" ht="15" customHeight="1">
      <c r="A3" s="1588" t="s">
        <v>3591</v>
      </c>
      <c r="B3" s="1588"/>
      <c r="C3" s="1588"/>
      <c r="D3" s="1588"/>
      <c r="E3" s="1588"/>
      <c r="F3" s="1588"/>
      <c r="G3" s="1588"/>
    </row>
    <row r="4" spans="1:7" ht="15" customHeight="1">
      <c r="A4" s="1588" t="s">
        <v>3690</v>
      </c>
      <c r="B4" s="1588"/>
      <c r="C4" s="1588"/>
      <c r="D4" s="1588"/>
      <c r="E4" s="1588"/>
      <c r="F4" s="1588"/>
      <c r="G4" s="1588"/>
    </row>
    <row r="5" spans="1:7" ht="15" customHeight="1">
      <c r="A5" s="1598" t="s">
        <v>3592</v>
      </c>
      <c r="B5" s="1598"/>
      <c r="C5" s="1598"/>
      <c r="D5" s="1598"/>
      <c r="E5" s="1598"/>
      <c r="F5" s="1598"/>
      <c r="G5" s="1598"/>
    </row>
    <row r="6" spans="1:7" ht="15" customHeight="1" thickBot="1">
      <c r="A6" s="1598"/>
      <c r="B6" s="1598"/>
      <c r="C6" s="1598"/>
      <c r="D6" s="1598"/>
      <c r="E6" s="1598"/>
      <c r="F6" s="1598"/>
      <c r="G6" s="1598"/>
    </row>
    <row r="7" spans="1:7" ht="15" customHeight="1">
      <c r="A7" s="1592" t="s">
        <v>3593</v>
      </c>
      <c r="B7" s="1593"/>
      <c r="C7" s="1593"/>
      <c r="D7" s="1593"/>
      <c r="E7" s="986"/>
      <c r="F7" s="986"/>
      <c r="G7" s="1594"/>
    </row>
    <row r="8" spans="1:7" ht="18" customHeight="1">
      <c r="A8" s="1589" t="s">
        <v>176</v>
      </c>
      <c r="B8" s="1590"/>
      <c r="C8" s="1590"/>
      <c r="D8" s="1590"/>
      <c r="E8" s="1590"/>
      <c r="F8" s="1590"/>
      <c r="G8" s="1591"/>
    </row>
    <row r="9" spans="1:7" ht="15" customHeight="1">
      <c r="A9" s="1595" t="s">
        <v>3594</v>
      </c>
      <c r="B9" s="1551"/>
      <c r="C9" s="1551"/>
      <c r="D9" s="1551"/>
      <c r="E9" s="1551"/>
      <c r="F9" s="1551"/>
      <c r="G9" s="1596"/>
    </row>
    <row r="10" spans="1:7" ht="18" customHeight="1">
      <c r="A10" s="1585"/>
      <c r="B10" s="1586"/>
      <c r="C10" s="1586"/>
      <c r="D10" s="1586"/>
      <c r="E10" s="1586"/>
      <c r="F10" s="1586"/>
      <c r="G10" s="1587"/>
    </row>
    <row r="11" spans="1:7" ht="15" customHeight="1">
      <c r="A11" s="1595" t="s">
        <v>3595</v>
      </c>
      <c r="B11" s="1551"/>
      <c r="C11" s="1551"/>
      <c r="D11" s="1551"/>
      <c r="E11" s="1551"/>
      <c r="F11" s="1551"/>
      <c r="G11" s="1596"/>
    </row>
    <row r="12" spans="1:7" ht="18" customHeight="1">
      <c r="A12" s="1585"/>
      <c r="B12" s="1586"/>
      <c r="C12" s="1586"/>
      <c r="D12" s="1586"/>
      <c r="E12" s="1586"/>
      <c r="F12" s="1586"/>
      <c r="G12" s="1587"/>
    </row>
    <row r="13" spans="1:7" ht="5.1" customHeight="1" thickBot="1">
      <c r="A13" s="1611"/>
      <c r="B13" s="1612"/>
      <c r="C13" s="1612"/>
      <c r="D13" s="1400"/>
      <c r="E13" s="1400"/>
      <c r="F13" s="1400"/>
      <c r="G13" s="1613"/>
    </row>
    <row r="14" spans="1:7" ht="5.1" customHeight="1">
      <c r="A14" s="1550"/>
      <c r="B14" s="1550"/>
      <c r="C14" s="1550"/>
      <c r="D14" s="1550"/>
      <c r="E14" s="1550"/>
      <c r="F14" s="1550"/>
      <c r="G14" s="1550"/>
    </row>
    <row r="15" spans="1:7" ht="18" customHeight="1">
      <c r="A15" s="1606" t="s">
        <v>3691</v>
      </c>
      <c r="B15" s="1606"/>
      <c r="C15" s="766"/>
      <c r="D15" s="766"/>
      <c r="E15" s="766"/>
      <c r="F15" s="417">
        <f>+'DAP1'!F24</f>
        <v>2022</v>
      </c>
      <c r="G15" s="409" t="s">
        <v>3692</v>
      </c>
    </row>
    <row r="16" spans="1:7" ht="5.1" customHeight="1" thickBot="1">
      <c r="A16" s="1571"/>
      <c r="B16" s="1571"/>
      <c r="C16" s="1572"/>
      <c r="D16" s="1572"/>
      <c r="E16" s="1572"/>
      <c r="F16" s="1572"/>
      <c r="G16" s="1572"/>
    </row>
    <row r="17" spans="1:7" ht="15" customHeight="1">
      <c r="A17" s="1592" t="s">
        <v>98</v>
      </c>
      <c r="B17" s="1593"/>
      <c r="C17" s="986"/>
      <c r="D17" s="986"/>
      <c r="E17" s="986"/>
      <c r="F17" s="1614" t="s">
        <v>97</v>
      </c>
      <c r="G17" s="1615"/>
    </row>
    <row r="18" spans="1:7" ht="18" customHeight="1">
      <c r="A18" s="1607" t="str">
        <f>+IF(ISBLANK('DAP2'!C45)," ",IF(EXACT(MID('DAP2'!C45,1,1)," ")," ",+MID('DAP2'!C45,1,+FIND(" ",'DAP2'!C45))))</f>
        <v xml:space="preserve"> </v>
      </c>
      <c r="B18" s="1608"/>
      <c r="C18" s="1601"/>
      <c r="D18" s="1602"/>
      <c r="E18" s="390"/>
      <c r="F18" s="1609" t="str">
        <f>+IF(ISBLANK('DAP2'!C45)," ",IF(EXACT(MID('DAP2'!C45,1,1)," ")," ",+MID('DAP2'!C45,+FIND(" ",'DAP2'!C45)+1,20)))</f>
        <v xml:space="preserve"> </v>
      </c>
      <c r="G18" s="1610"/>
    </row>
    <row r="19" spans="1:7" ht="15" customHeight="1">
      <c r="A19" s="1599" t="s">
        <v>148</v>
      </c>
      <c r="B19" s="1617"/>
      <c r="C19" s="1600"/>
      <c r="D19" s="1600"/>
      <c r="E19" s="1551" t="s">
        <v>3596</v>
      </c>
      <c r="F19" s="1136"/>
      <c r="G19" s="1566"/>
    </row>
    <row r="20" spans="1:7" ht="18" customHeight="1">
      <c r="A20" s="1567" t="str">
        <f>+CONCATENATE('DAP2'!H45)</f>
        <v/>
      </c>
      <c r="B20" s="1568"/>
      <c r="C20" s="1616"/>
      <c r="D20" s="410"/>
      <c r="E20" s="1618" t="str">
        <f>+CONCATENATE(ZAKL_DATA!B16," ",ZAKL_DATA!B17,", ",ZAKL_DATA!B18)</f>
        <v xml:space="preserve"> , </v>
      </c>
      <c r="F20" s="1569"/>
      <c r="G20" s="1570"/>
    </row>
    <row r="21" spans="1:7" ht="15" customHeight="1">
      <c r="A21" s="1564"/>
      <c r="B21" s="1565"/>
      <c r="C21" s="1136"/>
      <c r="D21" s="1136"/>
      <c r="E21" s="1136"/>
      <c r="F21" s="1136"/>
      <c r="G21" s="1566"/>
    </row>
    <row r="22" spans="1:7" ht="18" customHeight="1">
      <c r="A22" s="1567"/>
      <c r="B22" s="1568"/>
      <c r="C22" s="1568"/>
      <c r="D22" s="1569"/>
      <c r="E22" s="1569"/>
      <c r="F22" s="1569"/>
      <c r="G22" s="1570"/>
    </row>
    <row r="23" spans="1:7" ht="15" customHeight="1">
      <c r="A23" s="1599"/>
      <c r="B23" s="1600"/>
      <c r="C23" s="1600"/>
      <c r="D23" s="1600"/>
      <c r="E23" s="1600"/>
      <c r="F23" s="1600"/>
      <c r="G23" s="418" t="s">
        <v>43</v>
      </c>
    </row>
    <row r="24" spans="1:7" ht="18" customHeight="1">
      <c r="A24" s="1567"/>
      <c r="B24" s="1568"/>
      <c r="C24" s="1601"/>
      <c r="D24" s="1601"/>
      <c r="E24" s="1602"/>
      <c r="F24" s="388"/>
      <c r="G24" s="416" t="str">
        <f>+CONCATENATE(ZAKL_DATA!B19)</f>
        <v/>
      </c>
    </row>
    <row r="25" spans="1:7" ht="9" customHeight="1" thickBot="1">
      <c r="A25" s="1603"/>
      <c r="B25" s="1604"/>
      <c r="C25" s="1604"/>
      <c r="D25" s="1604"/>
      <c r="E25" s="1225"/>
      <c r="F25" s="1225"/>
      <c r="G25" s="1605"/>
    </row>
    <row r="26" spans="1:7" ht="10.9" customHeight="1">
      <c r="A26" s="1541"/>
      <c r="B26" s="1541"/>
      <c r="C26" s="1541"/>
      <c r="D26" s="1541"/>
      <c r="E26" s="1541"/>
      <c r="F26" s="1541"/>
      <c r="G26" s="1541"/>
    </row>
    <row r="27" spans="1:7" ht="15" customHeight="1">
      <c r="A27" s="419" t="s">
        <v>3693</v>
      </c>
      <c r="B27" s="417">
        <f>+F15</f>
        <v>2022</v>
      </c>
      <c r="C27" s="411" t="s">
        <v>3696</v>
      </c>
      <c r="D27" s="1606" t="s">
        <v>3694</v>
      </c>
      <c r="E27" s="767"/>
      <c r="F27" s="767"/>
      <c r="G27" s="767"/>
    </row>
    <row r="28" spans="1:11" ht="15" customHeight="1" thickBot="1">
      <c r="A28" s="1571" t="s">
        <v>3695</v>
      </c>
      <c r="B28" s="1571"/>
      <c r="C28" s="1572"/>
      <c r="D28" s="1572"/>
      <c r="E28" s="1572"/>
      <c r="F28" s="1572"/>
      <c r="G28" s="1572"/>
      <c r="H28" s="358"/>
      <c r="I28" s="358"/>
      <c r="J28" s="358"/>
      <c r="K28" s="358"/>
    </row>
    <row r="29" spans="1:8" ht="25.9" customHeight="1">
      <c r="A29" s="359"/>
      <c r="B29" s="360" t="s">
        <v>98</v>
      </c>
      <c r="C29" s="360" t="s">
        <v>97</v>
      </c>
      <c r="D29" s="360" t="s">
        <v>148</v>
      </c>
      <c r="E29" s="391" t="s">
        <v>3477</v>
      </c>
      <c r="F29" s="391" t="s">
        <v>3478</v>
      </c>
      <c r="G29" s="361" t="s">
        <v>3697</v>
      </c>
      <c r="H29" s="362"/>
    </row>
    <row r="30" spans="1:7" ht="18" customHeight="1">
      <c r="A30" s="420">
        <v>1</v>
      </c>
      <c r="B30" s="412" t="str">
        <f>+IF(EXACT(MID('DAP3'!B17,1,1),"x")," ",(MID('DAP3'!B17,1,+FIND(" ",'DAP3'!B17))))</f>
        <v xml:space="preserve"> </v>
      </c>
      <c r="C30" s="363" t="str">
        <f>+IF(EXACT(MID('DAP3'!B17,1,1),"x")," ",(MID('DAP3'!B17,+FIND(" ",'DAP3'!B17)+1,20)))</f>
        <v xml:space="preserve"> </v>
      </c>
      <c r="D30" s="363" t="str">
        <f>+IF(EXACT(MID('DAP3'!C17,1,1),"X")," ",CONCATENATE('DAP3'!D17))</f>
        <v/>
      </c>
      <c r="E30" s="415"/>
      <c r="F30" s="415"/>
      <c r="G30" s="364"/>
    </row>
    <row r="31" spans="1:7" ht="18" customHeight="1">
      <c r="A31" s="420">
        <v>2</v>
      </c>
      <c r="B31" s="412" t="str">
        <f>+IF(EXACT(MID('DAP3'!B18,1,1),"x")," ",(MID('DAP3'!B18,1,+FIND(" ",'DAP3'!B18))))</f>
        <v xml:space="preserve"> </v>
      </c>
      <c r="C31" s="363" t="str">
        <f>+IF(EXACT(MID('DAP3'!B18,1,1),"x")," ",(MID('DAP3'!B18,+FIND(" ",'DAP3'!B18)+1,20)))</f>
        <v xml:space="preserve"> </v>
      </c>
      <c r="D31" s="363" t="str">
        <f>+IF(EXACT(MID('DAP3'!C18,1,1),"X")," ",CONCATENATE('DAP3'!D18))</f>
        <v/>
      </c>
      <c r="E31" s="415"/>
      <c r="F31" s="415"/>
      <c r="G31" s="364"/>
    </row>
    <row r="32" spans="1:7" ht="18" customHeight="1">
      <c r="A32" s="420">
        <v>3</v>
      </c>
      <c r="B32" s="412" t="str">
        <f>+IF(EXACT(MID('DAP3'!B19,1,1),"x")," ",(MID('DAP3'!B19,1,+FIND(" ",'DAP3'!B19))))</f>
        <v xml:space="preserve"> </v>
      </c>
      <c r="C32" s="363" t="str">
        <f>+IF(EXACT(MID('DAP3'!B19,1,1),"x")," ",(MID('DAP3'!B19,+FIND(" ",'DAP3'!B19)+1,20)))</f>
        <v xml:space="preserve"> </v>
      </c>
      <c r="D32" s="363" t="str">
        <f>+IF(EXACT(MID('DAP3'!C19,1,1),"X")," ",CONCATENATE('DAP3'!D19))</f>
        <v/>
      </c>
      <c r="E32" s="415"/>
      <c r="F32" s="415"/>
      <c r="G32" s="364"/>
    </row>
    <row r="33" spans="1:7" ht="18" customHeight="1">
      <c r="A33" s="420">
        <v>4</v>
      </c>
      <c r="B33" s="412" t="str">
        <f>+IF(EXACT(MID('DAP3'!B20,1,1),"x")," ",(MID('DAP3'!B20,1,+FIND(" ",'DAP3'!B20))))</f>
        <v xml:space="preserve"> </v>
      </c>
      <c r="C33" s="363" t="str">
        <f>+IF(EXACT(MID('DAP3'!B20,1,1),"x")," ",(MID('DAP3'!B20,+FIND(" ",'DAP3'!B20)+1,20)))</f>
        <v xml:space="preserve"> </v>
      </c>
      <c r="D33" s="363" t="str">
        <f>+IF(EXACT(MID('DAP3'!C20,1,1),"X")," ",CONCATENATE('DAP3'!D20))</f>
        <v/>
      </c>
      <c r="E33" s="415"/>
      <c r="F33" s="415"/>
      <c r="G33" s="364"/>
    </row>
    <row r="34" spans="1:7" ht="18" customHeight="1">
      <c r="A34" s="421" t="s">
        <v>3698</v>
      </c>
      <c r="B34" s="413"/>
      <c r="C34" s="365"/>
      <c r="D34" s="366"/>
      <c r="E34" s="366"/>
      <c r="F34" s="366"/>
      <c r="G34" s="364"/>
    </row>
    <row r="35" spans="1:7" ht="18" customHeight="1">
      <c r="A35" s="421" t="s">
        <v>3699</v>
      </c>
      <c r="B35" s="413"/>
      <c r="C35" s="365"/>
      <c r="D35" s="366"/>
      <c r="E35" s="366"/>
      <c r="F35" s="366"/>
      <c r="G35" s="364"/>
    </row>
    <row r="36" spans="1:7" ht="18" customHeight="1" thickBot="1">
      <c r="A36" s="422"/>
      <c r="B36" s="414"/>
      <c r="C36" s="367"/>
      <c r="D36" s="368"/>
      <c r="E36" s="368"/>
      <c r="F36" s="368"/>
      <c r="G36" s="369"/>
    </row>
    <row r="37" spans="1:7" ht="15" customHeight="1">
      <c r="A37" s="1541"/>
      <c r="B37" s="1541"/>
      <c r="C37" s="1541"/>
      <c r="D37" s="1541"/>
      <c r="E37" s="1541"/>
      <c r="F37" s="1541"/>
      <c r="G37" s="1541"/>
    </row>
    <row r="38" spans="1:7" ht="15" customHeight="1">
      <c r="A38" s="1541"/>
      <c r="B38" s="1541"/>
      <c r="C38" s="1541"/>
      <c r="D38" s="1541"/>
      <c r="E38" s="1541"/>
      <c r="F38" s="1541"/>
      <c r="G38" s="1541"/>
    </row>
    <row r="39" spans="1:7" ht="15" customHeight="1">
      <c r="A39" s="1541"/>
      <c r="B39" s="1541"/>
      <c r="C39" s="1541"/>
      <c r="D39" s="1541"/>
      <c r="E39" s="1541"/>
      <c r="F39" s="1541"/>
      <c r="G39" s="1541"/>
    </row>
    <row r="40" spans="1:7" ht="15" customHeight="1">
      <c r="A40" s="1575" t="s">
        <v>3597</v>
      </c>
      <c r="B40" s="1575"/>
      <c r="C40" s="1575"/>
      <c r="D40" s="1575"/>
      <c r="E40" s="1575"/>
      <c r="F40" s="1575"/>
      <c r="G40" s="1575"/>
    </row>
    <row r="41" spans="1:7" ht="15" customHeight="1">
      <c r="A41" s="370" t="s">
        <v>3598</v>
      </c>
      <c r="B41" s="370"/>
      <c r="C41" s="1576"/>
      <c r="D41" s="1577"/>
      <c r="E41" s="371" t="s">
        <v>3599</v>
      </c>
      <c r="F41" s="1552"/>
      <c r="G41" s="1554"/>
    </row>
    <row r="42" spans="1:7" ht="15" customHeight="1">
      <c r="A42" s="1550"/>
      <c r="B42" s="1550"/>
      <c r="C42" s="1550"/>
      <c r="D42" s="1550"/>
      <c r="E42" s="1550"/>
      <c r="F42" s="1550"/>
      <c r="G42" s="1550"/>
    </row>
    <row r="43" spans="1:7" ht="15" customHeight="1">
      <c r="A43" s="1578" t="s">
        <v>3600</v>
      </c>
      <c r="B43" s="1579"/>
      <c r="C43" s="1578"/>
      <c r="D43" s="1578"/>
      <c r="E43" s="371" t="s">
        <v>3700</v>
      </c>
      <c r="F43" s="1580"/>
      <c r="G43" s="1581"/>
    </row>
    <row r="44" spans="1:7" ht="15" customHeight="1">
      <c r="A44" s="1582"/>
      <c r="B44" s="1583"/>
      <c r="C44" s="1583"/>
      <c r="D44" s="1584"/>
      <c r="E44" s="1549"/>
      <c r="F44" s="1550"/>
      <c r="G44" s="1550"/>
    </row>
    <row r="45" spans="1:7" ht="15" customHeight="1">
      <c r="A45" s="1542"/>
      <c r="B45" s="1543"/>
      <c r="C45" s="1543"/>
      <c r="D45" s="1544"/>
      <c r="E45" s="371" t="s">
        <v>3601</v>
      </c>
      <c r="F45" s="1573">
        <f ca="1">TODAY()</f>
        <v>44994</v>
      </c>
      <c r="G45" s="1574"/>
    </row>
    <row r="46" spans="1:7" ht="15" customHeight="1">
      <c r="A46" s="1542"/>
      <c r="B46" s="1543"/>
      <c r="C46" s="1543"/>
      <c r="D46" s="1544"/>
      <c r="E46" s="371"/>
      <c r="F46" s="372"/>
      <c r="G46" s="372"/>
    </row>
    <row r="47" spans="1:7" ht="15" customHeight="1">
      <c r="A47" s="1545"/>
      <c r="B47" s="1546"/>
      <c r="C47" s="1547"/>
      <c r="D47" s="1548"/>
      <c r="E47" s="1549"/>
      <c r="F47" s="1550"/>
      <c r="G47" s="1550"/>
    </row>
    <row r="48" spans="1:7" ht="15" customHeight="1">
      <c r="A48" s="1551" t="s">
        <v>3602</v>
      </c>
      <c r="B48" s="1551"/>
      <c r="C48" s="1551"/>
      <c r="D48" s="1551"/>
      <c r="E48" s="1551"/>
      <c r="F48" s="1551"/>
      <c r="G48" s="1551"/>
    </row>
    <row r="49" spans="1:7" ht="15" customHeight="1">
      <c r="A49" s="1552" t="s">
        <v>176</v>
      </c>
      <c r="B49" s="1553"/>
      <c r="C49" s="1554"/>
      <c r="D49" s="373"/>
      <c r="E49" s="1555" t="s">
        <v>3603</v>
      </c>
      <c r="F49" s="1556"/>
      <c r="G49" s="1557"/>
    </row>
    <row r="50" spans="1:7" ht="12">
      <c r="A50" s="1538"/>
      <c r="B50" s="1539"/>
      <c r="C50" s="1539"/>
      <c r="D50" s="389"/>
      <c r="E50" s="1558"/>
      <c r="F50" s="1559"/>
      <c r="G50" s="1560"/>
    </row>
    <row r="51" spans="1:7" ht="12">
      <c r="A51" s="760"/>
      <c r="B51" s="760"/>
      <c r="C51" s="760"/>
      <c r="D51" s="389"/>
      <c r="E51" s="1558"/>
      <c r="F51" s="1559"/>
      <c r="G51" s="1560"/>
    </row>
    <row r="52" spans="1:7" ht="12">
      <c r="A52" s="760"/>
      <c r="B52" s="760"/>
      <c r="C52" s="760"/>
      <c r="D52" s="389" t="s">
        <v>3494</v>
      </c>
      <c r="E52" s="1561"/>
      <c r="F52" s="1562"/>
      <c r="G52" s="1563"/>
    </row>
    <row r="53" spans="1:7" ht="12">
      <c r="A53" s="389"/>
      <c r="B53" s="389"/>
      <c r="C53" s="389"/>
      <c r="D53" s="389"/>
      <c r="E53" s="1537"/>
      <c r="F53" s="1537"/>
      <c r="G53" s="1537"/>
    </row>
    <row r="54" spans="1:7" ht="12">
      <c r="A54" s="1540" t="s">
        <v>3907</v>
      </c>
      <c r="B54" s="1540"/>
      <c r="C54" s="1540"/>
      <c r="D54" s="1540"/>
      <c r="E54" s="1540"/>
      <c r="F54" s="1540"/>
      <c r="G54" s="1540"/>
    </row>
    <row r="55" spans="1:7" ht="12">
      <c r="A55" s="1541"/>
      <c r="B55" s="1541"/>
      <c r="C55" s="1541"/>
      <c r="D55" s="1541"/>
      <c r="E55" s="1541"/>
      <c r="F55" s="1541"/>
      <c r="G55" s="1541"/>
    </row>
    <row r="56" spans="1:7" ht="12">
      <c r="A56" s="1541"/>
      <c r="B56" s="1541"/>
      <c r="C56" s="1541"/>
      <c r="D56" s="1541"/>
      <c r="E56" s="1541"/>
      <c r="F56" s="1541"/>
      <c r="G56" s="1541"/>
    </row>
    <row r="57" spans="1:12" ht="12.75">
      <c r="A57" s="1535" t="s">
        <v>3604</v>
      </c>
      <c r="B57" s="1535"/>
      <c r="C57" s="1535"/>
      <c r="D57" s="1535"/>
      <c r="E57" s="1535"/>
      <c r="F57" s="1535"/>
      <c r="G57" s="1535"/>
      <c r="H57" s="374"/>
      <c r="I57" s="374"/>
      <c r="J57" s="374"/>
      <c r="K57" s="374"/>
      <c r="L57" s="374"/>
    </row>
    <row r="58" spans="1:12" ht="66.75" customHeight="1">
      <c r="A58" s="1536" t="s">
        <v>3701</v>
      </c>
      <c r="B58" s="1536"/>
      <c r="C58" s="1536"/>
      <c r="D58" s="1536"/>
      <c r="E58" s="1536"/>
      <c r="F58" s="1536"/>
      <c r="G58" s="1536"/>
      <c r="H58" s="375"/>
      <c r="I58" s="375"/>
      <c r="J58" s="375"/>
      <c r="K58" s="375"/>
      <c r="L58" s="375"/>
    </row>
    <row r="59" spans="1:7" ht="12">
      <c r="A59" s="373"/>
      <c r="B59" s="373"/>
      <c r="C59" s="373"/>
      <c r="D59" s="373"/>
      <c r="E59" s="373"/>
      <c r="F59" s="373"/>
      <c r="G59" s="373"/>
    </row>
  </sheetData>
  <sheetProtection algorithmName="SHA-512" hashValue="eWoDXay9qluSs9q/6YY+F7Fx7AHnDfu+v7D2ETjUJD1A71wmPvVT6ZB37YRXun/DD9hiqKPwEnx+/I8yu0NGsg==" saltValue="rZnr68Kilyy0CtCAfABECg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10" sqref="B10"/>
    </sheetView>
  </sheetViews>
  <sheetFormatPr defaultColWidth="8.85428571428571" defaultRowHeight="15"/>
  <cols>
    <col min="1" max="1" width="9.57142857142857" style="376" customWidth="1"/>
    <col min="2" max="2" width="17.2857142857143" style="376" customWidth="1"/>
    <col min="3" max="3" width="17.8571428571429" style="376" customWidth="1"/>
    <col min="4" max="4" width="16.2857142857143" style="376" customWidth="1"/>
    <col min="5" max="5" width="21.5714285714286" style="376" customWidth="1"/>
    <col min="6" max="6" width="16.7142857142857" style="376" customWidth="1"/>
    <col min="7" max="16384" width="8.85714285714286" style="376"/>
  </cols>
  <sheetData>
    <row r="1" spans="1:5" ht="18" customHeight="1">
      <c r="A1" s="1622"/>
      <c r="B1" s="1622"/>
      <c r="C1" s="1622"/>
      <c r="D1" s="1622"/>
      <c r="E1" s="1622"/>
    </row>
    <row r="2" spans="1:6" ht="27.6" customHeight="1">
      <c r="A2" s="1597" t="s">
        <v>3605</v>
      </c>
      <c r="B2" s="1597"/>
      <c r="C2" s="1597"/>
      <c r="D2" s="1597"/>
      <c r="E2" s="1597"/>
      <c r="F2" s="377"/>
    </row>
    <row r="3" spans="1:5" ht="18" customHeight="1">
      <c r="A3" s="1622"/>
      <c r="B3" s="1622"/>
      <c r="C3" s="1622"/>
      <c r="D3" s="1622"/>
      <c r="E3" s="1622"/>
    </row>
    <row r="4" spans="1:5" ht="18" customHeight="1">
      <c r="A4" s="1622"/>
      <c r="B4" s="1622"/>
      <c r="C4" s="1622"/>
      <c r="D4" s="1622"/>
      <c r="E4" s="1622"/>
    </row>
    <row r="5" spans="1:5" ht="18" customHeight="1">
      <c r="A5" s="378" t="s">
        <v>3606</v>
      </c>
      <c r="B5" s="1577" t="str">
        <f>+CONCATENATE('DAP2'!C45)</f>
        <v/>
      </c>
      <c r="C5" s="1577"/>
      <c r="D5" s="378" t="s">
        <v>37</v>
      </c>
      <c r="E5" s="586" t="str">
        <f>+CONCATENATE('DAP2'!H45)</f>
        <v/>
      </c>
    </row>
    <row r="6" spans="1:5" ht="18" customHeight="1">
      <c r="A6" s="1550"/>
      <c r="B6" s="1550"/>
      <c r="C6" s="1550"/>
      <c r="D6" s="1550"/>
      <c r="E6" s="1550"/>
    </row>
    <row r="7" spans="1:5" ht="18" customHeight="1">
      <c r="A7" s="378" t="s">
        <v>3607</v>
      </c>
      <c r="B7" s="1577" t="str">
        <f>+CONCATENATE(ZAKL_DATA!B16," ",ZAKL_DATA!B17,", ",ZAKL_DATA!B18,", PSČ ",ZAKL_DATA!B19)</f>
        <v xml:space="preserve"> , , PSČ </v>
      </c>
      <c r="C7" s="1577"/>
      <c r="D7" s="1577"/>
      <c r="E7" s="1577"/>
    </row>
    <row r="8" spans="1:5" ht="18" customHeight="1">
      <c r="A8" s="378"/>
      <c r="B8" s="378"/>
      <c r="C8" s="378"/>
      <c r="D8" s="378"/>
      <c r="E8" s="378"/>
    </row>
    <row r="9" spans="1:5" ht="18" customHeight="1">
      <c r="A9" s="1619" t="s">
        <v>3950</v>
      </c>
      <c r="B9" s="1619"/>
      <c r="C9" s="1619"/>
      <c r="D9" s="1619"/>
      <c r="E9" s="1619"/>
    </row>
    <row r="10" spans="1:5" ht="18" customHeight="1">
      <c r="A10" s="371"/>
      <c r="B10" s="379" t="s">
        <v>97</v>
      </c>
      <c r="C10" s="379" t="s">
        <v>98</v>
      </c>
      <c r="D10" s="379" t="s">
        <v>148</v>
      </c>
      <c r="E10" s="380"/>
    </row>
    <row r="11" spans="1:5" ht="18" customHeight="1">
      <c r="A11" s="371" t="s">
        <v>136</v>
      </c>
      <c r="B11" s="381" t="str">
        <f>+Potvr_ZAM!C30</f>
        <v xml:space="preserve"> </v>
      </c>
      <c r="C11" s="381" t="str">
        <f>+Potvr_ZAM!B30</f>
        <v xml:space="preserve"> </v>
      </c>
      <c r="D11" s="381" t="str">
        <f>+CONCATENATE(Potvr_ZAM!D30)</f>
        <v/>
      </c>
      <c r="E11" s="382"/>
    </row>
    <row r="12" spans="1:5" ht="18" customHeight="1">
      <c r="A12" s="371" t="s">
        <v>137</v>
      </c>
      <c r="B12" s="381" t="str">
        <f>+Potvr_ZAM!C31</f>
        <v xml:space="preserve"> </v>
      </c>
      <c r="C12" s="381" t="str">
        <f>+Potvr_ZAM!B31</f>
        <v xml:space="preserve"> </v>
      </c>
      <c r="D12" s="381" t="str">
        <f>+CONCATENATE(Potvr_ZAM!D31)</f>
        <v/>
      </c>
      <c r="E12" s="382"/>
    </row>
    <row r="13" spans="1:5" ht="18" customHeight="1">
      <c r="A13" s="371" t="s">
        <v>138</v>
      </c>
      <c r="B13" s="381" t="str">
        <f>+Potvr_ZAM!C32</f>
        <v xml:space="preserve"> </v>
      </c>
      <c r="C13" s="381" t="str">
        <f>+Potvr_ZAM!B32</f>
        <v xml:space="preserve"> </v>
      </c>
      <c r="D13" s="381" t="str">
        <f>+CONCATENATE(Potvr_ZAM!D32)</f>
        <v/>
      </c>
      <c r="E13" s="382"/>
    </row>
    <row r="14" spans="1:5" ht="18" customHeight="1">
      <c r="A14" s="371" t="s">
        <v>317</v>
      </c>
      <c r="B14" s="381" t="str">
        <f>+Potvr_ZAM!C33</f>
        <v xml:space="preserve"> </v>
      </c>
      <c r="C14" s="381" t="str">
        <f>+Potvr_ZAM!B33</f>
        <v xml:space="preserve"> </v>
      </c>
      <c r="D14" s="381" t="str">
        <f>+CONCATENATE(Potvr_ZAM!D33)</f>
        <v/>
      </c>
      <c r="E14" s="382"/>
    </row>
    <row r="15" spans="1:5" ht="18" customHeight="1">
      <c r="A15" s="371" t="s">
        <v>103</v>
      </c>
      <c r="B15" s="381" t="str">
        <f>+CONCATENATE(Potvr_ZAM!C34)</f>
        <v/>
      </c>
      <c r="C15" s="381" t="str">
        <f>+CONCATENATE(Potvr_ZAM!B34)</f>
        <v/>
      </c>
      <c r="D15" s="381" t="str">
        <f>+CONCATENATE(Potvr_ZAM!D34)</f>
        <v/>
      </c>
      <c r="E15" s="382"/>
    </row>
    <row r="16" spans="1:5" ht="18" customHeight="1">
      <c r="A16" s="371" t="s">
        <v>316</v>
      </c>
      <c r="B16" s="381" t="str">
        <f>+CONCATENATE(Potvr_ZAM!C35)</f>
        <v/>
      </c>
      <c r="C16" s="381" t="str">
        <f>+CONCATENATE(Potvr_ZAM!B35)</f>
        <v/>
      </c>
      <c r="D16" s="381" t="str">
        <f>+CONCATENATE(Potvr_ZAM!D35)</f>
        <v/>
      </c>
      <c r="E16" s="382"/>
    </row>
    <row r="17" spans="1:5" ht="18" customHeight="1">
      <c r="A17" s="371" t="s">
        <v>315</v>
      </c>
      <c r="B17" s="381" t="str">
        <f>+CONCATENATE(Potvr_ZAM!C36)</f>
        <v/>
      </c>
      <c r="C17" s="381" t="str">
        <f>+CONCATENATE(Potvr_ZAM!B36)</f>
        <v/>
      </c>
      <c r="D17" s="381" t="str">
        <f>+CONCATENATE(Potvr_ZAM!D36)</f>
        <v/>
      </c>
      <c r="E17" s="382"/>
    </row>
    <row r="18" spans="1:5" ht="18" customHeight="1">
      <c r="A18" s="1550"/>
      <c r="B18" s="1550"/>
      <c r="C18" s="1550"/>
      <c r="D18" s="1550"/>
      <c r="E18" s="1550"/>
    </row>
    <row r="19" spans="1:5" ht="18" customHeight="1">
      <c r="A19" s="1550"/>
      <c r="B19" s="1550"/>
      <c r="C19" s="1550"/>
      <c r="D19" s="1550"/>
      <c r="E19" s="1550"/>
    </row>
    <row r="20" spans="1:5" ht="18" customHeight="1">
      <c r="A20" s="378" t="s">
        <v>3460</v>
      </c>
      <c r="B20" s="383">
        <f ca="1">TODAY()</f>
        <v>44994</v>
      </c>
      <c r="C20" s="1550"/>
      <c r="D20" s="1550"/>
      <c r="E20" s="1550"/>
    </row>
    <row r="21" spans="1:5" ht="18" customHeight="1">
      <c r="A21" s="1550"/>
      <c r="B21" s="1550"/>
      <c r="C21" s="1550"/>
      <c r="D21" s="1620"/>
      <c r="E21" s="1620"/>
    </row>
    <row r="22" spans="1:5" ht="18" customHeight="1">
      <c r="A22" s="1550"/>
      <c r="B22" s="1550"/>
      <c r="C22" s="1550"/>
      <c r="D22" s="1577"/>
      <c r="E22" s="1577"/>
    </row>
    <row r="23" spans="1:5" ht="18" customHeight="1">
      <c r="A23" s="1550"/>
      <c r="B23" s="1550"/>
      <c r="C23" s="1550"/>
      <c r="D23" s="1621" t="s">
        <v>3608</v>
      </c>
      <c r="E23" s="1621"/>
    </row>
    <row r="24" spans="1:5" ht="18" customHeight="1">
      <c r="A24" s="384"/>
      <c r="B24" s="384"/>
      <c r="C24" s="384"/>
      <c r="D24" s="384"/>
      <c r="E24" s="384"/>
    </row>
    <row r="25" spans="1:5" ht="15">
      <c r="A25" s="384"/>
      <c r="B25" s="384"/>
      <c r="C25" s="384"/>
      <c r="D25" s="384"/>
      <c r="E25" s="384"/>
    </row>
    <row r="26" spans="1:5" ht="15">
      <c r="A26" s="384"/>
      <c r="B26" s="384"/>
      <c r="C26" s="384"/>
      <c r="D26" s="384"/>
      <c r="E26" s="384"/>
    </row>
    <row r="27" spans="1:5" ht="15">
      <c r="A27" s="384"/>
      <c r="B27" s="384"/>
      <c r="C27" s="384"/>
      <c r="D27" s="384"/>
      <c r="E27" s="384"/>
    </row>
    <row r="28" spans="1:5" ht="15">
      <c r="A28" s="384"/>
      <c r="B28" s="384"/>
      <c r="C28" s="384"/>
      <c r="D28" s="384"/>
      <c r="E28" s="384"/>
    </row>
    <row r="29" spans="1:5" ht="15">
      <c r="A29" s="384"/>
      <c r="B29" s="384"/>
      <c r="C29" s="384"/>
      <c r="D29" s="384"/>
      <c r="E29" s="384"/>
    </row>
    <row r="30" spans="1:5" ht="15">
      <c r="A30" s="384"/>
      <c r="B30" s="384"/>
      <c r="C30" s="384"/>
      <c r="D30" s="384"/>
      <c r="E30" s="384"/>
    </row>
    <row r="31" spans="1:5" ht="15">
      <c r="A31" s="384"/>
      <c r="B31" s="384"/>
      <c r="C31" s="384"/>
      <c r="D31" s="384"/>
      <c r="E31" s="384"/>
    </row>
    <row r="32" spans="1:5" ht="15">
      <c r="A32" s="384"/>
      <c r="B32" s="384"/>
      <c r="C32" s="384"/>
      <c r="D32" s="384"/>
      <c r="E32" s="384"/>
    </row>
    <row r="33" spans="1:5" ht="15">
      <c r="A33" s="384"/>
      <c r="B33" s="384"/>
      <c r="C33" s="384"/>
      <c r="D33" s="384"/>
      <c r="E33" s="384"/>
    </row>
    <row r="34" spans="1:5" ht="15">
      <c r="A34" s="384"/>
      <c r="B34" s="384"/>
      <c r="C34" s="384"/>
      <c r="D34" s="384"/>
      <c r="E34" s="384"/>
    </row>
    <row r="35" spans="1:5" ht="15">
      <c r="A35" s="384"/>
      <c r="B35" s="384"/>
      <c r="C35" s="384"/>
      <c r="D35" s="384"/>
      <c r="E35" s="384"/>
    </row>
    <row r="36" spans="1:5" ht="15">
      <c r="A36" s="384"/>
      <c r="B36" s="384"/>
      <c r="C36" s="384"/>
      <c r="D36" s="384"/>
      <c r="E36" s="384"/>
    </row>
    <row r="37" spans="1:5" ht="15">
      <c r="A37" s="384"/>
      <c r="B37" s="384"/>
      <c r="C37" s="384"/>
      <c r="D37" s="384"/>
      <c r="E37" s="384"/>
    </row>
    <row r="38" spans="1:5" ht="15">
      <c r="A38" s="384"/>
      <c r="B38" s="384"/>
      <c r="C38" s="384"/>
      <c r="D38" s="384"/>
      <c r="E38" s="384"/>
    </row>
    <row r="39" spans="1:5" ht="15">
      <c r="A39" s="384"/>
      <c r="B39" s="384"/>
      <c r="C39" s="384"/>
      <c r="D39" s="384"/>
      <c r="E39" s="384"/>
    </row>
    <row r="40" spans="1:5" ht="15">
      <c r="A40" s="384"/>
      <c r="B40" s="384"/>
      <c r="C40" s="384"/>
      <c r="D40" s="384"/>
      <c r="E40" s="384"/>
    </row>
    <row r="41" spans="1:5" ht="15">
      <c r="A41" s="384"/>
      <c r="B41" s="384"/>
      <c r="C41" s="384"/>
      <c r="D41" s="384"/>
      <c r="E41" s="384"/>
    </row>
    <row r="42" spans="1:5" ht="15">
      <c r="A42" s="384"/>
      <c r="B42" s="384"/>
      <c r="C42" s="384"/>
      <c r="D42" s="384"/>
      <c r="E42" s="384"/>
    </row>
    <row r="43" spans="1:5" ht="15">
      <c r="A43" s="384"/>
      <c r="B43" s="384"/>
      <c r="C43" s="384"/>
      <c r="D43" s="384"/>
      <c r="E43" s="384"/>
    </row>
  </sheetData>
  <sheetProtection algorithmName="SHA-512" hashValue="noEpoLhuL0Y1JuJcEkdi226qmjyd8JgvsJsZdnHYyOjlJq4pKIaNH1mV10Ag8JyuyngWPwEDM2tHEbpc+K6OsA==" saltValue="MWzT08Sc5F6JMTrW5kx5VA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F14E12D-155C-4DF0-A8E5-ACCAD3A1E0B9}">
  <sheetPr>
    <tabColor rgb="FFFFFF99"/>
    <pageSetUpPr fitToPage="1"/>
  </sheetPr>
  <dimension ref="A1:BM159"/>
  <sheetViews>
    <sheetView workbookViewId="0" topLeftCell="A1">
      <selection pane="topLeft" activeCell="U38" sqref="U38"/>
    </sheetView>
  </sheetViews>
  <sheetFormatPr defaultRowHeight="12.75"/>
  <cols>
    <col min="1" max="1" width="21.7142857142857" customWidth="1"/>
    <col min="2" max="29" width="3.28571428571429" customWidth="1"/>
    <col min="30" max="30" width="4" customWidth="1"/>
    <col min="31" max="32" width="3.28571428571429" customWidth="1"/>
    <col min="33" max="33" width="9.14285714285714" style="22"/>
    <col min="34" max="34" width="9.14285714285714" style="22" hidden="1" customWidth="1"/>
    <col min="35" max="47" width="3.28571428571429" style="22" hidden="1" customWidth="1"/>
    <col min="48" max="65" width="9.14285714285714" style="22"/>
  </cols>
  <sheetData>
    <row r="1" spans="1:32" ht="18">
      <c r="A1" s="537"/>
      <c r="B1" s="740" t="s">
        <v>3953</v>
      </c>
      <c r="C1" s="1623"/>
      <c r="D1" s="1623"/>
      <c r="E1" s="1623"/>
      <c r="F1" s="1623"/>
      <c r="G1" s="1623"/>
      <c r="H1" s="1623"/>
      <c r="I1" s="1623"/>
      <c r="J1" s="1623"/>
      <c r="K1" s="1623"/>
      <c r="L1" s="1623"/>
      <c r="M1" s="1623"/>
      <c r="N1" s="1623"/>
      <c r="O1" s="1623"/>
      <c r="P1" s="1623"/>
      <c r="Q1" s="1623"/>
      <c r="R1" s="1623"/>
      <c r="S1" s="1623"/>
      <c r="T1" s="1623"/>
      <c r="U1" s="1623"/>
      <c r="V1" s="1623"/>
      <c r="W1" s="1623"/>
      <c r="X1" s="1623"/>
      <c r="Y1" s="1623"/>
      <c r="Z1" s="1623"/>
      <c r="AA1" s="1624"/>
      <c r="AB1" s="1624"/>
      <c r="AC1" s="1624"/>
      <c r="AD1" s="1624"/>
      <c r="AE1" s="1624"/>
      <c r="AF1" s="538"/>
    </row>
    <row r="2" spans="1:32" ht="12.75">
      <c r="A2" s="533"/>
      <c r="B2" s="1625" t="s">
        <v>244</v>
      </c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3"/>
      <c r="N2" s="1623"/>
      <c r="O2" s="1623"/>
      <c r="P2" s="1623"/>
      <c r="Q2" s="1623"/>
      <c r="R2" s="1623"/>
      <c r="S2" s="1623"/>
      <c r="T2" s="1623"/>
      <c r="U2" s="1623"/>
      <c r="V2" s="1623"/>
      <c r="W2" s="1623"/>
      <c r="X2" s="1623"/>
      <c r="Y2" s="1623"/>
      <c r="Z2" s="1623"/>
      <c r="AA2" s="1624"/>
      <c r="AB2" s="1624"/>
      <c r="AC2" s="1624"/>
      <c r="AD2" s="1624"/>
      <c r="AE2" s="1624"/>
      <c r="AF2" s="538"/>
    </row>
    <row r="3" spans="1:32" ht="12.75">
      <c r="A3" s="1623"/>
      <c r="B3" s="1623"/>
      <c r="C3" s="1623"/>
      <c r="D3" s="539"/>
      <c r="E3" s="1623"/>
      <c r="F3" s="1623"/>
      <c r="G3" s="1623"/>
      <c r="H3" s="1623"/>
      <c r="I3" s="1623"/>
      <c r="J3" s="539"/>
      <c r="K3" s="539" t="s">
        <v>329</v>
      </c>
      <c r="L3" s="539"/>
      <c r="M3" s="539"/>
      <c r="N3" s="539"/>
      <c r="O3" s="539"/>
      <c r="P3" s="539"/>
      <c r="Q3" s="539" t="s">
        <v>330</v>
      </c>
      <c r="R3" s="539"/>
      <c r="S3" s="1626"/>
      <c r="T3" s="1626"/>
      <c r="U3" s="1626"/>
      <c r="V3" s="1626"/>
      <c r="W3" s="1626"/>
      <c r="X3" s="539"/>
      <c r="Y3" s="539"/>
      <c r="Z3" s="539"/>
      <c r="AA3" s="1624"/>
      <c r="AB3" s="1624"/>
      <c r="AC3" s="1624"/>
      <c r="AD3" s="1624"/>
      <c r="AE3" s="1624"/>
      <c r="AF3" s="538"/>
    </row>
    <row r="4" spans="1:32" ht="12.95" customHeight="1">
      <c r="A4" s="1624"/>
      <c r="B4" s="1624"/>
      <c r="C4" s="1624"/>
      <c r="D4" s="1624"/>
      <c r="E4" s="1624"/>
      <c r="F4" s="1624"/>
      <c r="G4" s="1624"/>
      <c r="H4" s="1624"/>
      <c r="I4" s="1624"/>
      <c r="J4" s="1639"/>
      <c r="K4" s="258" t="s">
        <v>258</v>
      </c>
      <c r="L4" s="1640"/>
      <c r="M4" s="1641"/>
      <c r="N4" s="1641"/>
      <c r="O4" s="1641"/>
      <c r="P4" s="1642"/>
      <c r="Q4" s="258"/>
      <c r="R4" s="1643"/>
      <c r="S4" s="1644"/>
      <c r="T4" s="1644"/>
      <c r="U4" s="1644"/>
      <c r="V4" s="1644"/>
      <c r="W4" s="1644"/>
      <c r="X4" s="1644"/>
      <c r="Y4" s="1644"/>
      <c r="Z4" s="1644"/>
      <c r="AA4" s="1644"/>
      <c r="AB4" s="1644"/>
      <c r="AC4" s="1644"/>
      <c r="AD4" s="1644"/>
      <c r="AE4" s="1644"/>
      <c r="AF4" s="1644"/>
    </row>
    <row r="5" spans="1:32" ht="12.95" customHeight="1">
      <c r="A5" s="1645" t="s">
        <v>3586</v>
      </c>
      <c r="B5" s="1645"/>
      <c r="C5" s="1645"/>
      <c r="D5" s="1645"/>
      <c r="E5" s="1645"/>
      <c r="F5" s="1645"/>
      <c r="G5" s="1633"/>
      <c r="H5" s="1136"/>
      <c r="I5" s="1136"/>
      <c r="J5" s="1136"/>
      <c r="K5" s="1136"/>
      <c r="L5" s="1136"/>
      <c r="M5" s="1136"/>
      <c r="N5" s="1136"/>
      <c r="O5" s="1136"/>
      <c r="P5" s="1136"/>
      <c r="Q5" s="1136"/>
      <c r="R5" s="1136"/>
      <c r="S5" s="1136"/>
      <c r="T5" s="1136"/>
      <c r="U5" s="1646" t="s">
        <v>3587</v>
      </c>
      <c r="V5" s="1646"/>
      <c r="W5" s="1647"/>
      <c r="X5" s="1647"/>
      <c r="Y5" s="1647"/>
      <c r="Z5" s="1648"/>
      <c r="AA5" s="1648"/>
      <c r="AB5" s="1648"/>
      <c r="AC5" s="1648"/>
      <c r="AD5" s="1648"/>
      <c r="AE5" s="1648"/>
      <c r="AF5" s="1648"/>
    </row>
    <row r="6" spans="1:32" ht="18" customHeight="1">
      <c r="A6" s="1649" t="str">
        <f>CONCATENATE(+ZAKL_DATA!B21)</f>
        <v/>
      </c>
      <c r="B6" s="1650"/>
      <c r="C6" s="1650"/>
      <c r="D6" s="1650"/>
      <c r="E6" s="1650"/>
      <c r="F6" s="1651"/>
      <c r="G6" s="1136"/>
      <c r="H6" s="1136"/>
      <c r="I6" s="1136"/>
      <c r="J6" s="1136"/>
      <c r="K6" s="1136"/>
      <c r="L6" s="1136"/>
      <c r="M6" s="1136"/>
      <c r="N6" s="1136"/>
      <c r="O6" s="1136"/>
      <c r="P6" s="1136"/>
      <c r="Q6" s="1136"/>
      <c r="R6" s="1136"/>
      <c r="S6" s="1136"/>
      <c r="T6" s="1136"/>
      <c r="U6" s="1652" t="str">
        <f>+CONCATENATE(ZAKL_DATA!B11)</f>
        <v/>
      </c>
      <c r="V6" s="1653"/>
      <c r="W6" s="1654"/>
      <c r="X6" s="1654"/>
      <c r="Y6" s="1654"/>
      <c r="Z6" s="1655"/>
      <c r="AA6" s="1655"/>
      <c r="AB6" s="1655"/>
      <c r="AC6" s="1655"/>
      <c r="AD6" s="1655"/>
      <c r="AE6" s="1655"/>
      <c r="AF6" s="1656"/>
    </row>
    <row r="7" spans="1:32" ht="9.95" customHeight="1">
      <c r="A7" s="1627"/>
      <c r="B7" s="868"/>
      <c r="C7" s="868"/>
      <c r="D7" s="868"/>
      <c r="E7" s="868"/>
      <c r="F7" s="868"/>
      <c r="G7" s="868"/>
      <c r="H7" s="868"/>
      <c r="I7" s="868"/>
      <c r="J7" s="868"/>
      <c r="K7" s="868"/>
      <c r="L7" s="868"/>
      <c r="M7" s="868"/>
      <c r="N7" s="868"/>
      <c r="O7" s="868"/>
      <c r="P7" s="868"/>
      <c r="Q7" s="868"/>
      <c r="R7" s="868"/>
      <c r="S7" s="868"/>
      <c r="T7" s="868"/>
      <c r="U7" s="868"/>
      <c r="V7" s="868"/>
      <c r="W7" s="868"/>
      <c r="X7" s="868"/>
      <c r="Y7" s="868"/>
      <c r="Z7" s="868"/>
      <c r="AA7" s="868"/>
      <c r="AB7" s="868"/>
      <c r="AC7" s="868"/>
      <c r="AD7" s="868"/>
      <c r="AE7" s="868"/>
      <c r="AF7" s="868"/>
    </row>
    <row r="8" spans="1:32" ht="12.75">
      <c r="A8" s="1628" t="s">
        <v>309</v>
      </c>
      <c r="B8" s="1629"/>
      <c r="C8" s="1629"/>
      <c r="D8" s="1629"/>
      <c r="E8" s="1629"/>
      <c r="F8" s="1629"/>
      <c r="G8" s="1629"/>
      <c r="H8" s="1629"/>
      <c r="I8" s="1629"/>
      <c r="J8" s="1629"/>
      <c r="K8" s="1629"/>
      <c r="L8" s="1629"/>
      <c r="M8" s="1629"/>
      <c r="N8" s="1629"/>
      <c r="O8" s="1629"/>
      <c r="P8" s="1629"/>
      <c r="Q8" s="1629"/>
      <c r="R8" s="1629"/>
      <c r="S8" s="1629"/>
      <c r="T8" s="1629"/>
      <c r="U8" s="1629"/>
      <c r="V8" s="1629"/>
      <c r="W8" s="1629"/>
      <c r="X8" s="1629"/>
      <c r="Y8" s="1629"/>
      <c r="Z8" s="1629"/>
      <c r="AA8" s="1630"/>
      <c r="AB8" s="1630"/>
      <c r="AC8" s="1630"/>
      <c r="AD8" s="1630"/>
      <c r="AE8" s="1630"/>
      <c r="AF8" s="1631"/>
    </row>
    <row r="9" spans="1:32" ht="11.1" customHeight="1">
      <c r="A9" s="1632" t="s">
        <v>161</v>
      </c>
      <c r="B9" s="1633"/>
      <c r="C9" s="1633"/>
      <c r="D9" s="1633"/>
      <c r="E9" s="1633"/>
      <c r="F9" s="1633"/>
      <c r="G9" s="540"/>
      <c r="H9" s="1633" t="s">
        <v>162</v>
      </c>
      <c r="I9" s="1633"/>
      <c r="J9" s="1633"/>
      <c r="K9" s="540"/>
      <c r="L9" s="540"/>
      <c r="M9" s="540"/>
      <c r="N9" s="540"/>
      <c r="O9" s="540"/>
      <c r="P9" s="540"/>
      <c r="Q9" s="1634" t="s">
        <v>163</v>
      </c>
      <c r="R9" s="1635"/>
      <c r="S9" s="1635"/>
      <c r="T9" s="1635"/>
      <c r="U9" s="1635"/>
      <c r="V9" s="1635"/>
      <c r="W9" s="1635"/>
      <c r="X9" s="540"/>
      <c r="Y9" s="1636" t="s">
        <v>3788</v>
      </c>
      <c r="Z9" s="1637"/>
      <c r="AA9" s="1637"/>
      <c r="AB9" s="1637"/>
      <c r="AC9" s="1637"/>
      <c r="AD9" s="1637"/>
      <c r="AE9" s="1637"/>
      <c r="AF9" s="1638"/>
    </row>
    <row r="10" spans="1:32" ht="18" customHeight="1">
      <c r="A10" s="1667">
        <f>+'DAP1'!B28</f>
        <v>0</v>
      </c>
      <c r="B10" s="1668"/>
      <c r="C10" s="1668"/>
      <c r="D10" s="1668"/>
      <c r="E10" s="1668"/>
      <c r="F10" s="1669"/>
      <c r="G10" s="385"/>
      <c r="H10" s="1667">
        <f>+'DAP1'!J28</f>
        <v>0</v>
      </c>
      <c r="I10" s="1670"/>
      <c r="J10" s="1670"/>
      <c r="K10" s="1671"/>
      <c r="L10" s="1671"/>
      <c r="M10" s="1671"/>
      <c r="N10" s="1635"/>
      <c r="O10" s="955"/>
      <c r="P10" s="541"/>
      <c r="Q10" s="1672" t="str">
        <f>+CONCATENATE(+ZAKL_DATA!B7)</f>
        <v/>
      </c>
      <c r="R10" s="1673"/>
      <c r="S10" s="1673"/>
      <c r="T10" s="1673"/>
      <c r="U10" s="1673"/>
      <c r="V10" s="1673"/>
      <c r="W10" s="873"/>
      <c r="X10" s="541"/>
      <c r="Y10" s="1674" t="str">
        <f>+'DAP1'!A9</f>
        <v/>
      </c>
      <c r="Z10" s="1635"/>
      <c r="AA10" s="1635"/>
      <c r="AB10" s="1635"/>
      <c r="AC10" s="1635"/>
      <c r="AD10" s="1635"/>
      <c r="AE10" s="1635"/>
      <c r="AF10" s="955"/>
    </row>
    <row r="11" spans="1:32" ht="11.1" customHeight="1">
      <c r="A11" s="1663" t="s">
        <v>3789</v>
      </c>
      <c r="B11" s="1635"/>
      <c r="C11" s="540"/>
      <c r="D11" s="1664" t="s">
        <v>3759</v>
      </c>
      <c r="E11" s="1665"/>
      <c r="F11" s="1665"/>
      <c r="G11" s="1665"/>
      <c r="H11" s="1665"/>
      <c r="I11" s="1665"/>
      <c r="J11" s="1665"/>
      <c r="K11" s="1665"/>
      <c r="L11" s="1665"/>
      <c r="M11" s="1665"/>
      <c r="N11" s="1665"/>
      <c r="O11" s="540"/>
      <c r="P11" s="1675" t="s">
        <v>3760</v>
      </c>
      <c r="Q11" s="1665"/>
      <c r="R11" s="1665"/>
      <c r="S11" s="1665"/>
      <c r="T11" s="1665"/>
      <c r="U11" s="540"/>
      <c r="V11" s="1664" t="s">
        <v>3761</v>
      </c>
      <c r="W11" s="1665"/>
      <c r="X11" s="1665"/>
      <c r="Y11" s="1665"/>
      <c r="Z11" s="1665"/>
      <c r="AA11" s="1665"/>
      <c r="AB11" s="1665"/>
      <c r="AC11" s="1665"/>
      <c r="AD11" s="1665"/>
      <c r="AE11" s="1665"/>
      <c r="AF11" s="1676"/>
    </row>
    <row r="12" spans="1:32" ht="18" customHeight="1">
      <c r="A12" s="1657">
        <f>+ZAKL_DATA!B8</f>
        <v>0</v>
      </c>
      <c r="B12" s="1658"/>
      <c r="C12" s="385"/>
      <c r="D12" s="1659">
        <f>+'DAP1'!G31</f>
        <v>0</v>
      </c>
      <c r="E12" s="1660"/>
      <c r="F12" s="1660"/>
      <c r="G12" s="1660"/>
      <c r="H12" s="1660"/>
      <c r="I12" s="1660"/>
      <c r="J12" s="1660"/>
      <c r="K12" s="1660"/>
      <c r="L12" s="1660"/>
      <c r="M12" s="1660"/>
      <c r="N12" s="1661"/>
      <c r="O12" s="385"/>
      <c r="P12" s="1662">
        <f>+'DAP1'!L31</f>
        <v>0</v>
      </c>
      <c r="Q12" s="1635"/>
      <c r="R12" s="1635"/>
      <c r="S12" s="1635"/>
      <c r="T12" s="955"/>
      <c r="U12" s="542"/>
      <c r="V12" s="1659">
        <f>+'DAP1'!B31</f>
        <v>0</v>
      </c>
      <c r="W12" s="1660"/>
      <c r="X12" s="1660"/>
      <c r="Y12" s="1660"/>
      <c r="Z12" s="1660"/>
      <c r="AA12" s="1660"/>
      <c r="AB12" s="1660"/>
      <c r="AC12" s="1660"/>
      <c r="AD12" s="1660"/>
      <c r="AE12" s="1660"/>
      <c r="AF12" s="1661"/>
    </row>
    <row r="13" spans="1:32" ht="11.1" customHeight="1">
      <c r="A13" s="1663" t="s">
        <v>3762</v>
      </c>
      <c r="B13" s="1635"/>
      <c r="C13" s="540"/>
      <c r="D13" s="1664" t="s">
        <v>3763</v>
      </c>
      <c r="E13" s="1665"/>
      <c r="F13" s="1665"/>
      <c r="G13" s="1665"/>
      <c r="H13" s="1665"/>
      <c r="I13" s="1665"/>
      <c r="J13" s="1665"/>
      <c r="K13" s="1665"/>
      <c r="L13" s="1665"/>
      <c r="M13" s="1665"/>
      <c r="N13" s="1665"/>
      <c r="O13" s="540"/>
      <c r="P13" s="1666" t="s">
        <v>3790</v>
      </c>
      <c r="Q13" s="1600"/>
      <c r="R13" s="1600"/>
      <c r="S13" s="1600"/>
      <c r="T13" s="1600"/>
      <c r="U13" s="1136"/>
      <c r="V13" s="1600"/>
      <c r="W13" s="1600"/>
      <c r="X13" s="540"/>
      <c r="Y13" s="1636" t="s">
        <v>3791</v>
      </c>
      <c r="Z13" s="1637"/>
      <c r="AA13" s="1637"/>
      <c r="AB13" s="1637"/>
      <c r="AC13" s="1637"/>
      <c r="AD13" s="1637"/>
      <c r="AE13" s="1637"/>
      <c r="AF13" s="1638"/>
    </row>
    <row r="14" spans="1:32" ht="18" customHeight="1">
      <c r="A14" s="1662">
        <f>+'DAP1'!B32</f>
        <v>0</v>
      </c>
      <c r="B14" s="955"/>
      <c r="C14" s="385"/>
      <c r="D14" s="1659">
        <f>+'DAP1'!K32</f>
        <v>0</v>
      </c>
      <c r="E14" s="1660"/>
      <c r="F14" s="1660"/>
      <c r="G14" s="1660"/>
      <c r="H14" s="1660"/>
      <c r="I14" s="1660"/>
      <c r="J14" s="1660"/>
      <c r="K14" s="1660"/>
      <c r="L14" s="1660"/>
      <c r="M14" s="1660"/>
      <c r="N14" s="1661"/>
      <c r="O14" s="385"/>
      <c r="P14" s="1649" t="str">
        <f>+IF(+LEN(ZAKL_DATA!B28)+LEN(ZAKL_DATA!B27)=0," ",(+IF(+LEN(ZAKL_DATA!B28)=0,'DAP1'!H32,ZAKL_DATA!B28)))</f>
        <v xml:space="preserve"> </v>
      </c>
      <c r="Q14" s="1688"/>
      <c r="R14" s="1688"/>
      <c r="S14" s="1688"/>
      <c r="T14" s="1688"/>
      <c r="U14" s="1688"/>
      <c r="V14" s="1688"/>
      <c r="W14" s="1689"/>
      <c r="X14" s="541"/>
      <c r="Y14" s="1690" t="str">
        <f>++CONCATENATE(ZAKL_DATA!B25)</f>
        <v/>
      </c>
      <c r="Z14" s="1673"/>
      <c r="AA14" s="1673"/>
      <c r="AB14" s="1673"/>
      <c r="AC14" s="1673"/>
      <c r="AD14" s="1673"/>
      <c r="AE14" s="1673"/>
      <c r="AF14" s="873"/>
    </row>
    <row r="15" spans="1:32" ht="5.1" customHeight="1">
      <c r="A15" s="1691"/>
      <c r="B15" s="1692"/>
      <c r="C15" s="1692"/>
      <c r="D15" s="1692"/>
      <c r="E15" s="1692"/>
      <c r="F15" s="1692"/>
      <c r="G15" s="1692"/>
      <c r="H15" s="1692"/>
      <c r="I15" s="1692"/>
      <c r="J15" s="1692"/>
      <c r="K15" s="1692"/>
      <c r="L15" s="1692"/>
      <c r="M15" s="1692"/>
      <c r="N15" s="1692"/>
      <c r="O15" s="1692"/>
      <c r="P15" s="1692"/>
      <c r="Q15" s="1692"/>
      <c r="R15" s="1692"/>
      <c r="S15" s="1692"/>
      <c r="T15" s="1692"/>
      <c r="U15" s="1692"/>
      <c r="V15" s="1692"/>
      <c r="W15" s="1692"/>
      <c r="X15" s="1692"/>
      <c r="Y15" s="1692"/>
      <c r="Z15" s="1692"/>
      <c r="AA15" s="1692"/>
      <c r="AB15" s="1692"/>
      <c r="AC15" s="1692"/>
      <c r="AD15" s="1692"/>
      <c r="AE15" s="1692"/>
      <c r="AF15" s="1693"/>
    </row>
    <row r="16" spans="1:32" ht="15" customHeight="1">
      <c r="A16" s="1628" t="s">
        <v>3792</v>
      </c>
      <c r="B16" s="1670"/>
      <c r="C16" s="1670"/>
      <c r="D16" s="1670"/>
      <c r="E16" s="1670"/>
      <c r="F16" s="1670"/>
      <c r="G16" s="1670"/>
      <c r="H16" s="1670"/>
      <c r="I16" s="1670"/>
      <c r="J16" s="1670"/>
      <c r="K16" s="1670"/>
      <c r="L16" s="1670"/>
      <c r="M16" s="1670"/>
      <c r="N16" s="1670"/>
      <c r="O16" s="1670"/>
      <c r="P16" s="1670"/>
      <c r="Q16" s="1670"/>
      <c r="R16" s="1670"/>
      <c r="S16" s="1670"/>
      <c r="T16" s="1670"/>
      <c r="U16" s="1670"/>
      <c r="V16" s="1670"/>
      <c r="W16" s="1670"/>
      <c r="X16" s="1670"/>
      <c r="Y16" s="1670"/>
      <c r="Z16" s="1670"/>
      <c r="AA16" s="1670"/>
      <c r="AB16" s="1670"/>
      <c r="AC16" s="1670"/>
      <c r="AD16" s="1670"/>
      <c r="AE16" s="1670"/>
      <c r="AF16" s="1669"/>
    </row>
    <row r="17" spans="1:32" ht="4.5" customHeight="1">
      <c r="A17" s="1677"/>
      <c r="B17" s="1600"/>
      <c r="C17" s="1600"/>
      <c r="D17" s="1600"/>
      <c r="E17" s="1600"/>
      <c r="F17" s="1600"/>
      <c r="G17" s="1600"/>
      <c r="H17" s="1600"/>
      <c r="I17" s="1600"/>
      <c r="J17" s="1600"/>
      <c r="K17" s="1600"/>
      <c r="L17" s="1600"/>
      <c r="M17" s="1600"/>
      <c r="N17" s="1600"/>
      <c r="O17" s="1600"/>
      <c r="P17" s="1600"/>
      <c r="Q17" s="1600"/>
      <c r="R17" s="1600"/>
      <c r="S17" s="1600"/>
      <c r="T17" s="1600"/>
      <c r="U17" s="1600"/>
      <c r="V17" s="1600"/>
      <c r="W17" s="1600"/>
      <c r="X17" s="1600"/>
      <c r="Y17" s="1600"/>
      <c r="Z17" s="1600"/>
      <c r="AA17" s="1600"/>
      <c r="AB17" s="1600"/>
      <c r="AC17" s="1600"/>
      <c r="AD17" s="1600"/>
      <c r="AE17" s="1600"/>
      <c r="AF17" s="1678"/>
    </row>
    <row r="18" spans="1:32" ht="15" customHeight="1">
      <c r="A18" s="1679" t="s">
        <v>3954</v>
      </c>
      <c r="B18" s="1501"/>
      <c r="C18" s="1501"/>
      <c r="D18" s="1501"/>
      <c r="E18" s="1501"/>
      <c r="F18" s="1501"/>
      <c r="G18" s="1501"/>
      <c r="H18" s="1501"/>
      <c r="I18" s="1501"/>
      <c r="J18" s="1501"/>
      <c r="K18" s="1501"/>
      <c r="L18" s="1501"/>
      <c r="M18" s="1501"/>
      <c r="N18" s="1680"/>
      <c r="O18" s="258" t="s">
        <v>258</v>
      </c>
      <c r="P18" s="1681" t="s">
        <v>164</v>
      </c>
      <c r="Q18" s="1501"/>
      <c r="R18" s="1501"/>
      <c r="S18" s="1501"/>
      <c r="T18" s="1680"/>
      <c r="U18" s="258"/>
      <c r="V18" s="1681" t="s">
        <v>165</v>
      </c>
      <c r="W18" s="1501"/>
      <c r="X18" s="1501"/>
      <c r="Y18" s="1501"/>
      <c r="Z18" s="1682"/>
      <c r="AA18" s="258"/>
      <c r="AB18" s="1501" t="s">
        <v>166</v>
      </c>
      <c r="AC18" s="1501"/>
      <c r="AD18" s="1501"/>
      <c r="AE18" s="1501"/>
      <c r="AF18" s="1683"/>
    </row>
    <row r="19" spans="1:32" ht="4.5" customHeight="1">
      <c r="A19" s="1684"/>
      <c r="B19" s="1633"/>
      <c r="C19" s="1633"/>
      <c r="D19" s="1633"/>
      <c r="E19" s="1633"/>
      <c r="F19" s="163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3"/>
      <c r="T19" s="543"/>
      <c r="U19" s="543"/>
      <c r="V19" s="543"/>
      <c r="W19" s="543"/>
      <c r="X19" s="543"/>
      <c r="Y19" s="543"/>
      <c r="Z19" s="543"/>
      <c r="AA19" s="543"/>
      <c r="AB19" s="543"/>
      <c r="AC19" s="543"/>
      <c r="AD19" s="1685"/>
      <c r="AE19" s="1686"/>
      <c r="AF19" s="1687"/>
    </row>
    <row r="20" spans="1:32" ht="15" customHeight="1">
      <c r="A20" s="1705" t="s">
        <v>123</v>
      </c>
      <c r="B20" s="1136"/>
      <c r="C20" s="1136"/>
      <c r="D20" s="1136"/>
      <c r="E20" s="1136"/>
      <c r="F20" s="528">
        <v>1</v>
      </c>
      <c r="G20" s="258"/>
      <c r="H20" s="544">
        <v>2</v>
      </c>
      <c r="I20" s="258"/>
      <c r="J20" s="544">
        <v>3</v>
      </c>
      <c r="K20" s="258"/>
      <c r="L20" s="544">
        <v>4</v>
      </c>
      <c r="M20" s="258"/>
      <c r="N20" s="544">
        <v>5</v>
      </c>
      <c r="O20" s="258"/>
      <c r="P20" s="544">
        <v>6</v>
      </c>
      <c r="Q20" s="258"/>
      <c r="R20" s="544">
        <v>7</v>
      </c>
      <c r="S20" s="258"/>
      <c r="T20" s="544">
        <v>8</v>
      </c>
      <c r="U20" s="258"/>
      <c r="V20" s="544">
        <v>9</v>
      </c>
      <c r="W20" s="258"/>
      <c r="X20" s="544">
        <v>10</v>
      </c>
      <c r="Y20" s="258"/>
      <c r="Z20" s="544">
        <v>11</v>
      </c>
      <c r="AA20" s="258"/>
      <c r="AB20" s="544">
        <v>12</v>
      </c>
      <c r="AC20" s="258"/>
      <c r="AD20" s="545" t="s">
        <v>239</v>
      </c>
      <c r="AE20" s="584" t="str">
        <f>+IF(EXACT(O18,"X"),"X","")</f>
        <v>X</v>
      </c>
      <c r="AF20" s="585"/>
    </row>
    <row r="21" spans="1:32" ht="4.5" customHeight="1">
      <c r="A21" s="1705"/>
      <c r="B21" s="1501"/>
      <c r="C21" s="1501"/>
      <c r="D21" s="1501"/>
      <c r="E21" s="1501"/>
      <c r="F21" s="1501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3"/>
      <c r="S21" s="543"/>
      <c r="T21" s="543"/>
      <c r="U21" s="543"/>
      <c r="V21" s="543"/>
      <c r="W21" s="543"/>
      <c r="X21" s="543"/>
      <c r="Y21" s="543"/>
      <c r="Z21" s="543"/>
      <c r="AA21" s="543"/>
      <c r="AB21" s="543"/>
      <c r="AC21" s="543"/>
      <c r="AD21" s="1685"/>
      <c r="AE21" s="1686"/>
      <c r="AF21" s="1706"/>
    </row>
    <row r="22" spans="1:32" ht="15" customHeight="1">
      <c r="A22" s="1705" t="s">
        <v>124</v>
      </c>
      <c r="B22" s="1136"/>
      <c r="C22" s="1136"/>
      <c r="D22" s="1136"/>
      <c r="E22" s="1136"/>
      <c r="F22" s="528">
        <v>1</v>
      </c>
      <c r="G22" s="258"/>
      <c r="H22" s="544">
        <v>2</v>
      </c>
      <c r="I22" s="258"/>
      <c r="J22" s="544">
        <v>3</v>
      </c>
      <c r="K22" s="258"/>
      <c r="L22" s="544">
        <v>4</v>
      </c>
      <c r="M22" s="258"/>
      <c r="N22" s="544">
        <v>5</v>
      </c>
      <c r="O22" s="258"/>
      <c r="P22" s="544">
        <v>6</v>
      </c>
      <c r="Q22" s="258"/>
      <c r="R22" s="544">
        <v>7</v>
      </c>
      <c r="S22" s="258"/>
      <c r="T22" s="544">
        <v>8</v>
      </c>
      <c r="U22" s="258"/>
      <c r="V22" s="544">
        <v>9</v>
      </c>
      <c r="W22" s="258"/>
      <c r="X22" s="544">
        <v>10</v>
      </c>
      <c r="Y22" s="258"/>
      <c r="Z22" s="544">
        <v>11</v>
      </c>
      <c r="AA22" s="258"/>
      <c r="AB22" s="544">
        <v>12</v>
      </c>
      <c r="AC22" s="258"/>
      <c r="AD22" s="545" t="s">
        <v>239</v>
      </c>
      <c r="AE22" s="584" t="str">
        <f>+IF(EXACT(U18,"X"),"X","")</f>
        <v/>
      </c>
      <c r="AF22" s="585"/>
    </row>
    <row r="23" spans="1:32" ht="4.5" customHeight="1">
      <c r="A23" s="1705"/>
      <c r="B23" s="1501"/>
      <c r="C23" s="1501"/>
      <c r="D23" s="1501"/>
      <c r="E23" s="1501"/>
      <c r="F23" s="1501"/>
      <c r="G23" s="543"/>
      <c r="H23" s="543"/>
      <c r="I23" s="543"/>
      <c r="J23" s="543"/>
      <c r="K23" s="543"/>
      <c r="L23" s="543"/>
      <c r="M23" s="543"/>
      <c r="N23" s="543"/>
      <c r="O23" s="543"/>
      <c r="P23" s="543"/>
      <c r="Q23" s="543"/>
      <c r="R23" s="543"/>
      <c r="S23" s="543"/>
      <c r="T23" s="543"/>
      <c r="U23" s="543"/>
      <c r="V23" s="543"/>
      <c r="W23" s="543"/>
      <c r="X23" s="543"/>
      <c r="Y23" s="543"/>
      <c r="Z23" s="543"/>
      <c r="AA23" s="543"/>
      <c r="AB23" s="543"/>
      <c r="AC23" s="543"/>
      <c r="AD23" s="1685"/>
      <c r="AE23" s="1686"/>
      <c r="AF23" s="1687"/>
    </row>
    <row r="24" spans="1:32" ht="15" customHeight="1">
      <c r="A24" s="1694" t="s">
        <v>3793</v>
      </c>
      <c r="B24" s="1695"/>
      <c r="C24" s="1695"/>
      <c r="D24" s="1695"/>
      <c r="E24" s="1695"/>
      <c r="F24" s="528">
        <v>1</v>
      </c>
      <c r="G24" s="258"/>
      <c r="H24" s="544">
        <v>2</v>
      </c>
      <c r="I24" s="258"/>
      <c r="J24" s="544">
        <v>3</v>
      </c>
      <c r="K24" s="258"/>
      <c r="L24" s="544">
        <v>4</v>
      </c>
      <c r="M24" s="258"/>
      <c r="N24" s="544">
        <v>5</v>
      </c>
      <c r="O24" s="258"/>
      <c r="P24" s="544">
        <v>6</v>
      </c>
      <c r="Q24" s="258"/>
      <c r="R24" s="544">
        <v>7</v>
      </c>
      <c r="S24" s="258"/>
      <c r="T24" s="544">
        <v>8</v>
      </c>
      <c r="U24" s="258"/>
      <c r="V24" s="544">
        <v>9</v>
      </c>
      <c r="W24" s="258"/>
      <c r="X24" s="544">
        <v>10</v>
      </c>
      <c r="Y24" s="258"/>
      <c r="Z24" s="544">
        <v>11</v>
      </c>
      <c r="AA24" s="258"/>
      <c r="AB24" s="544">
        <v>12</v>
      </c>
      <c r="AC24" s="258"/>
      <c r="AD24" s="545" t="s">
        <v>239</v>
      </c>
      <c r="AE24" s="258"/>
      <c r="AF24" s="547"/>
    </row>
    <row r="25" spans="1:32" ht="21" customHeight="1">
      <c r="A25" s="1696"/>
      <c r="B25" s="1697"/>
      <c r="C25" s="1697"/>
      <c r="D25" s="1697"/>
      <c r="E25" s="1697"/>
      <c r="F25" s="385"/>
      <c r="G25" s="1698"/>
      <c r="H25" s="1665"/>
      <c r="I25" s="1665"/>
      <c r="J25" s="1665"/>
      <c r="K25" s="1665"/>
      <c r="L25" s="1665"/>
      <c r="M25" s="1665"/>
      <c r="N25" s="1665"/>
      <c r="O25" s="1665"/>
      <c r="P25" s="1665"/>
      <c r="Q25" s="1665"/>
      <c r="R25" s="1665"/>
      <c r="S25" s="1665"/>
      <c r="T25" s="1665"/>
      <c r="U25" s="1665"/>
      <c r="V25" s="1665"/>
      <c r="W25" s="1665"/>
      <c r="X25" s="1665"/>
      <c r="Y25" s="1665"/>
      <c r="Z25" s="1665"/>
      <c r="AA25" s="1665"/>
      <c r="AB25" s="1665"/>
      <c r="AC25" s="1665"/>
      <c r="AD25" s="1665"/>
      <c r="AE25" s="1665"/>
      <c r="AF25" s="1676"/>
    </row>
    <row r="26" spans="1:32" ht="15" customHeight="1">
      <c r="A26" s="1628" t="s">
        <v>3794</v>
      </c>
      <c r="B26" s="1670"/>
      <c r="C26" s="1670"/>
      <c r="D26" s="1670"/>
      <c r="E26" s="1670"/>
      <c r="F26" s="1670"/>
      <c r="G26" s="1670"/>
      <c r="H26" s="1670"/>
      <c r="I26" s="1670"/>
      <c r="J26" s="1670"/>
      <c r="K26" s="1670"/>
      <c r="L26" s="1670"/>
      <c r="M26" s="1670"/>
      <c r="N26" s="1670"/>
      <c r="O26" s="1670"/>
      <c r="P26" s="1670"/>
      <c r="Q26" s="1670"/>
      <c r="R26" s="1670"/>
      <c r="S26" s="1670"/>
      <c r="T26" s="1670"/>
      <c r="U26" s="1670"/>
      <c r="V26" s="1670"/>
      <c r="W26" s="1670"/>
      <c r="X26" s="1670"/>
      <c r="Y26" s="1670"/>
      <c r="Z26" s="1670"/>
      <c r="AA26" s="1670"/>
      <c r="AB26" s="1670"/>
      <c r="AC26" s="1670"/>
      <c r="AD26" s="1670"/>
      <c r="AE26" s="1670"/>
      <c r="AF26" s="1669"/>
    </row>
    <row r="27" spans="1:32" ht="4.5" customHeight="1">
      <c r="A27" s="1699"/>
      <c r="B27" s="1502"/>
      <c r="C27" s="1502"/>
      <c r="D27" s="1502"/>
      <c r="E27" s="1502"/>
      <c r="F27" s="1700"/>
      <c r="G27" s="1700"/>
      <c r="H27" s="1700"/>
      <c r="I27" s="1700"/>
      <c r="J27" s="1700"/>
      <c r="K27" s="1700"/>
      <c r="L27" s="1700"/>
      <c r="M27" s="1700"/>
      <c r="N27" s="1700"/>
      <c r="O27" s="1700"/>
      <c r="P27" s="1700"/>
      <c r="Q27" s="1700"/>
      <c r="R27" s="1700"/>
      <c r="S27" s="1700"/>
      <c r="T27" s="1700"/>
      <c r="U27" s="1700"/>
      <c r="V27" s="1700"/>
      <c r="W27" s="1700"/>
      <c r="X27" s="1700"/>
      <c r="Y27" s="1700"/>
      <c r="Z27" s="1700"/>
      <c r="AA27" s="1700"/>
      <c r="AB27" s="1700"/>
      <c r="AC27" s="1700"/>
      <c r="AD27" s="1700"/>
      <c r="AE27" s="1700"/>
      <c r="AF27" s="1683"/>
    </row>
    <row r="28" spans="1:32" ht="18" customHeight="1">
      <c r="A28" s="1701" t="s">
        <v>3795</v>
      </c>
      <c r="B28" s="1702"/>
      <c r="C28" s="1702"/>
      <c r="D28" s="1702"/>
      <c r="E28" s="1702"/>
      <c r="F28" s="783"/>
      <c r="G28" s="258"/>
      <c r="H28" s="1703"/>
      <c r="I28" s="1704"/>
      <c r="J28" s="1704"/>
      <c r="K28" s="1704"/>
      <c r="L28" s="1633" t="s">
        <v>3893</v>
      </c>
      <c r="M28" s="1704"/>
      <c r="N28" s="1704"/>
      <c r="O28" s="1704"/>
      <c r="P28" s="1704"/>
      <c r="Q28" s="1704"/>
      <c r="R28" s="1704"/>
      <c r="S28" s="1704"/>
      <c r="T28" s="1704"/>
      <c r="U28" s="1704"/>
      <c r="V28" s="1704"/>
      <c r="W28" s="1704"/>
      <c r="X28" s="1704"/>
      <c r="Y28" s="1704"/>
      <c r="Z28" s="1704"/>
      <c r="AA28" s="1704"/>
      <c r="AB28" s="1704"/>
      <c r="AC28" s="1704"/>
      <c r="AD28" s="783"/>
      <c r="AE28" s="258"/>
      <c r="AF28" s="534"/>
    </row>
    <row r="29" spans="1:32" ht="3.95" customHeight="1">
      <c r="A29" s="1684"/>
      <c r="B29" s="1136"/>
      <c r="C29" s="1136"/>
      <c r="D29" s="1136"/>
      <c r="E29" s="1136"/>
      <c r="F29" s="1136"/>
      <c r="G29" s="1136"/>
      <c r="H29" s="1136"/>
      <c r="I29" s="1136"/>
      <c r="J29" s="1136"/>
      <c r="K29" s="1136"/>
      <c r="L29" s="1136"/>
      <c r="M29" s="1136"/>
      <c r="N29" s="1136"/>
      <c r="O29" s="1136"/>
      <c r="P29" s="1136"/>
      <c r="Q29" s="1136"/>
      <c r="R29" s="1136"/>
      <c r="S29" s="1136"/>
      <c r="T29" s="1136"/>
      <c r="U29" s="1136"/>
      <c r="V29" s="1136"/>
      <c r="W29" s="1136"/>
      <c r="X29" s="1136"/>
      <c r="Y29" s="1136"/>
      <c r="Z29" s="1136"/>
      <c r="AA29" s="1136"/>
      <c r="AB29" s="1136"/>
      <c r="AC29" s="1136"/>
      <c r="AD29" s="1136"/>
      <c r="AE29" s="1136"/>
      <c r="AF29" s="783"/>
    </row>
    <row r="30" spans="1:32" ht="20.1" customHeight="1">
      <c r="A30" s="1701" t="s">
        <v>3796</v>
      </c>
      <c r="B30" s="1702"/>
      <c r="C30" s="1702"/>
      <c r="D30" s="1702"/>
      <c r="E30" s="1702"/>
      <c r="F30" s="783"/>
      <c r="G30" s="258"/>
      <c r="H30" s="1703"/>
      <c r="I30" s="1704"/>
      <c r="J30" s="1704"/>
      <c r="K30" s="1704"/>
      <c r="L30" s="1702" t="s">
        <v>3797</v>
      </c>
      <c r="M30" s="1713"/>
      <c r="N30" s="1713"/>
      <c r="O30" s="1713"/>
      <c r="P30" s="1713"/>
      <c r="Q30" s="1713"/>
      <c r="R30" s="1713"/>
      <c r="S30" s="1713"/>
      <c r="T30" s="1713"/>
      <c r="U30" s="1713"/>
      <c r="V30" s="1713"/>
      <c r="W30" s="1713"/>
      <c r="X30" s="1713"/>
      <c r="Y30" s="1713"/>
      <c r="Z30" s="1713"/>
      <c r="AA30" s="1713"/>
      <c r="AB30" s="1713"/>
      <c r="AC30" s="1713"/>
      <c r="AD30" s="783"/>
      <c r="AE30" s="258"/>
      <c r="AF30" s="534"/>
    </row>
    <row r="31" spans="1:32" ht="3.95" customHeight="1">
      <c r="A31" s="1684"/>
      <c r="B31" s="1136"/>
      <c r="C31" s="1136"/>
      <c r="D31" s="1136"/>
      <c r="E31" s="1136"/>
      <c r="F31" s="1136"/>
      <c r="G31" s="1136"/>
      <c r="H31" s="1136"/>
      <c r="I31" s="1136"/>
      <c r="J31" s="1136"/>
      <c r="K31" s="1136"/>
      <c r="L31" s="1136"/>
      <c r="M31" s="1136"/>
      <c r="N31" s="1136"/>
      <c r="O31" s="1136"/>
      <c r="P31" s="1136"/>
      <c r="Q31" s="1136"/>
      <c r="R31" s="1136"/>
      <c r="S31" s="1136"/>
      <c r="T31" s="1136"/>
      <c r="U31" s="1136"/>
      <c r="V31" s="1136"/>
      <c r="W31" s="1136"/>
      <c r="X31" s="1136"/>
      <c r="Y31" s="1136"/>
      <c r="Z31" s="1136"/>
      <c r="AA31" s="1136"/>
      <c r="AB31" s="1136"/>
      <c r="AC31" s="1136"/>
      <c r="AD31" s="1136"/>
      <c r="AE31" s="1136"/>
      <c r="AF31" s="783"/>
    </row>
    <row r="32" spans="1:32" ht="20.1" customHeight="1">
      <c r="A32" s="1701" t="s">
        <v>3798</v>
      </c>
      <c r="B32" s="1702"/>
      <c r="C32" s="1702"/>
      <c r="D32" s="1702"/>
      <c r="E32" s="1702"/>
      <c r="F32" s="783"/>
      <c r="G32" s="258"/>
      <c r="H32" s="1703"/>
      <c r="I32" s="1704"/>
      <c r="J32" s="1704"/>
      <c r="K32" s="1704"/>
      <c r="L32" s="1702" t="s">
        <v>3958</v>
      </c>
      <c r="M32" s="1713"/>
      <c r="N32" s="1713"/>
      <c r="O32" s="1713"/>
      <c r="P32" s="1713"/>
      <c r="Q32" s="1713"/>
      <c r="R32" s="1713"/>
      <c r="S32" s="1713"/>
      <c r="T32" s="1713"/>
      <c r="U32" s="1713"/>
      <c r="V32" s="1713"/>
      <c r="W32" s="1713"/>
      <c r="X32" s="1713"/>
      <c r="Y32" s="1713"/>
      <c r="Z32" s="1713"/>
      <c r="AA32" s="1713"/>
      <c r="AB32" s="1713"/>
      <c r="AC32" s="1713"/>
      <c r="AD32" s="1714"/>
      <c r="AE32" s="258"/>
      <c r="AF32" s="534"/>
    </row>
    <row r="33" spans="1:32" ht="3.95" customHeight="1">
      <c r="A33" s="1707"/>
      <c r="B33" s="1665"/>
      <c r="C33" s="1665"/>
      <c r="D33" s="1665"/>
      <c r="E33" s="1665"/>
      <c r="F33" s="1665"/>
      <c r="G33" s="1665"/>
      <c r="H33" s="1665"/>
      <c r="I33" s="1665"/>
      <c r="J33" s="1665"/>
      <c r="K33" s="1665"/>
      <c r="L33" s="1665"/>
      <c r="M33" s="1665"/>
      <c r="N33" s="1665"/>
      <c r="O33" s="1665"/>
      <c r="P33" s="1665"/>
      <c r="Q33" s="1665"/>
      <c r="R33" s="1665"/>
      <c r="S33" s="1665"/>
      <c r="T33" s="1665"/>
      <c r="U33" s="1665"/>
      <c r="V33" s="1665"/>
      <c r="W33" s="1665"/>
      <c r="X33" s="1665"/>
      <c r="Y33" s="1665"/>
      <c r="Z33" s="1665"/>
      <c r="AA33" s="1665"/>
      <c r="AB33" s="1665"/>
      <c r="AC33" s="1665"/>
      <c r="AD33" s="1665"/>
      <c r="AE33" s="1665"/>
      <c r="AF33" s="1676"/>
    </row>
    <row r="34" spans="1:32" ht="12.75">
      <c r="A34" s="1628" t="s">
        <v>3955</v>
      </c>
      <c r="B34" s="1670"/>
      <c r="C34" s="1670"/>
      <c r="D34" s="1670"/>
      <c r="E34" s="1670"/>
      <c r="F34" s="1670"/>
      <c r="G34" s="1670"/>
      <c r="H34" s="1670"/>
      <c r="I34" s="1670"/>
      <c r="J34" s="1670"/>
      <c r="K34" s="1670"/>
      <c r="L34" s="1670"/>
      <c r="M34" s="1670"/>
      <c r="N34" s="1670"/>
      <c r="O34" s="1670"/>
      <c r="P34" s="1670"/>
      <c r="Q34" s="1670"/>
      <c r="R34" s="1670"/>
      <c r="S34" s="1670"/>
      <c r="T34" s="1670"/>
      <c r="U34" s="1670"/>
      <c r="V34" s="1670"/>
      <c r="W34" s="1670"/>
      <c r="X34" s="1670"/>
      <c r="Y34" s="1670"/>
      <c r="Z34" s="1670"/>
      <c r="AA34" s="1670"/>
      <c r="AB34" s="1670"/>
      <c r="AC34" s="1670"/>
      <c r="AD34" s="1670"/>
      <c r="AE34" s="1670"/>
      <c r="AF34" s="1669"/>
    </row>
    <row r="35" spans="1:32" ht="5.1" customHeight="1">
      <c r="A35" s="1677"/>
      <c r="B35" s="1600"/>
      <c r="C35" s="1600"/>
      <c r="D35" s="1600"/>
      <c r="E35" s="1600"/>
      <c r="F35" s="1600"/>
      <c r="G35" s="1600"/>
      <c r="H35" s="1600"/>
      <c r="I35" s="1600"/>
      <c r="J35" s="1600"/>
      <c r="K35" s="1600"/>
      <c r="L35" s="1600"/>
      <c r="M35" s="1600"/>
      <c r="N35" s="1600"/>
      <c r="O35" s="1600"/>
      <c r="P35" s="1600"/>
      <c r="Q35" s="1600"/>
      <c r="R35" s="1600"/>
      <c r="S35" s="1600"/>
      <c r="T35" s="1600"/>
      <c r="U35" s="1600"/>
      <c r="V35" s="1600"/>
      <c r="W35" s="1600"/>
      <c r="X35" s="1600"/>
      <c r="Y35" s="1677"/>
      <c r="Z35" s="1600"/>
      <c r="AA35" s="1600"/>
      <c r="AB35" s="1600"/>
      <c r="AC35" s="1600"/>
      <c r="AD35" s="1600"/>
      <c r="AE35" s="1600"/>
      <c r="AF35" s="1678"/>
    </row>
    <row r="36" spans="1:32" ht="18" customHeight="1">
      <c r="A36" s="1684" t="s">
        <v>3799</v>
      </c>
      <c r="B36" s="1136"/>
      <c r="C36" s="1136"/>
      <c r="D36" s="1136"/>
      <c r="E36" s="1136"/>
      <c r="F36" s="1136"/>
      <c r="G36" s="783"/>
      <c r="H36" s="1708">
        <f>+'1Př1'!F23</f>
        <v>0</v>
      </c>
      <c r="I36" s="1635"/>
      <c r="J36" s="1635"/>
      <c r="K36" s="1635"/>
      <c r="L36" s="1635"/>
      <c r="M36" s="955"/>
      <c r="N36" s="1709" t="s">
        <v>202</v>
      </c>
      <c r="O36" s="1136"/>
      <c r="P36" s="1136"/>
      <c r="Q36" s="1136"/>
      <c r="R36" s="1136"/>
      <c r="S36" s="1136"/>
      <c r="T36" s="1136"/>
      <c r="U36" s="1136"/>
      <c r="V36" s="1136"/>
      <c r="W36" s="1136"/>
      <c r="X36" s="783"/>
      <c r="Y36" s="1710" t="s">
        <v>3668</v>
      </c>
      <c r="Z36" s="1711"/>
      <c r="AA36" s="1711"/>
      <c r="AB36" s="1711"/>
      <c r="AC36" s="1711"/>
      <c r="AD36" s="1711"/>
      <c r="AE36" s="1711"/>
      <c r="AF36" s="1712"/>
    </row>
    <row r="37" spans="1:32" ht="9.95" customHeight="1">
      <c r="A37" s="1717"/>
      <c r="B37" s="1136"/>
      <c r="C37" s="1136"/>
      <c r="D37" s="1136"/>
      <c r="E37" s="1136"/>
      <c r="F37" s="1136"/>
      <c r="G37" s="1136"/>
      <c r="H37" s="1136"/>
      <c r="I37" s="1136"/>
      <c r="J37" s="1136"/>
      <c r="K37" s="1136"/>
      <c r="L37" s="1136"/>
      <c r="M37" s="1136"/>
      <c r="N37" s="1136"/>
      <c r="O37" s="1715" t="s">
        <v>168</v>
      </c>
      <c r="P37" s="1136"/>
      <c r="Q37" s="1136"/>
      <c r="R37" s="1136"/>
      <c r="S37" s="1136"/>
      <c r="T37" s="1715" t="s">
        <v>169</v>
      </c>
      <c r="U37" s="1136"/>
      <c r="V37" s="1136"/>
      <c r="W37" s="1718"/>
      <c r="X37" s="783"/>
      <c r="Y37" s="1717" t="s">
        <v>168</v>
      </c>
      <c r="Z37" s="1136"/>
      <c r="AA37" s="1136"/>
      <c r="AB37" s="1692"/>
      <c r="AC37" s="1136"/>
      <c r="AD37" s="1715" t="s">
        <v>169</v>
      </c>
      <c r="AE37" s="1136"/>
      <c r="AF37" s="783"/>
    </row>
    <row r="38" spans="1:47" ht="18" customHeight="1">
      <c r="A38" s="1684" t="s">
        <v>3800</v>
      </c>
      <c r="B38" s="1136"/>
      <c r="C38" s="1136"/>
      <c r="D38" s="1136"/>
      <c r="E38" s="1136"/>
      <c r="F38" s="1136"/>
      <c r="G38" s="1136"/>
      <c r="H38" s="1136"/>
      <c r="I38" s="1136"/>
      <c r="J38" s="1136"/>
      <c r="K38" s="1136"/>
      <c r="L38" s="1136"/>
      <c r="M38" s="1136"/>
      <c r="N38" s="1136"/>
      <c r="O38" s="783"/>
      <c r="P38" s="258">
        <f>+AU38</f>
        <v>12</v>
      </c>
      <c r="Q38" s="1684"/>
      <c r="R38" s="1136"/>
      <c r="S38" s="1136"/>
      <c r="T38" s="783"/>
      <c r="U38" s="258">
        <f>+AU40</f>
        <v>0</v>
      </c>
      <c r="V38" s="1716"/>
      <c r="W38" s="1136"/>
      <c r="X38" s="783"/>
      <c r="Y38" s="548"/>
      <c r="Z38" s="546"/>
      <c r="AA38" s="1684"/>
      <c r="AB38" s="1136"/>
      <c r="AC38" s="1136"/>
      <c r="AD38" s="783"/>
      <c r="AE38" s="546"/>
      <c r="AF38" s="535"/>
      <c r="AH38" s="22">
        <f>+IF(EXACT(AE20,"X"),12,0)</f>
        <v>12</v>
      </c>
      <c r="AI38" s="22">
        <f>+IF(EXACT(G20,"X"),1,0)</f>
        <v>0</v>
      </c>
      <c r="AJ38" s="22">
        <f>+IF(EXACT(I20,"X"),1,0)</f>
        <v>0</v>
      </c>
      <c r="AK38" s="22">
        <f>+IF(EXACT(K20,"X"),1,0)</f>
        <v>0</v>
      </c>
      <c r="AL38" s="22">
        <f>+IF(EXACT(M20,"X"),1,0)</f>
        <v>0</v>
      </c>
      <c r="AM38" s="22">
        <f>+IF(EXACT(O20,"X"),1,0)</f>
        <v>0</v>
      </c>
      <c r="AN38" s="22">
        <f>+IF(EXACT(Q20,"X"),1,0)</f>
        <v>0</v>
      </c>
      <c r="AO38" s="22">
        <f>+IF(EXACT(S20,"X"),1,0)</f>
        <v>0</v>
      </c>
      <c r="AP38" s="22">
        <f>+IF(EXACT(U20,"X"),1,0)</f>
        <v>0</v>
      </c>
      <c r="AQ38" s="22">
        <f>+IF(EXACT(W20,"X"),1,0)</f>
        <v>0</v>
      </c>
      <c r="AR38" s="22">
        <f>+IF(EXACT(Y20,"X"),1,0)</f>
        <v>0</v>
      </c>
      <c r="AS38" s="22">
        <f>+IF(EXACT(AA20,"X"),1,0)</f>
        <v>0</v>
      </c>
      <c r="AT38" s="22">
        <f>+IF(EXACT(AC20,"X"),1,0)</f>
        <v>0</v>
      </c>
      <c r="AU38" s="22">
        <f>+IF(AH38=12,12,+SUM(AI38:AT38))</f>
        <v>12</v>
      </c>
    </row>
    <row r="39" spans="1:32" ht="9.95" customHeight="1">
      <c r="A39" s="1703"/>
      <c r="B39" s="1136"/>
      <c r="C39" s="1136"/>
      <c r="D39" s="1136"/>
      <c r="E39" s="1136"/>
      <c r="F39" s="1136"/>
      <c r="G39" s="1136"/>
      <c r="H39" s="1136"/>
      <c r="I39" s="1136"/>
      <c r="J39" s="1136"/>
      <c r="K39" s="1136"/>
      <c r="L39" s="1136"/>
      <c r="M39" s="1136"/>
      <c r="N39" s="1136"/>
      <c r="O39" s="1715" t="s">
        <v>168</v>
      </c>
      <c r="P39" s="1136"/>
      <c r="Q39" s="1136"/>
      <c r="R39" s="1136"/>
      <c r="S39" s="1136"/>
      <c r="T39" s="1715" t="s">
        <v>169</v>
      </c>
      <c r="U39" s="1136"/>
      <c r="V39" s="1136"/>
      <c r="W39" s="1718"/>
      <c r="X39" s="783"/>
      <c r="Y39" s="1717" t="s">
        <v>168</v>
      </c>
      <c r="Z39" s="1136"/>
      <c r="AA39" s="1136"/>
      <c r="AB39" s="1692"/>
      <c r="AC39" s="1136"/>
      <c r="AD39" s="1715" t="s">
        <v>169</v>
      </c>
      <c r="AE39" s="1136"/>
      <c r="AF39" s="783"/>
    </row>
    <row r="40" spans="1:65" s="530" customFormat="1" ht="18" customHeight="1">
      <c r="A40" s="1684" t="s">
        <v>3801</v>
      </c>
      <c r="B40" s="1136"/>
      <c r="C40" s="1136"/>
      <c r="D40" s="1136"/>
      <c r="E40" s="1136"/>
      <c r="F40" s="1136"/>
      <c r="G40" s="1136"/>
      <c r="H40" s="1136"/>
      <c r="I40" s="1136"/>
      <c r="J40" s="1136"/>
      <c r="K40" s="1136"/>
      <c r="L40" s="1136"/>
      <c r="M40" s="1136"/>
      <c r="N40" s="1136"/>
      <c r="O40" s="783"/>
      <c r="P40" s="258">
        <f>+P38</f>
        <v>12</v>
      </c>
      <c r="Q40" s="1684"/>
      <c r="R40" s="1136"/>
      <c r="S40" s="1136"/>
      <c r="T40" s="783"/>
      <c r="U40" s="258">
        <f>+U38</f>
        <v>0</v>
      </c>
      <c r="V40" s="1716"/>
      <c r="W40" s="1136"/>
      <c r="X40" s="783"/>
      <c r="Y40" s="548"/>
      <c r="Z40" s="546"/>
      <c r="AA40" s="1684"/>
      <c r="AB40" s="1136"/>
      <c r="AC40" s="1136"/>
      <c r="AD40" s="783"/>
      <c r="AE40" s="546"/>
      <c r="AF40" s="535"/>
      <c r="AG40" s="98"/>
      <c r="AH40" s="22">
        <f>+IF(EXACT(AE22,"X"),12,0)</f>
        <v>0</v>
      </c>
      <c r="AI40" s="22">
        <f>+IF(EXACT(G22,"X"),1,0)</f>
        <v>0</v>
      </c>
      <c r="AJ40" s="22">
        <f>+IF(EXACT(I22,"X"),1,0)</f>
        <v>0</v>
      </c>
      <c r="AK40" s="22">
        <f>+IF(EXACT(K22,"X"),1,0)</f>
        <v>0</v>
      </c>
      <c r="AL40" s="22">
        <f>+IF(EXACT(M22,"X"),1,0)</f>
        <v>0</v>
      </c>
      <c r="AM40" s="22">
        <f>+IF(EXACT(O22,"X"),1,0)</f>
        <v>0</v>
      </c>
      <c r="AN40" s="22">
        <f>+IF(EXACT(Q22,"X"),1,0)</f>
        <v>0</v>
      </c>
      <c r="AO40" s="22">
        <f>+IF(EXACT(S22,"X"),1,0)</f>
        <v>0</v>
      </c>
      <c r="AP40" s="22">
        <f>+IF(EXACT(U22,"X"),1,0)</f>
        <v>0</v>
      </c>
      <c r="AQ40" s="22">
        <f>+IF(EXACT(W22,"X"),1,0)</f>
        <v>0</v>
      </c>
      <c r="AR40" s="22">
        <f>+IF(EXACT(Y22,"X"),1,0)</f>
        <v>0</v>
      </c>
      <c r="AS40" s="22">
        <f>+IF(EXACT(AA22,"X"),1,0)</f>
        <v>0</v>
      </c>
      <c r="AT40" s="22">
        <f>+IF(EXACT(AC22,"X"),1,0)</f>
        <v>0</v>
      </c>
      <c r="AU40" s="22">
        <f>+IF(AH40=12,12,+SUM(AI40:AT40))</f>
        <v>0</v>
      </c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</row>
    <row r="41" spans="1:32" ht="5.1" customHeight="1">
      <c r="A41" s="1703"/>
      <c r="B41" s="1136"/>
      <c r="C41" s="1136"/>
      <c r="D41" s="1136"/>
      <c r="E41" s="1136"/>
      <c r="F41" s="1136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783"/>
      <c r="Y41" s="1719"/>
      <c r="Z41" s="1718"/>
      <c r="AA41" s="1718"/>
      <c r="AB41" s="1718"/>
      <c r="AC41" s="1718"/>
      <c r="AD41" s="1718"/>
      <c r="AE41" s="1718"/>
      <c r="AF41" s="1720"/>
    </row>
    <row r="42" spans="1:32" ht="18" customHeight="1">
      <c r="A42" s="1684" t="s">
        <v>3873</v>
      </c>
      <c r="B42" s="1136"/>
      <c r="C42" s="1136"/>
      <c r="D42" s="1136"/>
      <c r="E42" s="1136"/>
      <c r="F42" s="1136"/>
      <c r="G42" s="1136"/>
      <c r="H42" s="1721">
        <f>+ROUND(IF(P40+U40=0,0,H36/(P40+U40)),2)</f>
        <v>0</v>
      </c>
      <c r="I42" s="1722"/>
      <c r="J42" s="1722"/>
      <c r="K42" s="1722"/>
      <c r="L42" s="1722"/>
      <c r="M42" s="1723"/>
      <c r="N42" s="1709" t="s">
        <v>202</v>
      </c>
      <c r="O42" s="1136"/>
      <c r="P42" s="1136"/>
      <c r="Q42" s="1136"/>
      <c r="R42" s="1136"/>
      <c r="S42" s="1136"/>
      <c r="T42" s="1136"/>
      <c r="U42" s="1136"/>
      <c r="V42" s="1136"/>
      <c r="W42" s="1136"/>
      <c r="X42" s="783"/>
      <c r="Y42" s="549"/>
      <c r="Z42" s="1724"/>
      <c r="AA42" s="1635"/>
      <c r="AB42" s="1635"/>
      <c r="AC42" s="1635"/>
      <c r="AD42" s="1635"/>
      <c r="AE42" s="955"/>
      <c r="AF42" s="550" t="s">
        <v>202</v>
      </c>
    </row>
    <row r="43" spans="1:32" ht="8.1" customHeight="1">
      <c r="A43" s="1703"/>
      <c r="B43" s="1136"/>
      <c r="C43" s="1136"/>
      <c r="D43" s="1136"/>
      <c r="E43" s="1136"/>
      <c r="F43" s="1136"/>
      <c r="G43" s="1136"/>
      <c r="H43" s="1725" t="s">
        <v>3629</v>
      </c>
      <c r="I43" s="1726"/>
      <c r="J43" s="1726"/>
      <c r="K43" s="1726"/>
      <c r="L43" s="1726"/>
      <c r="M43" s="1726"/>
      <c r="N43" s="551"/>
      <c r="O43" s="551"/>
      <c r="P43" s="1727" t="s">
        <v>3630</v>
      </c>
      <c r="Q43" s="1728"/>
      <c r="R43" s="1728"/>
      <c r="S43" s="1728"/>
      <c r="T43" s="1728"/>
      <c r="U43" s="1728"/>
      <c r="V43" s="1692"/>
      <c r="W43" s="1136"/>
      <c r="X43" s="1136"/>
      <c r="Y43" s="1719"/>
      <c r="Z43" s="1718"/>
      <c r="AA43" s="1718"/>
      <c r="AB43" s="1718"/>
      <c r="AC43" s="1718"/>
      <c r="AD43" s="1718"/>
      <c r="AE43" s="1718"/>
      <c r="AF43" s="1720"/>
    </row>
    <row r="44" spans="1:32" ht="18" customHeight="1">
      <c r="A44" s="1684" t="s">
        <v>3874</v>
      </c>
      <c r="B44" s="1136"/>
      <c r="C44" s="1136"/>
      <c r="D44" s="1136"/>
      <c r="E44" s="1136"/>
      <c r="F44" s="1136"/>
      <c r="G44" s="783"/>
      <c r="H44" s="1708">
        <f>IF(OR(EXACT("X",AA18),EXACT("x",AA18)),+H42*P40,0)</f>
        <v>0</v>
      </c>
      <c r="I44" s="1635"/>
      <c r="J44" s="1635"/>
      <c r="K44" s="1635"/>
      <c r="L44" s="1635"/>
      <c r="M44" s="955"/>
      <c r="N44" s="1709" t="s">
        <v>202</v>
      </c>
      <c r="O44" s="783"/>
      <c r="P44" s="1708">
        <f>IF(OR(EXACT("X",AA18),EXACT("x",AA18)),+H42*U40,0)</f>
        <v>0</v>
      </c>
      <c r="Q44" s="1635"/>
      <c r="R44" s="1635"/>
      <c r="S44" s="1635"/>
      <c r="T44" s="1635"/>
      <c r="U44" s="955"/>
      <c r="V44" s="1729" t="s">
        <v>202</v>
      </c>
      <c r="W44" s="1136"/>
      <c r="X44" s="1136"/>
      <c r="Y44" s="549"/>
      <c r="Z44" s="1724"/>
      <c r="AA44" s="1635"/>
      <c r="AB44" s="1635"/>
      <c r="AC44" s="1635"/>
      <c r="AD44" s="1635"/>
      <c r="AE44" s="955"/>
      <c r="AF44" s="550" t="s">
        <v>202</v>
      </c>
    </row>
    <row r="45" spans="1:32" ht="8.1" customHeight="1">
      <c r="A45" s="1703"/>
      <c r="B45" s="1136"/>
      <c r="C45" s="1136"/>
      <c r="D45" s="1136"/>
      <c r="E45" s="1136"/>
      <c r="F45" s="1136"/>
      <c r="G45" s="1136"/>
      <c r="H45" s="1725" t="s">
        <v>3629</v>
      </c>
      <c r="I45" s="1726"/>
      <c r="J45" s="1726"/>
      <c r="K45" s="1726"/>
      <c r="L45" s="1726"/>
      <c r="M45" s="1726"/>
      <c r="N45" s="551"/>
      <c r="O45" s="551"/>
      <c r="P45" s="1727" t="s">
        <v>3630</v>
      </c>
      <c r="Q45" s="1728"/>
      <c r="R45" s="1728"/>
      <c r="S45" s="1728"/>
      <c r="T45" s="1728"/>
      <c r="U45" s="1728"/>
      <c r="V45" s="1692"/>
      <c r="W45" s="1136"/>
      <c r="X45" s="1136"/>
      <c r="Y45" s="1719"/>
      <c r="Z45" s="1718"/>
      <c r="AA45" s="1718"/>
      <c r="AB45" s="1718"/>
      <c r="AC45" s="1718"/>
      <c r="AD45" s="1718"/>
      <c r="AE45" s="1718"/>
      <c r="AF45" s="1720"/>
    </row>
    <row r="46" spans="1:32" ht="18" customHeight="1">
      <c r="A46" s="1684" t="s">
        <v>3875</v>
      </c>
      <c r="B46" s="1136"/>
      <c r="C46" s="1136"/>
      <c r="D46" s="1136"/>
      <c r="E46" s="1136"/>
      <c r="F46" s="1136"/>
      <c r="G46" s="783"/>
      <c r="H46" s="1708">
        <f>+IF(OR(EXACT(O18,"X"),EXACT(O18,"x")),CEILING(H36*0.5,1),CEILING(+H44*0.5,1))</f>
        <v>0</v>
      </c>
      <c r="I46" s="1635"/>
      <c r="J46" s="1635"/>
      <c r="K46" s="1635"/>
      <c r="L46" s="1635"/>
      <c r="M46" s="955"/>
      <c r="N46" s="1709" t="s">
        <v>202</v>
      </c>
      <c r="O46" s="783"/>
      <c r="P46" s="1730">
        <f>+IF(OR(EXACT(U18,"X"),EXACT(U18,"x")),ROUND(H36*0.5,0),ROUND(+P44*0.5,0))</f>
        <v>0</v>
      </c>
      <c r="Q46" s="1731"/>
      <c r="R46" s="1731"/>
      <c r="S46" s="1731"/>
      <c r="T46" s="1731"/>
      <c r="U46" s="1732"/>
      <c r="V46" s="1729" t="s">
        <v>202</v>
      </c>
      <c r="W46" s="1136"/>
      <c r="X46" s="1136"/>
      <c r="Y46" s="549"/>
      <c r="Z46" s="1724"/>
      <c r="AA46" s="1635"/>
      <c r="AB46" s="1635"/>
      <c r="AC46" s="1635"/>
      <c r="AD46" s="1635"/>
      <c r="AE46" s="955"/>
      <c r="AF46" s="550" t="s">
        <v>202</v>
      </c>
    </row>
    <row r="47" spans="1:32" ht="8.1" customHeight="1">
      <c r="A47" s="1703"/>
      <c r="B47" s="1136"/>
      <c r="C47" s="1136"/>
      <c r="D47" s="1136"/>
      <c r="E47" s="1136"/>
      <c r="F47" s="1136"/>
      <c r="G47" s="1136"/>
      <c r="H47" s="1725" t="s">
        <v>3629</v>
      </c>
      <c r="I47" s="1726"/>
      <c r="J47" s="1726"/>
      <c r="K47" s="1726"/>
      <c r="L47" s="1726"/>
      <c r="M47" s="1726"/>
      <c r="N47" s="551"/>
      <c r="O47" s="551"/>
      <c r="P47" s="1727" t="s">
        <v>3630</v>
      </c>
      <c r="Q47" s="1728"/>
      <c r="R47" s="1728"/>
      <c r="S47" s="1728"/>
      <c r="T47" s="1728"/>
      <c r="U47" s="1728"/>
      <c r="V47" s="1692"/>
      <c r="W47" s="1136"/>
      <c r="X47" s="1136"/>
      <c r="Y47" s="1719"/>
      <c r="Z47" s="1718"/>
      <c r="AA47" s="1718"/>
      <c r="AB47" s="1718"/>
      <c r="AC47" s="1718"/>
      <c r="AD47" s="1718"/>
      <c r="AE47" s="1718"/>
      <c r="AF47" s="1720"/>
    </row>
    <row r="48" spans="1:32" ht="18" customHeight="1">
      <c r="A48" s="1684" t="s">
        <v>3876</v>
      </c>
      <c r="B48" s="1136"/>
      <c r="C48" s="1136"/>
      <c r="D48" s="1136"/>
      <c r="E48" s="1136"/>
      <c r="F48" s="1136"/>
      <c r="G48" s="783"/>
      <c r="H48" s="1730">
        <f>(IF(OR(EXACT(AA18,"X"),EXACT(AA18,"x")),+IF(P38&gt;0,9728*P40,0),0))</f>
        <v>0</v>
      </c>
      <c r="I48" s="1731"/>
      <c r="J48" s="1731"/>
      <c r="K48" s="1731"/>
      <c r="L48" s="1731"/>
      <c r="M48" s="1732"/>
      <c r="N48" s="1709" t="s">
        <v>202</v>
      </c>
      <c r="O48" s="783"/>
      <c r="P48" s="1730">
        <f>(IF(OR(EXACT(AA18,"X"),EXACT(AA18,"x")),+IF(U38&gt;0,3892*U40,0),0))</f>
        <v>0</v>
      </c>
      <c r="Q48" s="1731"/>
      <c r="R48" s="1731"/>
      <c r="S48" s="1731"/>
      <c r="T48" s="1731"/>
      <c r="U48" s="1732"/>
      <c r="V48" s="1729" t="s">
        <v>202</v>
      </c>
      <c r="W48" s="1136"/>
      <c r="X48" s="1136"/>
      <c r="Y48" s="549"/>
      <c r="Z48" s="1724"/>
      <c r="AA48" s="1635"/>
      <c r="AB48" s="1635"/>
      <c r="AC48" s="1635"/>
      <c r="AD48" s="1635"/>
      <c r="AE48" s="955"/>
      <c r="AF48" s="550" t="s">
        <v>202</v>
      </c>
    </row>
    <row r="49" spans="1:32" ht="8.1" customHeight="1">
      <c r="A49" s="1703"/>
      <c r="B49" s="1136"/>
      <c r="C49" s="1136"/>
      <c r="D49" s="1136"/>
      <c r="E49" s="1136"/>
      <c r="F49" s="1136"/>
      <c r="G49" s="1136"/>
      <c r="H49" s="1136"/>
      <c r="I49" s="1136"/>
      <c r="J49" s="1136"/>
      <c r="K49" s="1136"/>
      <c r="L49" s="1136"/>
      <c r="M49" s="1136"/>
      <c r="N49" s="1136"/>
      <c r="O49" s="1136"/>
      <c r="P49" s="1136"/>
      <c r="Q49" s="1136"/>
      <c r="R49" s="1136"/>
      <c r="S49" s="1136"/>
      <c r="T49" s="1136"/>
      <c r="U49" s="1136"/>
      <c r="V49" s="1136"/>
      <c r="W49" s="1136"/>
      <c r="X49" s="783"/>
      <c r="Y49" s="1719"/>
      <c r="Z49" s="1718"/>
      <c r="AA49" s="1718"/>
      <c r="AB49" s="1718"/>
      <c r="AC49" s="1718"/>
      <c r="AD49" s="1718"/>
      <c r="AE49" s="1718"/>
      <c r="AF49" s="1720"/>
    </row>
    <row r="50" spans="1:32" ht="18" customHeight="1">
      <c r="A50" s="1684" t="s">
        <v>3877</v>
      </c>
      <c r="B50" s="1136"/>
      <c r="C50" s="1136"/>
      <c r="D50" s="1136"/>
      <c r="E50" s="1136"/>
      <c r="F50" s="1136"/>
      <c r="G50" s="783"/>
      <c r="H50" s="1730">
        <f>MIN(IF(OR(EXACT(O18,"X"),EXACT(O18,"x")),MAX(+P40*9728,H46),IF(OR(EXACT(U18,"X"),EXACT(U18,"x")),MAX(+U40*3892,P46),+MAX(H48,H46)+MAX(+P48,P46))),1867728)</f>
        <v>116736</v>
      </c>
      <c r="I50" s="1731"/>
      <c r="J50" s="1731"/>
      <c r="K50" s="1731"/>
      <c r="L50" s="1731"/>
      <c r="M50" s="1732"/>
      <c r="N50" s="1709" t="s">
        <v>202</v>
      </c>
      <c r="O50" s="1136"/>
      <c r="P50" s="1733" t="s">
        <v>3885</v>
      </c>
      <c r="Q50" s="1734"/>
      <c r="R50" s="1734"/>
      <c r="S50" s="1734"/>
      <c r="T50" s="1734"/>
      <c r="U50" s="1735"/>
      <c r="V50" s="1741"/>
      <c r="W50" s="1136"/>
      <c r="X50" s="783"/>
      <c r="Y50" s="549"/>
      <c r="Z50" s="1724"/>
      <c r="AA50" s="1635"/>
      <c r="AB50" s="1635"/>
      <c r="AC50" s="1635"/>
      <c r="AD50" s="1635"/>
      <c r="AE50" s="955"/>
      <c r="AF50" s="550" t="s">
        <v>202</v>
      </c>
    </row>
    <row r="51" spans="1:32" ht="6.95" customHeight="1">
      <c r="A51" s="1703"/>
      <c r="B51" s="1136"/>
      <c r="C51" s="1136"/>
      <c r="D51" s="1136"/>
      <c r="E51" s="1136"/>
      <c r="F51" s="1136"/>
      <c r="G51" s="1136"/>
      <c r="H51" s="1744"/>
      <c r="I51" s="741"/>
      <c r="J51" s="741"/>
      <c r="K51" s="741"/>
      <c r="L51" s="741"/>
      <c r="M51" s="741"/>
      <c r="N51" s="1136"/>
      <c r="O51" s="1745"/>
      <c r="P51" s="1736"/>
      <c r="Q51" s="767"/>
      <c r="R51" s="767"/>
      <c r="S51" s="767"/>
      <c r="T51" s="767"/>
      <c r="U51" s="1737"/>
      <c r="V51" s="1742"/>
      <c r="W51" s="1136"/>
      <c r="X51" s="783"/>
      <c r="Y51" s="1746"/>
      <c r="Z51" s="1136"/>
      <c r="AA51" s="1136"/>
      <c r="AB51" s="1136"/>
      <c r="AC51" s="1136"/>
      <c r="AD51" s="1136"/>
      <c r="AE51" s="1136"/>
      <c r="AF51" s="783"/>
    </row>
    <row r="52" spans="1:32" ht="18" customHeight="1">
      <c r="A52" s="1684" t="s">
        <v>3878</v>
      </c>
      <c r="B52" s="1136"/>
      <c r="C52" s="1136"/>
      <c r="D52" s="1136"/>
      <c r="E52" s="1136"/>
      <c r="F52" s="1136"/>
      <c r="G52" s="783"/>
      <c r="H52" s="1708">
        <f>+H50</f>
        <v>116736</v>
      </c>
      <c r="I52" s="1635"/>
      <c r="J52" s="1635"/>
      <c r="K52" s="1635"/>
      <c r="L52" s="1635"/>
      <c r="M52" s="955"/>
      <c r="N52" s="1709" t="s">
        <v>202</v>
      </c>
      <c r="O52" s="1136"/>
      <c r="P52" s="1736"/>
      <c r="Q52" s="767"/>
      <c r="R52" s="767"/>
      <c r="S52" s="767"/>
      <c r="T52" s="767"/>
      <c r="U52" s="1737"/>
      <c r="V52" s="1742"/>
      <c r="W52" s="1136"/>
      <c r="X52" s="783"/>
      <c r="Y52" s="1747"/>
      <c r="Z52" s="1136"/>
      <c r="AA52" s="1136"/>
      <c r="AB52" s="1136"/>
      <c r="AC52" s="1136"/>
      <c r="AD52" s="1136"/>
      <c r="AE52" s="1136"/>
      <c r="AF52" s="783"/>
    </row>
    <row r="53" spans="1:32" ht="7.5" customHeight="1">
      <c r="A53" s="1703"/>
      <c r="B53" s="1136"/>
      <c r="C53" s="1136"/>
      <c r="D53" s="1136"/>
      <c r="E53" s="1136"/>
      <c r="F53" s="1136"/>
      <c r="G53" s="1136"/>
      <c r="H53" s="1744"/>
      <c r="I53" s="741"/>
      <c r="J53" s="741"/>
      <c r="K53" s="741"/>
      <c r="L53" s="741"/>
      <c r="M53" s="741"/>
      <c r="N53" s="1136"/>
      <c r="O53" s="1745"/>
      <c r="P53" s="1736"/>
      <c r="Q53" s="767"/>
      <c r="R53" s="767"/>
      <c r="S53" s="767"/>
      <c r="T53" s="767"/>
      <c r="U53" s="1737"/>
      <c r="V53" s="1742"/>
      <c r="W53" s="1136"/>
      <c r="X53" s="783"/>
      <c r="Y53" s="1719"/>
      <c r="Z53" s="1718"/>
      <c r="AA53" s="1718"/>
      <c r="AB53" s="1718"/>
      <c r="AC53" s="1718"/>
      <c r="AD53" s="1718"/>
      <c r="AE53" s="1718"/>
      <c r="AF53" s="1720"/>
    </row>
    <row r="54" spans="1:32" ht="18" customHeight="1">
      <c r="A54" s="1684" t="s">
        <v>3879</v>
      </c>
      <c r="B54" s="1136"/>
      <c r="C54" s="1136"/>
      <c r="D54" s="1136"/>
      <c r="E54" s="1136"/>
      <c r="F54" s="1136"/>
      <c r="G54" s="783"/>
      <c r="H54" s="1708">
        <f>+'DAP2'!E4</f>
        <v>0</v>
      </c>
      <c r="I54" s="1673"/>
      <c r="J54" s="1673"/>
      <c r="K54" s="1673"/>
      <c r="L54" s="1673"/>
      <c r="M54" s="873"/>
      <c r="N54" s="1709" t="s">
        <v>202</v>
      </c>
      <c r="O54" s="1136"/>
      <c r="P54" s="1738"/>
      <c r="Q54" s="1739"/>
      <c r="R54" s="1739"/>
      <c r="S54" s="1739"/>
      <c r="T54" s="1739"/>
      <c r="U54" s="1740"/>
      <c r="V54" s="1742"/>
      <c r="W54" s="1136"/>
      <c r="X54" s="783"/>
      <c r="Y54" s="549"/>
      <c r="Z54" s="1724"/>
      <c r="AA54" s="1635"/>
      <c r="AB54" s="1635"/>
      <c r="AC54" s="1635"/>
      <c r="AD54" s="1635"/>
      <c r="AE54" s="955"/>
      <c r="AF54" s="550" t="s">
        <v>202</v>
      </c>
    </row>
    <row r="55" spans="1:32" ht="7.5" customHeight="1">
      <c r="A55" s="1703"/>
      <c r="B55" s="1136"/>
      <c r="C55" s="1136"/>
      <c r="D55" s="1136"/>
      <c r="E55" s="1136"/>
      <c r="F55" s="1136"/>
      <c r="G55" s="1136"/>
      <c r="H55" s="1136"/>
      <c r="I55" s="1136"/>
      <c r="J55" s="1136"/>
      <c r="K55" s="1136"/>
      <c r="L55" s="1136"/>
      <c r="M55" s="1136"/>
      <c r="N55" s="1136"/>
      <c r="O55" s="1136"/>
      <c r="P55" s="1136"/>
      <c r="Q55" s="1136"/>
      <c r="R55" s="1136"/>
      <c r="S55" s="1136"/>
      <c r="T55" s="1136"/>
      <c r="U55" s="1136"/>
      <c r="V55" s="1136"/>
      <c r="W55" s="1136"/>
      <c r="X55" s="783"/>
      <c r="Y55" s="1719"/>
      <c r="Z55" s="1718"/>
      <c r="AA55" s="1718"/>
      <c r="AB55" s="1718"/>
      <c r="AC55" s="1718"/>
      <c r="AD55" s="1718"/>
      <c r="AE55" s="1718"/>
      <c r="AF55" s="1720"/>
    </row>
    <row r="56" spans="1:32" ht="18.75" customHeight="1">
      <c r="A56" s="1684" t="s">
        <v>3880</v>
      </c>
      <c r="B56" s="1136"/>
      <c r="C56" s="1136"/>
      <c r="D56" s="1136"/>
      <c r="E56" s="1136"/>
      <c r="F56" s="1136"/>
      <c r="G56" s="783"/>
      <c r="H56" s="1743">
        <f>+H54+H52</f>
        <v>116736</v>
      </c>
      <c r="I56" s="1635"/>
      <c r="J56" s="1635"/>
      <c r="K56" s="1635"/>
      <c r="L56" s="1635"/>
      <c r="M56" s="955"/>
      <c r="N56" s="1709" t="s">
        <v>202</v>
      </c>
      <c r="O56" s="1136"/>
      <c r="P56" s="1136"/>
      <c r="Q56" s="1136"/>
      <c r="R56" s="1136"/>
      <c r="S56" s="1136"/>
      <c r="T56" s="1136"/>
      <c r="U56" s="1136"/>
      <c r="V56" s="1136"/>
      <c r="W56" s="1136"/>
      <c r="X56" s="783"/>
      <c r="Y56" s="549"/>
      <c r="Z56" s="1724"/>
      <c r="AA56" s="1635"/>
      <c r="AB56" s="1635"/>
      <c r="AC56" s="1635"/>
      <c r="AD56" s="1635"/>
      <c r="AE56" s="955"/>
      <c r="AF56" s="550" t="s">
        <v>202</v>
      </c>
    </row>
    <row r="57" spans="1:32" ht="6.75" customHeight="1">
      <c r="A57" s="1703"/>
      <c r="B57" s="1136"/>
      <c r="C57" s="1136"/>
      <c r="D57" s="1136"/>
      <c r="E57" s="1136"/>
      <c r="F57" s="1136"/>
      <c r="G57" s="1136"/>
      <c r="H57" s="1136"/>
      <c r="I57" s="1136"/>
      <c r="J57" s="1136"/>
      <c r="K57" s="1136"/>
      <c r="L57" s="1136"/>
      <c r="M57" s="1136"/>
      <c r="N57" s="1136"/>
      <c r="O57" s="1136"/>
      <c r="P57" s="1136"/>
      <c r="Q57" s="1136"/>
      <c r="R57" s="1136"/>
      <c r="S57" s="1136"/>
      <c r="T57" s="1136"/>
      <c r="U57" s="1136"/>
      <c r="V57" s="1136"/>
      <c r="W57" s="1136"/>
      <c r="X57" s="783"/>
      <c r="Y57" s="1719"/>
      <c r="Z57" s="1718"/>
      <c r="AA57" s="1718"/>
      <c r="AB57" s="1718"/>
      <c r="AC57" s="1718"/>
      <c r="AD57" s="1718"/>
      <c r="AE57" s="1718"/>
      <c r="AF57" s="1720"/>
    </row>
    <row r="58" spans="1:32" ht="18.95" customHeight="1">
      <c r="A58" s="1684" t="s">
        <v>3881</v>
      </c>
      <c r="B58" s="1136"/>
      <c r="C58" s="1136"/>
      <c r="D58" s="1136"/>
      <c r="E58" s="1136"/>
      <c r="F58" s="1136"/>
      <c r="G58" s="783"/>
      <c r="H58" s="1748">
        <f>IF(H56&lt;1867728,H52,MAX(0,1867728-H54))</f>
        <v>116736</v>
      </c>
      <c r="I58" s="1731"/>
      <c r="J58" s="1731"/>
      <c r="K58" s="1731"/>
      <c r="L58" s="1731"/>
      <c r="M58" s="1732"/>
      <c r="N58" s="1709" t="s">
        <v>202</v>
      </c>
      <c r="O58" s="1136"/>
      <c r="P58" s="1136"/>
      <c r="Q58" s="1136"/>
      <c r="R58" s="1136"/>
      <c r="S58" s="1136"/>
      <c r="T58" s="1136"/>
      <c r="U58" s="1136"/>
      <c r="V58" s="1136"/>
      <c r="W58" s="1136"/>
      <c r="X58" s="783"/>
      <c r="Y58" s="549"/>
      <c r="Z58" s="1724"/>
      <c r="AA58" s="1635"/>
      <c r="AB58" s="1635"/>
      <c r="AC58" s="1635"/>
      <c r="AD58" s="1635"/>
      <c r="AE58" s="955"/>
      <c r="AF58" s="550" t="s">
        <v>202</v>
      </c>
    </row>
    <row r="59" spans="1:32" ht="7.5" customHeight="1">
      <c r="A59" s="1703"/>
      <c r="B59" s="1136"/>
      <c r="C59" s="1136"/>
      <c r="D59" s="1136"/>
      <c r="E59" s="1136"/>
      <c r="F59" s="1136"/>
      <c r="G59" s="1136"/>
      <c r="H59" s="1136"/>
      <c r="I59" s="1136"/>
      <c r="J59" s="1136"/>
      <c r="K59" s="1136"/>
      <c r="L59" s="1136"/>
      <c r="M59" s="1136"/>
      <c r="N59" s="1136"/>
      <c r="O59" s="1136"/>
      <c r="P59" s="1136"/>
      <c r="Q59" s="1136"/>
      <c r="R59" s="1136"/>
      <c r="S59" s="1136"/>
      <c r="T59" s="1136"/>
      <c r="U59" s="1136"/>
      <c r="V59" s="1136"/>
      <c r="W59" s="1136"/>
      <c r="X59" s="783"/>
      <c r="Y59" s="1719"/>
      <c r="Z59" s="1718"/>
      <c r="AA59" s="1718"/>
      <c r="AB59" s="1718"/>
      <c r="AC59" s="1718"/>
      <c r="AD59" s="1718"/>
      <c r="AE59" s="1718"/>
      <c r="AF59" s="1720"/>
    </row>
    <row r="60" spans="1:32" ht="18.95" customHeight="1">
      <c r="A60" s="1684" t="s">
        <v>3882</v>
      </c>
      <c r="B60" s="1136"/>
      <c r="C60" s="1136"/>
      <c r="D60" s="1136"/>
      <c r="E60" s="1136"/>
      <c r="F60" s="1136"/>
      <c r="G60" s="783"/>
      <c r="H60" s="1743">
        <f>+CEILING(H58*0.292,1)</f>
        <v>34087</v>
      </c>
      <c r="I60" s="1635"/>
      <c r="J60" s="1635"/>
      <c r="K60" s="1635"/>
      <c r="L60" s="1635"/>
      <c r="M60" s="955"/>
      <c r="N60" s="1709" t="s">
        <v>202</v>
      </c>
      <c r="O60" s="1136"/>
      <c r="P60" s="1136"/>
      <c r="Q60" s="1136"/>
      <c r="R60" s="1136"/>
      <c r="S60" s="1136"/>
      <c r="T60" s="1136"/>
      <c r="U60" s="1136"/>
      <c r="V60" s="1136"/>
      <c r="W60" s="1136"/>
      <c r="X60" s="783"/>
      <c r="Y60" s="549"/>
      <c r="Z60" s="1724"/>
      <c r="AA60" s="1635"/>
      <c r="AB60" s="1635"/>
      <c r="AC60" s="1635"/>
      <c r="AD60" s="1635"/>
      <c r="AE60" s="955"/>
      <c r="AF60" s="550" t="s">
        <v>202</v>
      </c>
    </row>
    <row r="61" spans="1:32" ht="7.5" customHeight="1">
      <c r="A61" s="1703"/>
      <c r="B61" s="1136"/>
      <c r="C61" s="1136"/>
      <c r="D61" s="1136"/>
      <c r="E61" s="1136"/>
      <c r="F61" s="1136"/>
      <c r="G61" s="1136"/>
      <c r="H61" s="1136"/>
      <c r="I61" s="1136"/>
      <c r="J61" s="1136"/>
      <c r="K61" s="1136"/>
      <c r="L61" s="1136"/>
      <c r="M61" s="1136"/>
      <c r="N61" s="1136"/>
      <c r="O61" s="1136"/>
      <c r="P61" s="1136"/>
      <c r="Q61" s="1136"/>
      <c r="R61" s="1136"/>
      <c r="S61" s="1136"/>
      <c r="T61" s="1136"/>
      <c r="U61" s="1136"/>
      <c r="V61" s="1136"/>
      <c r="W61" s="1136"/>
      <c r="X61" s="783"/>
      <c r="Y61" s="1719"/>
      <c r="Z61" s="1718"/>
      <c r="AA61" s="1718"/>
      <c r="AB61" s="1718"/>
      <c r="AC61" s="1718"/>
      <c r="AD61" s="1718"/>
      <c r="AE61" s="1718"/>
      <c r="AF61" s="1720"/>
    </row>
    <row r="62" spans="1:32" ht="18.95" customHeight="1">
      <c r="A62" s="1684" t="s">
        <v>3883</v>
      </c>
      <c r="B62" s="1633"/>
      <c r="C62" s="1633"/>
      <c r="D62" s="1633"/>
      <c r="E62" s="1633"/>
      <c r="F62" s="1633"/>
      <c r="G62" s="1758"/>
      <c r="H62" s="1708">
        <v>0</v>
      </c>
      <c r="I62" s="1759"/>
      <c r="J62" s="1759"/>
      <c r="K62" s="1759"/>
      <c r="L62" s="1759"/>
      <c r="M62" s="1760"/>
      <c r="N62" s="1709" t="s">
        <v>202</v>
      </c>
      <c r="O62" s="1761"/>
      <c r="P62" s="1761"/>
      <c r="Q62" s="1761"/>
      <c r="R62" s="1761"/>
      <c r="S62" s="1761"/>
      <c r="T62" s="1761"/>
      <c r="U62" s="1761"/>
      <c r="V62" s="1761"/>
      <c r="W62" s="1761"/>
      <c r="X62" s="1762"/>
      <c r="Y62" s="549"/>
      <c r="Z62" s="1724"/>
      <c r="AA62" s="1763"/>
      <c r="AB62" s="1763"/>
      <c r="AC62" s="1763"/>
      <c r="AD62" s="1763"/>
      <c r="AE62" s="1764"/>
      <c r="AF62" s="550" t="s">
        <v>202</v>
      </c>
    </row>
    <row r="63" spans="1:32" ht="7.5" customHeight="1">
      <c r="A63" s="1703"/>
      <c r="B63" s="1136"/>
      <c r="C63" s="1136"/>
      <c r="D63" s="1136"/>
      <c r="E63" s="1136"/>
      <c r="F63" s="1136"/>
      <c r="G63" s="1136"/>
      <c r="H63" s="1136"/>
      <c r="I63" s="1136"/>
      <c r="J63" s="1136"/>
      <c r="K63" s="1136"/>
      <c r="L63" s="1136"/>
      <c r="M63" s="1136"/>
      <c r="N63" s="1136"/>
      <c r="O63" s="1136"/>
      <c r="P63" s="1136"/>
      <c r="Q63" s="1136"/>
      <c r="R63" s="1136"/>
      <c r="S63" s="1136"/>
      <c r="T63" s="1136"/>
      <c r="U63" s="1136"/>
      <c r="V63" s="1136"/>
      <c r="W63" s="1136"/>
      <c r="X63" s="783"/>
      <c r="Y63" s="1719"/>
      <c r="Z63" s="1718"/>
      <c r="AA63" s="1718"/>
      <c r="AB63" s="1718"/>
      <c r="AC63" s="1718"/>
      <c r="AD63" s="1718"/>
      <c r="AE63" s="1718"/>
      <c r="AF63" s="1720"/>
    </row>
    <row r="64" spans="1:32" ht="18.95" customHeight="1">
      <c r="A64" s="1770" t="s">
        <v>3884</v>
      </c>
      <c r="B64" s="1695"/>
      <c r="C64" s="1695"/>
      <c r="D64" s="767"/>
      <c r="E64" s="767"/>
      <c r="F64" s="767"/>
      <c r="G64" s="767"/>
      <c r="H64" s="1743">
        <f>+H60-H62</f>
        <v>34087</v>
      </c>
      <c r="I64" s="1635"/>
      <c r="J64" s="1635"/>
      <c r="K64" s="1635"/>
      <c r="L64" s="1635"/>
      <c r="M64" s="955"/>
      <c r="N64" s="1709" t="s">
        <v>202</v>
      </c>
      <c r="O64" s="1136"/>
      <c r="P64" s="1136"/>
      <c r="Q64" s="1136"/>
      <c r="R64" s="1136"/>
      <c r="S64" s="1136"/>
      <c r="T64" s="1136"/>
      <c r="U64" s="1136"/>
      <c r="V64" s="1136"/>
      <c r="W64" s="1136"/>
      <c r="X64" s="783"/>
      <c r="Y64" s="549"/>
      <c r="Z64" s="1724"/>
      <c r="AA64" s="1635"/>
      <c r="AB64" s="1635"/>
      <c r="AC64" s="1635"/>
      <c r="AD64" s="1635"/>
      <c r="AE64" s="955"/>
      <c r="AF64" s="550" t="s">
        <v>202</v>
      </c>
    </row>
    <row r="65" spans="1:32" ht="7.5" customHeight="1">
      <c r="A65" s="1771"/>
      <c r="B65" s="1695"/>
      <c r="C65" s="1695"/>
      <c r="D65" s="767"/>
      <c r="E65" s="767"/>
      <c r="F65" s="767"/>
      <c r="G65" s="767"/>
      <c r="H65" s="1718"/>
      <c r="I65" s="1718"/>
      <c r="J65" s="1718"/>
      <c r="K65" s="1718"/>
      <c r="L65" s="1718"/>
      <c r="M65" s="1718"/>
      <c r="N65" s="1718"/>
      <c r="O65" s="1718"/>
      <c r="P65" s="1718"/>
      <c r="Q65" s="1718"/>
      <c r="R65" s="1718"/>
      <c r="S65" s="1718"/>
      <c r="T65" s="1718"/>
      <c r="U65" s="1718"/>
      <c r="V65" s="1718"/>
      <c r="W65" s="1718"/>
      <c r="X65" s="1720"/>
      <c r="Y65" s="1719"/>
      <c r="Z65" s="1718"/>
      <c r="AA65" s="1718"/>
      <c r="AB65" s="1718"/>
      <c r="AC65" s="1718"/>
      <c r="AD65" s="1718"/>
      <c r="AE65" s="1718"/>
      <c r="AF65" s="1720"/>
    </row>
    <row r="66" spans="1:41" ht="21.95" customHeight="1">
      <c r="A66" s="1751" t="s">
        <v>3956</v>
      </c>
      <c r="B66" s="1600"/>
      <c r="C66" s="1600"/>
      <c r="D66" s="1600"/>
      <c r="E66" s="1600"/>
      <c r="F66" s="1600"/>
      <c r="G66" s="1600"/>
      <c r="H66" s="1600"/>
      <c r="I66" s="1600"/>
      <c r="J66" s="1600"/>
      <c r="K66" s="1600"/>
      <c r="L66" s="1600"/>
      <c r="M66" s="1600"/>
      <c r="N66" s="1600"/>
      <c r="O66" s="1600"/>
      <c r="P66" s="1600"/>
      <c r="Q66" s="1600"/>
      <c r="R66" s="1600"/>
      <c r="S66" s="1600"/>
      <c r="T66" s="1600"/>
      <c r="U66" s="1600"/>
      <c r="V66" s="1600"/>
      <c r="W66" s="1600"/>
      <c r="X66" s="1600"/>
      <c r="Y66" s="1600"/>
      <c r="Z66" s="1600"/>
      <c r="AA66" s="1600"/>
      <c r="AB66" s="1600"/>
      <c r="AC66" s="1600"/>
      <c r="AD66" s="1635"/>
      <c r="AE66" s="1600"/>
      <c r="AF66" s="1752"/>
      <c r="AH66" s="631"/>
      <c r="AI66" s="631"/>
      <c r="AJ66" s="631"/>
      <c r="AK66" s="631"/>
      <c r="AL66" s="631"/>
      <c r="AM66" s="631"/>
      <c r="AN66" s="631"/>
      <c r="AO66" s="628"/>
    </row>
    <row r="67" spans="1:41" ht="21.95" customHeight="1">
      <c r="A67" s="1754" t="s">
        <v>3957</v>
      </c>
      <c r="B67" s="1755"/>
      <c r="C67" s="1755"/>
      <c r="D67" s="1755"/>
      <c r="E67" s="1755"/>
      <c r="F67" s="1755"/>
      <c r="G67" s="1755"/>
      <c r="H67" s="1755"/>
      <c r="I67" s="1755"/>
      <c r="J67" s="1755"/>
      <c r="K67" s="1755"/>
      <c r="L67" s="1755"/>
      <c r="M67" s="1755"/>
      <c r="N67" s="1755"/>
      <c r="O67" s="1755"/>
      <c r="P67" s="1755"/>
      <c r="Q67" s="1755"/>
      <c r="R67" s="1755"/>
      <c r="S67" s="1755"/>
      <c r="T67" s="1755"/>
      <c r="U67" s="1755"/>
      <c r="V67" s="1755"/>
      <c r="W67" s="1755"/>
      <c r="X67" s="1755"/>
      <c r="Y67" s="1753"/>
      <c r="Z67" s="1753"/>
      <c r="AA67" s="1753"/>
      <c r="AB67" s="1753"/>
      <c r="AC67" s="632" t="s">
        <v>236</v>
      </c>
      <c r="AD67" s="634"/>
      <c r="AE67" s="633" t="s">
        <v>141</v>
      </c>
      <c r="AF67" s="634" t="s">
        <v>258</v>
      </c>
      <c r="AH67" s="630"/>
      <c r="AI67" s="1749" t="s">
        <v>236</v>
      </c>
      <c r="AJ67" s="1750"/>
      <c r="AK67" s="258"/>
      <c r="AL67" s="1749" t="s">
        <v>141</v>
      </c>
      <c r="AM67" s="1750"/>
      <c r="AN67" s="258" t="s">
        <v>258</v>
      </c>
      <c r="AO67" s="629"/>
    </row>
    <row r="68" spans="1:32" ht="42.75" customHeight="1">
      <c r="A68" s="1765"/>
      <c r="B68" s="741"/>
      <c r="C68" s="741"/>
      <c r="D68" s="741"/>
      <c r="E68" s="741"/>
      <c r="F68" s="741"/>
      <c r="G68" s="741"/>
      <c r="H68" s="741"/>
      <c r="I68" s="741"/>
      <c r="J68" s="741"/>
      <c r="K68" s="741"/>
      <c r="L68" s="741"/>
      <c r="M68" s="741"/>
      <c r="N68" s="741"/>
      <c r="O68" s="741"/>
      <c r="P68" s="741"/>
      <c r="Q68" s="741"/>
      <c r="R68" s="741"/>
      <c r="S68" s="741"/>
      <c r="T68" s="741"/>
      <c r="U68" s="741"/>
      <c r="V68" s="741"/>
      <c r="W68" s="741"/>
      <c r="X68" s="741"/>
      <c r="Y68" s="1136"/>
      <c r="Z68" s="1136"/>
      <c r="AA68" s="1136"/>
      <c r="AB68" s="1136"/>
      <c r="AC68" s="1136"/>
      <c r="AD68" s="1756" t="s">
        <v>170</v>
      </c>
      <c r="AE68" s="1756"/>
      <c r="AF68" s="1757"/>
    </row>
    <row r="69" spans="1:32" ht="12.75">
      <c r="A69" s="1766" t="str">
        <f>+'DAP1'!A46</f>
        <v>Formulář zpracovala ASPEKT HM, daňová, účetní a auditorská kancelář, www.danovapriznani.cz, business.center.cz</v>
      </c>
      <c r="B69" s="1728"/>
      <c r="C69" s="1728"/>
      <c r="D69" s="1728"/>
      <c r="E69" s="1728"/>
      <c r="F69" s="1728"/>
      <c r="G69" s="1728"/>
      <c r="H69" s="1728"/>
      <c r="I69" s="1728"/>
      <c r="J69" s="1728"/>
      <c r="K69" s="1728"/>
      <c r="L69" s="1728"/>
      <c r="M69" s="1728"/>
      <c r="N69" s="1728"/>
      <c r="O69" s="1728"/>
      <c r="P69" s="1728"/>
      <c r="Q69" s="1728"/>
      <c r="R69" s="1728"/>
      <c r="S69" s="1728"/>
      <c r="T69" s="1728"/>
      <c r="U69" s="1728"/>
      <c r="V69" s="1728"/>
      <c r="W69" s="1728"/>
      <c r="X69" s="1728"/>
      <c r="Y69" s="552"/>
      <c r="Z69" s="552"/>
      <c r="AA69" s="552"/>
      <c r="AB69" s="1767" t="s">
        <v>3959</v>
      </c>
      <c r="AC69" s="1768"/>
      <c r="AD69" s="1768"/>
      <c r="AE69" s="1768"/>
      <c r="AF69" s="1769"/>
    </row>
    <row r="70" spans="1:32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ht="12.7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ht="12.7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ht="12.7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ht="12.7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ht="12.7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ht="12.7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ht="12.7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ht="12.7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ht="12.7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ht="12.7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ht="12.7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ht="12.7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ht="12.7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ht="12.7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ht="12.7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ht="12.7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ht="12.7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ht="12.7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ht="12.7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ht="12.7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ht="12.7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ht="12.7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ht="12.7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ht="12.7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ht="12.7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12.7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ht="12.7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ht="12.7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ht="12.7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ht="12.7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ht="12.7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ht="12.7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ht="12.7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ht="12.7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12.7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ht="12.7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ht="12.7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ht="12.7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ht="12.7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ht="12.7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ht="12.7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ht="12.7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ht="12.7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ht="12.7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12.7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ht="12.7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ht="12.7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ht="12.7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ht="12.7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ht="12.7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ht="12.7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ht="12.7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ht="12.7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ht="12.7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ht="12.7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ht="12.7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ht="12.7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ht="12.7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ht="12.7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ht="12.7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ht="12.7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ht="12.7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ht="12.7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ht="12.7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ht="12.7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ht="12.7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ht="12.7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ht="12.7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ht="12.7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ht="12.7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ht="12.7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12.7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ht="12.7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ht="12.7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ht="12.7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ht="12.7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ht="12.7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ht="12.7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ht="12.7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ht="12.7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ht="12.7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ht="12.7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="22" customFormat="1" ht="12.75"/>
    <row r="161" s="22" customFormat="1" ht="12.75"/>
  </sheetData>
  <sheetProtection algorithmName="SHA-512" hashValue="r1rC/7VRvHXl6bZm3I5HBRnYLcDwjd2Ud0jFTHW68ut5+ab4YRs0yK5y1Rff5iS1gMkSzliWKo3wCcU1ebZ4vQ==" saltValue="58qbLiTpu1/6S35cCDuPLA==" spinCount="100000" sheet="1" objects="1" scenarios="1"/>
  <mergeCells count="204">
    <mergeCell ref="A69:X69"/>
    <mergeCell ref="AB69:AF69"/>
    <mergeCell ref="A64:C65"/>
    <mergeCell ref="D64:G65"/>
    <mergeCell ref="H64:M64"/>
    <mergeCell ref="N64:X64"/>
    <mergeCell ref="Z64:AE64"/>
    <mergeCell ref="H65:X65"/>
    <mergeCell ref="Y65:AF65"/>
    <mergeCell ref="AI67:AJ67"/>
    <mergeCell ref="AL67:AM67"/>
    <mergeCell ref="A66:AF66"/>
    <mergeCell ref="Y67:AB67"/>
    <mergeCell ref="A67:X67"/>
    <mergeCell ref="AD68:AF68"/>
    <mergeCell ref="A62:G62"/>
    <mergeCell ref="H62:M62"/>
    <mergeCell ref="N62:X62"/>
    <mergeCell ref="Z62:AE62"/>
    <mergeCell ref="A63:X63"/>
    <mergeCell ref="Y63:AF63"/>
    <mergeCell ref="A68:AC68"/>
    <mergeCell ref="A61:X61"/>
    <mergeCell ref="Y61:AF61"/>
    <mergeCell ref="A60:G60"/>
    <mergeCell ref="H60:M60"/>
    <mergeCell ref="N60:X60"/>
    <mergeCell ref="Z60:AE60"/>
    <mergeCell ref="A58:G58"/>
    <mergeCell ref="H58:M58"/>
    <mergeCell ref="N58:X58"/>
    <mergeCell ref="Z58:AE58"/>
    <mergeCell ref="A59:X59"/>
    <mergeCell ref="Y59:AF59"/>
    <mergeCell ref="A56:G56"/>
    <mergeCell ref="H56:M56"/>
    <mergeCell ref="N56:X56"/>
    <mergeCell ref="Z56:AE56"/>
    <mergeCell ref="A57:X57"/>
    <mergeCell ref="Y57:AF57"/>
    <mergeCell ref="A55:X55"/>
    <mergeCell ref="Y55:AF55"/>
    <mergeCell ref="H51:O51"/>
    <mergeCell ref="Y51:AF52"/>
    <mergeCell ref="A52:G52"/>
    <mergeCell ref="H52:M52"/>
    <mergeCell ref="N52:O52"/>
    <mergeCell ref="A53:G53"/>
    <mergeCell ref="H53:O53"/>
    <mergeCell ref="Y53:AF53"/>
    <mergeCell ref="A49:X49"/>
    <mergeCell ref="Y49:AF49"/>
    <mergeCell ref="A50:G50"/>
    <mergeCell ref="H50:M50"/>
    <mergeCell ref="N50:O50"/>
    <mergeCell ref="P50:U54"/>
    <mergeCell ref="V50:X54"/>
    <mergeCell ref="Z50:AE50"/>
    <mergeCell ref="A51:G51"/>
    <mergeCell ref="A54:G54"/>
    <mergeCell ref="H54:M54"/>
    <mergeCell ref="N54:O54"/>
    <mergeCell ref="Z54:AE54"/>
    <mergeCell ref="A47:G47"/>
    <mergeCell ref="H47:M47"/>
    <mergeCell ref="P47:U47"/>
    <mergeCell ref="V47:X47"/>
    <mergeCell ref="Y47:AF47"/>
    <mergeCell ref="A48:G48"/>
    <mergeCell ref="H48:M48"/>
    <mergeCell ref="N48:O48"/>
    <mergeCell ref="P48:U48"/>
    <mergeCell ref="V48:X48"/>
    <mergeCell ref="Z48:AE48"/>
    <mergeCell ref="A46:G46"/>
    <mergeCell ref="H46:M46"/>
    <mergeCell ref="N46:O46"/>
    <mergeCell ref="P46:U46"/>
    <mergeCell ref="V46:X46"/>
    <mergeCell ref="Z46:AE46"/>
    <mergeCell ref="Z44:AE44"/>
    <mergeCell ref="A45:G45"/>
    <mergeCell ref="H45:M45"/>
    <mergeCell ref="P45:U45"/>
    <mergeCell ref="V45:X45"/>
    <mergeCell ref="Y45:AF45"/>
    <mergeCell ref="A43:G43"/>
    <mergeCell ref="H43:M43"/>
    <mergeCell ref="P43:U43"/>
    <mergeCell ref="V43:X43"/>
    <mergeCell ref="Y43:AF43"/>
    <mergeCell ref="A44:G44"/>
    <mergeCell ref="H44:M44"/>
    <mergeCell ref="N44:O44"/>
    <mergeCell ref="P44:U44"/>
    <mergeCell ref="V44:X44"/>
    <mergeCell ref="A41:X41"/>
    <mergeCell ref="Y41:AF41"/>
    <mergeCell ref="A42:G42"/>
    <mergeCell ref="H42:M42"/>
    <mergeCell ref="N42:X42"/>
    <mergeCell ref="Z42:AE42"/>
    <mergeCell ref="AB39:AC39"/>
    <mergeCell ref="AD39:AF39"/>
    <mergeCell ref="A40:O40"/>
    <mergeCell ref="Q40:T40"/>
    <mergeCell ref="V40:X40"/>
    <mergeCell ref="AA40:AD40"/>
    <mergeCell ref="A39:N39"/>
    <mergeCell ref="O39:Q39"/>
    <mergeCell ref="R39:S39"/>
    <mergeCell ref="T39:V39"/>
    <mergeCell ref="W39:X39"/>
    <mergeCell ref="Y39:AA39"/>
    <mergeCell ref="AB37:AC37"/>
    <mergeCell ref="AD37:AF37"/>
    <mergeCell ref="A38:O38"/>
    <mergeCell ref="Q38:T38"/>
    <mergeCell ref="V38:X38"/>
    <mergeCell ref="AA38:AD38"/>
    <mergeCell ref="A37:N37"/>
    <mergeCell ref="O37:Q37"/>
    <mergeCell ref="R37:S37"/>
    <mergeCell ref="T37:V37"/>
    <mergeCell ref="W37:X37"/>
    <mergeCell ref="Y37:AA37"/>
    <mergeCell ref="A33:AF33"/>
    <mergeCell ref="A34:AF34"/>
    <mergeCell ref="A35:X35"/>
    <mergeCell ref="Y35:AF35"/>
    <mergeCell ref="A36:G36"/>
    <mergeCell ref="H36:M36"/>
    <mergeCell ref="N36:X36"/>
    <mergeCell ref="Y36:AF36"/>
    <mergeCell ref="A29:AF29"/>
    <mergeCell ref="A30:F30"/>
    <mergeCell ref="H30:K30"/>
    <mergeCell ref="L30:AD30"/>
    <mergeCell ref="A31:AF31"/>
    <mergeCell ref="A32:F32"/>
    <mergeCell ref="H32:K32"/>
    <mergeCell ref="L32:AD32"/>
    <mergeCell ref="A24:E25"/>
    <mergeCell ref="G25:AF25"/>
    <mergeCell ref="A26:AF26"/>
    <mergeCell ref="A27:AF27"/>
    <mergeCell ref="A28:F28"/>
    <mergeCell ref="H28:K28"/>
    <mergeCell ref="L28:AD28"/>
    <mergeCell ref="A20:E20"/>
    <mergeCell ref="A21:F21"/>
    <mergeCell ref="AD21:AF21"/>
    <mergeCell ref="A22:E22"/>
    <mergeCell ref="A23:F23"/>
    <mergeCell ref="AD23:AF23"/>
    <mergeCell ref="A17:AF17"/>
    <mergeCell ref="A18:N18"/>
    <mergeCell ref="P18:T18"/>
    <mergeCell ref="V18:Z18"/>
    <mergeCell ref="AB18:AF18"/>
    <mergeCell ref="A19:F19"/>
    <mergeCell ref="AD19:AF19"/>
    <mergeCell ref="A14:B14"/>
    <mergeCell ref="D14:N14"/>
    <mergeCell ref="P14:W14"/>
    <mergeCell ref="Y14:AF14"/>
    <mergeCell ref="A15:AF15"/>
    <mergeCell ref="A16:AF16"/>
    <mergeCell ref="A12:B12"/>
    <mergeCell ref="D12:N12"/>
    <mergeCell ref="P12:T12"/>
    <mergeCell ref="V12:AF12"/>
    <mergeCell ref="A13:B13"/>
    <mergeCell ref="D13:N13"/>
    <mergeCell ref="P13:W13"/>
    <mergeCell ref="Y13:AF13"/>
    <mergeCell ref="A10:F10"/>
    <mergeCell ref="H10:O10"/>
    <mergeCell ref="Q10:W10"/>
    <mergeCell ref="Y10:AF10"/>
    <mergeCell ref="A11:B11"/>
    <mergeCell ref="D11:N11"/>
    <mergeCell ref="P11:T11"/>
    <mergeCell ref="V11:AF11"/>
    <mergeCell ref="B1:Z1"/>
    <mergeCell ref="AA1:AE3"/>
    <mergeCell ref="B2:Z2"/>
    <mergeCell ref="A3:C3"/>
    <mergeCell ref="E3:I3"/>
    <mergeCell ref="S3:W3"/>
    <mergeCell ref="A7:AF7"/>
    <mergeCell ref="A8:AF8"/>
    <mergeCell ref="A9:F9"/>
    <mergeCell ref="H9:J9"/>
    <mergeCell ref="Q9:W9"/>
    <mergeCell ref="Y9:AF9"/>
    <mergeCell ref="A4:J4"/>
    <mergeCell ref="L4:P4"/>
    <mergeCell ref="R4:AF4"/>
    <mergeCell ref="A5:F5"/>
    <mergeCell ref="G5:T6"/>
    <mergeCell ref="U5:AF5"/>
    <mergeCell ref="A6:F6"/>
    <mergeCell ref="U6:AF6"/>
  </mergeCells>
  <printOptions horizontalCentered="1" verticalCentered="1"/>
  <pageMargins left="0.196850393700787" right="0.196850393700787" top="0.393700787401575" bottom="0.393700787401575" header="0.511811023622047" footer="0.511811023622047"/>
  <pageSetup orientation="portrait" paperSize="9" scale="80" r:id="rId4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67D34A6-C4E2-4143-8481-752AEF3669E1}">
  <sheetPr>
    <tabColor rgb="FFFFFF99"/>
    <pageSetUpPr fitToPage="1"/>
  </sheetPr>
  <dimension ref="A1:CI77"/>
  <sheetViews>
    <sheetView workbookViewId="0" topLeftCell="A1">
      <selection pane="topLeft" activeCell="A10" sqref="A10:AO10"/>
    </sheetView>
  </sheetViews>
  <sheetFormatPr defaultColWidth="9.14428571428571" defaultRowHeight="12.75"/>
  <cols>
    <col min="1" max="2" width="2.42857142857143" style="118" customWidth="1"/>
    <col min="3" max="3" width="16.7142857142857" style="118" customWidth="1"/>
    <col min="4" max="4" width="3.14285714285714" style="118" customWidth="1"/>
    <col min="5" max="5" width="2.42857142857143" style="118" customWidth="1"/>
    <col min="6" max="6" width="1.71428571428571" style="118" customWidth="1"/>
    <col min="7" max="40" width="2.42857142857143" style="118" customWidth="1"/>
    <col min="41" max="41" width="3" style="118" customWidth="1"/>
    <col min="42" max="81" width="9.14285714285714" style="22"/>
    <col min="82" max="16384" width="9.14285714285714" style="118"/>
  </cols>
  <sheetData>
    <row r="1" spans="1:41 82:83" ht="18" customHeight="1">
      <c r="A1" s="1624"/>
      <c r="B1" s="1641"/>
      <c r="C1" s="1641"/>
      <c r="D1" s="1777" t="s">
        <v>3963</v>
      </c>
      <c r="E1" s="1777"/>
      <c r="F1" s="1777"/>
      <c r="G1" s="1777"/>
      <c r="H1" s="1777"/>
      <c r="I1" s="1777"/>
      <c r="J1" s="1777"/>
      <c r="K1" s="1777"/>
      <c r="L1" s="1641"/>
      <c r="M1" s="1641"/>
      <c r="N1" s="1641"/>
      <c r="O1" s="1641"/>
      <c r="P1" s="1641"/>
      <c r="Q1" s="1641"/>
      <c r="R1" s="1641"/>
      <c r="S1" s="1641"/>
      <c r="T1" s="1641"/>
      <c r="U1" s="1641"/>
      <c r="V1" s="1641"/>
      <c r="W1" s="1641"/>
      <c r="X1" s="1641"/>
      <c r="Y1" s="1641"/>
      <c r="Z1" s="1641"/>
      <c r="AA1" s="1641"/>
      <c r="AB1" s="1641"/>
      <c r="AC1" s="1641"/>
      <c r="AD1" s="1641"/>
      <c r="AE1" s="1641"/>
      <c r="AF1" s="1641"/>
      <c r="AG1" s="1641"/>
      <c r="AH1" s="1641"/>
      <c r="AI1" s="1641"/>
      <c r="AJ1" s="538"/>
      <c r="AK1" s="538"/>
      <c r="AL1" s="538"/>
      <c r="AM1" s="538"/>
      <c r="AN1" s="538"/>
      <c r="AO1" s="538"/>
      <c r="CD1" s="22"/>
      <c r="CE1" s="22"/>
    </row>
    <row r="2" spans="1:41 82:83" ht="12.75">
      <c r="A2" s="1641"/>
      <c r="B2" s="1641"/>
      <c r="C2" s="1641"/>
      <c r="D2" s="1778"/>
      <c r="E2" s="733"/>
      <c r="F2" s="733"/>
      <c r="G2" s="733"/>
      <c r="H2" s="733"/>
      <c r="I2" s="733"/>
      <c r="J2" s="733"/>
      <c r="K2" s="733"/>
      <c r="L2" s="733"/>
      <c r="M2" s="733"/>
      <c r="N2" s="1779" t="s">
        <v>158</v>
      </c>
      <c r="O2" s="1780"/>
      <c r="P2" s="1780"/>
      <c r="Q2" s="1780"/>
      <c r="R2" s="1780"/>
      <c r="S2" s="1780"/>
      <c r="T2" s="1780"/>
      <c r="U2" s="1780"/>
      <c r="V2" s="1780"/>
      <c r="W2" s="1641"/>
      <c r="X2" s="733"/>
      <c r="Y2" s="733"/>
      <c r="Z2" s="733"/>
      <c r="AA2" s="733"/>
      <c r="AB2" s="733"/>
      <c r="AC2" s="733"/>
      <c r="AD2" s="733"/>
      <c r="AE2" s="733"/>
      <c r="AF2" s="733"/>
      <c r="AG2" s="733"/>
      <c r="AH2" s="733"/>
      <c r="AI2" s="20"/>
      <c r="AJ2" s="538"/>
      <c r="AK2" s="538"/>
      <c r="AL2" s="538"/>
      <c r="AM2" s="538"/>
      <c r="AN2" s="538"/>
      <c r="AO2" s="538"/>
      <c r="CD2" s="22"/>
      <c r="CE2" s="22"/>
    </row>
    <row r="3" spans="1:41 82:83" ht="12.75">
      <c r="A3" s="1641"/>
      <c r="B3" s="1641"/>
      <c r="C3" s="1641"/>
      <c r="D3" s="733"/>
      <c r="E3" s="733"/>
      <c r="F3" s="733"/>
      <c r="G3" s="733"/>
      <c r="H3" s="733"/>
      <c r="I3" s="733"/>
      <c r="J3" s="733"/>
      <c r="K3" s="733"/>
      <c r="L3" s="733"/>
      <c r="M3" s="733"/>
      <c r="N3" s="1781" t="str">
        <f>+'SP1'!Y10</f>
        <v/>
      </c>
      <c r="O3" s="1782"/>
      <c r="P3" s="1782"/>
      <c r="Q3" s="1782"/>
      <c r="R3" s="1782"/>
      <c r="S3" s="1782"/>
      <c r="T3" s="1782"/>
      <c r="U3" s="1782"/>
      <c r="V3" s="1387"/>
      <c r="W3" s="1783"/>
      <c r="X3" s="1784"/>
      <c r="Y3" s="1784"/>
      <c r="Z3" s="1784"/>
      <c r="AA3" s="1784"/>
      <c r="AB3" s="1784"/>
      <c r="AC3" s="1784"/>
      <c r="AD3" s="1784"/>
      <c r="AE3" s="1784"/>
      <c r="AF3" s="1784"/>
      <c r="AG3" s="1784"/>
      <c r="AH3" s="1784"/>
      <c r="AI3" s="1784"/>
      <c r="AJ3" s="1784"/>
      <c r="AK3" s="1784"/>
      <c r="AL3" s="1784"/>
      <c r="AM3" s="1784"/>
      <c r="AN3" s="1784"/>
      <c r="AO3" s="1784"/>
      <c r="CD3" s="22"/>
      <c r="CE3" s="22"/>
    </row>
    <row r="4" spans="1:41" ht="5.1" customHeight="1">
      <c r="A4" s="1624"/>
      <c r="B4" s="1624"/>
      <c r="C4" s="1624"/>
      <c r="D4" s="1624"/>
      <c r="E4" s="1624"/>
      <c r="F4" s="1624"/>
      <c r="G4" s="1624"/>
      <c r="H4" s="1624"/>
      <c r="I4" s="1624"/>
      <c r="J4" s="1624"/>
      <c r="K4" s="1624"/>
      <c r="L4" s="1624"/>
      <c r="M4" s="1624"/>
      <c r="N4" s="1624"/>
      <c r="O4" s="1624"/>
      <c r="P4" s="1624"/>
      <c r="Q4" s="1624"/>
      <c r="R4" s="1624"/>
      <c r="S4" s="1624"/>
      <c r="T4" s="1624"/>
      <c r="U4" s="1624"/>
      <c r="V4" s="1624"/>
      <c r="W4" s="1624"/>
      <c r="X4" s="1624"/>
      <c r="Y4" s="1624"/>
      <c r="Z4" s="1624"/>
      <c r="AA4" s="1624"/>
      <c r="AB4" s="1641"/>
      <c r="AC4" s="1641"/>
      <c r="AD4" s="1641"/>
      <c r="AE4" s="1641"/>
      <c r="AF4" s="1641"/>
      <c r="AG4" s="1641"/>
      <c r="AH4" s="1641"/>
      <c r="AI4" s="1641"/>
      <c r="AJ4" s="1641"/>
      <c r="AK4" s="1641"/>
      <c r="AL4" s="1641"/>
      <c r="AM4" s="1641"/>
      <c r="AN4" s="1641"/>
      <c r="AO4" s="1641"/>
    </row>
    <row r="5" spans="1:41" ht="12" customHeight="1">
      <c r="A5" s="1628" t="s">
        <v>3960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69"/>
    </row>
    <row r="6" spans="1:41" ht="4.5" customHeight="1">
      <c r="A6" s="1703"/>
      <c r="B6" s="1136"/>
      <c r="C6" s="1136"/>
      <c r="D6" s="1136"/>
      <c r="E6" s="1136"/>
      <c r="F6" s="1136"/>
      <c r="G6" s="1136"/>
      <c r="H6" s="1136"/>
      <c r="I6" s="1136"/>
      <c r="J6" s="1136"/>
      <c r="K6" s="1136"/>
      <c r="L6" s="1136"/>
      <c r="M6" s="1136"/>
      <c r="N6" s="1136"/>
      <c r="O6" s="1136"/>
      <c r="P6" s="1136"/>
      <c r="Q6" s="1136"/>
      <c r="R6" s="1136"/>
      <c r="S6" s="1136"/>
      <c r="T6" s="1136"/>
      <c r="U6" s="1136"/>
      <c r="V6" s="1136"/>
      <c r="W6" s="1136"/>
      <c r="X6" s="1136"/>
      <c r="Y6" s="1136"/>
      <c r="Z6" s="1136"/>
      <c r="AA6" s="1136"/>
      <c r="AB6" s="1136"/>
      <c r="AC6" s="1136"/>
      <c r="AD6" s="1136"/>
      <c r="AE6" s="1136"/>
      <c r="AF6" s="1136"/>
      <c r="AG6" s="1136"/>
      <c r="AH6" s="1136"/>
      <c r="AI6" s="1136"/>
      <c r="AJ6" s="1136"/>
      <c r="AK6" s="1136"/>
      <c r="AL6" s="1136"/>
      <c r="AM6" s="1136"/>
      <c r="AN6" s="1136"/>
      <c r="AO6" s="783"/>
    </row>
    <row r="7" spans="1:41" ht="18.75" customHeight="1">
      <c r="A7" s="1785" t="s">
        <v>3966</v>
      </c>
      <c r="B7" s="767"/>
      <c r="C7" s="767"/>
      <c r="D7" s="767"/>
      <c r="E7" s="767"/>
      <c r="F7" s="767"/>
      <c r="G7" s="1136"/>
      <c r="H7" s="1136"/>
      <c r="I7" s="1136"/>
      <c r="J7" s="1136"/>
      <c r="K7" s="1714"/>
      <c r="L7" s="584" t="s">
        <v>258</v>
      </c>
      <c r="M7" s="1786" t="s">
        <v>3967</v>
      </c>
      <c r="N7" s="1136"/>
      <c r="O7" s="1136"/>
      <c r="P7" s="1714"/>
      <c r="Q7" s="584"/>
      <c r="R7" s="1786" t="s">
        <v>3968</v>
      </c>
      <c r="S7" s="1136"/>
      <c r="T7" s="1136"/>
      <c r="U7" s="1787" t="s">
        <v>3969</v>
      </c>
      <c r="V7" s="1787"/>
      <c r="W7" s="1787"/>
      <c r="X7" s="1787"/>
      <c r="Y7" s="1787"/>
      <c r="Z7" s="1787"/>
      <c r="AA7" s="1787"/>
      <c r="AB7" s="1787"/>
      <c r="AC7" s="1787"/>
      <c r="AD7" s="1787"/>
      <c r="AE7" s="1787"/>
      <c r="AF7" s="1787"/>
      <c r="AG7" s="1787"/>
      <c r="AH7" s="1787"/>
      <c r="AI7" s="1787"/>
      <c r="AJ7" s="1787"/>
      <c r="AK7" s="1787"/>
      <c r="AL7" s="1787"/>
      <c r="AM7" s="1788"/>
      <c r="AN7" s="584"/>
      <c r="AO7" s="698"/>
    </row>
    <row r="8" spans="1:41" ht="5.1" customHeight="1" thickBot="1">
      <c r="A8" s="1792"/>
      <c r="B8" s="1136"/>
      <c r="C8" s="1136"/>
      <c r="D8" s="1136"/>
      <c r="E8" s="1136"/>
      <c r="F8" s="1136"/>
      <c r="G8" s="1136"/>
      <c r="H8" s="1136"/>
      <c r="I8" s="1136"/>
      <c r="J8" s="1136"/>
      <c r="K8" s="1136"/>
      <c r="L8" s="1136"/>
      <c r="M8" s="1136"/>
      <c r="N8" s="1136"/>
      <c r="O8" s="1136"/>
      <c r="P8" s="1136"/>
      <c r="Q8" s="1136"/>
      <c r="R8" s="1136"/>
      <c r="S8" s="1136"/>
      <c r="T8" s="1136"/>
      <c r="U8" s="1136"/>
      <c r="V8" s="1136"/>
      <c r="W8" s="1136"/>
      <c r="X8" s="1136"/>
      <c r="Y8" s="1136"/>
      <c r="Z8" s="1136"/>
      <c r="AA8" s="1136"/>
      <c r="AB8" s="1136"/>
      <c r="AC8" s="1136"/>
      <c r="AD8" s="1136"/>
      <c r="AE8" s="1136"/>
      <c r="AF8" s="1136"/>
      <c r="AG8" s="1136"/>
      <c r="AH8" s="1136"/>
      <c r="AI8" s="1136"/>
      <c r="AJ8" s="1136"/>
      <c r="AK8" s="1136"/>
      <c r="AL8" s="1136"/>
      <c r="AM8" s="1136"/>
      <c r="AN8" s="1136"/>
      <c r="AO8" s="1714"/>
    </row>
    <row r="9" spans="1:41" ht="18.95" customHeight="1" thickBot="1">
      <c r="A9" s="1633" t="s">
        <v>3886</v>
      </c>
      <c r="B9" s="1136"/>
      <c r="C9" s="1136"/>
      <c r="D9" s="1793">
        <f>IF(('SP1'!P38+'SP1'!U38)=0,0,CEILING(IF(OR(EXACT(L7,"X"),EXACT(L7,"x")),MIN(161297,MAX(10082,'SP1'!H36*0.5/('SP1'!P38+'SP1'!U38))),MIN(161297,MAX(4034,'SP1'!H36*0.5/('SP1'!P38+'SP1'!U38)))),1))</f>
        <v>10082</v>
      </c>
      <c r="E9" s="1794"/>
      <c r="F9" s="1794"/>
      <c r="G9" s="1794"/>
      <c r="H9" s="1794"/>
      <c r="I9" s="1794"/>
      <c r="J9" s="1795"/>
      <c r="K9" s="1796" t="s">
        <v>3888</v>
      </c>
      <c r="L9" s="819"/>
      <c r="M9" s="819"/>
      <c r="N9" s="819"/>
      <c r="O9" s="819"/>
      <c r="P9" s="819"/>
      <c r="Q9" s="819"/>
      <c r="R9" s="819"/>
      <c r="S9" s="1793">
        <f>+CEILING(D9*0.292,1)</f>
        <v>2944</v>
      </c>
      <c r="T9" s="1794"/>
      <c r="U9" s="1794"/>
      <c r="V9" s="1794"/>
      <c r="W9" s="1794"/>
      <c r="X9" s="1794"/>
      <c r="Y9" s="1795"/>
      <c r="Z9" s="1796" t="s">
        <v>3887</v>
      </c>
      <c r="AA9" s="819"/>
      <c r="AB9" s="819"/>
      <c r="AC9" s="819"/>
      <c r="AD9" s="819"/>
      <c r="AE9" s="819"/>
      <c r="AF9" s="819"/>
      <c r="AG9" s="819"/>
      <c r="AH9" s="1793">
        <f>+CEILING(MAX(168,+'SP1'!H52/('SP1'!P40+'SP1'!U40)*0.021),1)</f>
        <v>205</v>
      </c>
      <c r="AI9" s="1794"/>
      <c r="AJ9" s="1794"/>
      <c r="AK9" s="1794"/>
      <c r="AL9" s="1794"/>
      <c r="AM9" s="1794"/>
      <c r="AN9" s="1795"/>
      <c r="AO9" s="686"/>
    </row>
    <row r="10" spans="1:41" ht="4.5" customHeight="1">
      <c r="A10" s="1703"/>
      <c r="B10" s="1136"/>
      <c r="C10" s="1136"/>
      <c r="D10" s="1136"/>
      <c r="E10" s="1136"/>
      <c r="F10" s="1136"/>
      <c r="G10" s="1136"/>
      <c r="H10" s="1136"/>
      <c r="I10" s="1136"/>
      <c r="J10" s="1136"/>
      <c r="K10" s="1136"/>
      <c r="L10" s="1136"/>
      <c r="M10" s="1136"/>
      <c r="N10" s="1136"/>
      <c r="O10" s="1136"/>
      <c r="P10" s="1136"/>
      <c r="Q10" s="1136"/>
      <c r="R10" s="1136"/>
      <c r="S10" s="1136"/>
      <c r="T10" s="1136"/>
      <c r="U10" s="1136"/>
      <c r="V10" s="1136"/>
      <c r="W10" s="1136"/>
      <c r="X10" s="1136"/>
      <c r="Y10" s="1136"/>
      <c r="Z10" s="1136"/>
      <c r="AA10" s="1136"/>
      <c r="AB10" s="1136"/>
      <c r="AC10" s="1136"/>
      <c r="AD10" s="1136"/>
      <c r="AE10" s="1136"/>
      <c r="AF10" s="1136"/>
      <c r="AG10" s="1136"/>
      <c r="AH10" s="1136"/>
      <c r="AI10" s="1136"/>
      <c r="AJ10" s="1136"/>
      <c r="AK10" s="1136"/>
      <c r="AL10" s="1136"/>
      <c r="AM10" s="1136"/>
      <c r="AN10" s="1136"/>
      <c r="AO10" s="783"/>
    </row>
    <row r="11" spans="1:41" ht="12.75">
      <c r="A11" s="1628" t="s">
        <v>3769</v>
      </c>
      <c r="B11" s="1670"/>
      <c r="C11" s="1670"/>
      <c r="D11" s="1670"/>
      <c r="E11" s="1670"/>
      <c r="F11" s="1670"/>
      <c r="G11" s="1670"/>
      <c r="H11" s="1670"/>
      <c r="I11" s="1670"/>
      <c r="J11" s="1670"/>
      <c r="K11" s="1670"/>
      <c r="L11" s="1670"/>
      <c r="M11" s="1670"/>
      <c r="N11" s="1670"/>
      <c r="O11" s="1670"/>
      <c r="P11" s="1670"/>
      <c r="Q11" s="1670"/>
      <c r="R11" s="1670"/>
      <c r="S11" s="1670"/>
      <c r="T11" s="1670"/>
      <c r="U11" s="1670"/>
      <c r="V11" s="1670"/>
      <c r="W11" s="1670"/>
      <c r="X11" s="1670"/>
      <c r="Y11" s="1670"/>
      <c r="Z11" s="1670"/>
      <c r="AA11" s="1670"/>
      <c r="AB11" s="1670"/>
      <c r="AC11" s="1670"/>
      <c r="AD11" s="1670"/>
      <c r="AE11" s="1670"/>
      <c r="AF11" s="1670"/>
      <c r="AG11" s="1670"/>
      <c r="AH11" s="1670"/>
      <c r="AI11" s="1670"/>
      <c r="AJ11" s="1670"/>
      <c r="AK11" s="1670"/>
      <c r="AL11" s="1670"/>
      <c r="AM11" s="1670"/>
      <c r="AN11" s="1670"/>
      <c r="AO11" s="1669"/>
    </row>
    <row r="12" spans="1:41" ht="5.1" customHeight="1">
      <c r="A12" s="1789"/>
      <c r="B12" s="1790"/>
      <c r="C12" s="1790"/>
      <c r="D12" s="1790"/>
      <c r="E12" s="1790"/>
      <c r="F12" s="1790"/>
      <c r="G12" s="1790"/>
      <c r="H12" s="1790"/>
      <c r="I12" s="1790"/>
      <c r="J12" s="1790"/>
      <c r="K12" s="1790"/>
      <c r="L12" s="1790"/>
      <c r="M12" s="1790"/>
      <c r="N12" s="1790"/>
      <c r="O12" s="1790"/>
      <c r="P12" s="1790"/>
      <c r="Q12" s="1790"/>
      <c r="R12" s="1790"/>
      <c r="S12" s="1790"/>
      <c r="T12" s="1790"/>
      <c r="U12" s="1790"/>
      <c r="V12" s="1790"/>
      <c r="W12" s="1790"/>
      <c r="X12" s="1790"/>
      <c r="Y12" s="1790"/>
      <c r="Z12" s="1790"/>
      <c r="AA12" s="1790"/>
      <c r="AB12" s="1790"/>
      <c r="AC12" s="1790"/>
      <c r="AD12" s="1790"/>
      <c r="AE12" s="1790"/>
      <c r="AF12" s="1790"/>
      <c r="AG12" s="1790"/>
      <c r="AH12" s="1790"/>
      <c r="AI12" s="1790"/>
      <c r="AJ12" s="1790"/>
      <c r="AK12" s="1790"/>
      <c r="AL12" s="1790"/>
      <c r="AM12" s="1790"/>
      <c r="AN12" s="1790"/>
      <c r="AO12" s="1791"/>
    </row>
    <row r="13" spans="1:41" ht="18.95" customHeight="1">
      <c r="A13" s="1797" t="s">
        <v>327</v>
      </c>
      <c r="B13" s="1136"/>
      <c r="C13" s="1136"/>
      <c r="D13" s="1136"/>
      <c r="E13" s="1136"/>
      <c r="F13" s="1136"/>
      <c r="G13" s="1798">
        <f>+IF('SP1'!H64&lt;0,-'SP1'!H64,0)</f>
        <v>0</v>
      </c>
      <c r="H13" s="1799"/>
      <c r="I13" s="1799"/>
      <c r="J13" s="1799"/>
      <c r="K13" s="1799"/>
      <c r="L13" s="1799"/>
      <c r="M13" s="1799"/>
      <c r="N13" s="1799"/>
      <c r="O13" s="1800"/>
      <c r="P13" s="1797" t="s">
        <v>202</v>
      </c>
      <c r="Q13" s="1136"/>
      <c r="R13" s="1625" t="s">
        <v>3990</v>
      </c>
      <c r="S13" s="741"/>
      <c r="T13" s="741"/>
      <c r="U13" s="741"/>
      <c r="V13" s="741"/>
      <c r="W13" s="741"/>
      <c r="X13" s="741"/>
      <c r="Y13" s="741"/>
      <c r="Z13" s="741"/>
      <c r="AA13" s="741"/>
      <c r="AB13" s="741"/>
      <c r="AC13" s="741"/>
      <c r="AD13" s="741"/>
      <c r="AE13" s="741"/>
      <c r="AF13" s="741"/>
      <c r="AG13" s="741"/>
      <c r="AH13" s="741"/>
      <c r="AI13" s="741"/>
      <c r="AJ13" s="741"/>
      <c r="AK13" s="741"/>
      <c r="AL13" s="741"/>
      <c r="AM13" s="1801"/>
      <c r="AN13" s="705"/>
      <c r="AO13" s="706"/>
    </row>
    <row r="14" spans="1:41" ht="5.1" customHeight="1">
      <c r="A14" s="1703"/>
      <c r="B14" s="1692"/>
      <c r="C14" s="1692"/>
      <c r="D14" s="1692"/>
      <c r="E14" s="1692"/>
      <c r="F14" s="1692"/>
      <c r="G14" s="1692"/>
      <c r="H14" s="1692"/>
      <c r="I14" s="1692"/>
      <c r="J14" s="1692"/>
      <c r="K14" s="1692"/>
      <c r="L14" s="1692"/>
      <c r="M14" s="1692"/>
      <c r="N14" s="1692"/>
      <c r="O14" s="1692"/>
      <c r="P14" s="1692"/>
      <c r="Q14" s="1692"/>
      <c r="R14" s="1692"/>
      <c r="S14" s="1692"/>
      <c r="T14" s="1692"/>
      <c r="U14" s="1692"/>
      <c r="V14" s="1692"/>
      <c r="W14" s="1692"/>
      <c r="X14" s="1692"/>
      <c r="Y14" s="1692"/>
      <c r="Z14" s="1692"/>
      <c r="AA14" s="1692"/>
      <c r="AB14" s="1692"/>
      <c r="AC14" s="1692"/>
      <c r="AD14" s="1692"/>
      <c r="AE14" s="1692"/>
      <c r="AF14" s="1692"/>
      <c r="AG14" s="1692"/>
      <c r="AH14" s="1692"/>
      <c r="AI14" s="1692"/>
      <c r="AJ14" s="1692"/>
      <c r="AK14" s="1692"/>
      <c r="AL14" s="1692"/>
      <c r="AM14" s="1692"/>
      <c r="AN14" s="1692"/>
      <c r="AO14" s="1774"/>
    </row>
    <row r="15" spans="1:41" ht="12.75">
      <c r="A15" s="1729" t="s">
        <v>3770</v>
      </c>
      <c r="B15" s="1682"/>
      <c r="C15" s="1682"/>
      <c r="D15" s="1682"/>
      <c r="E15" s="1682"/>
      <c r="F15" s="1682"/>
      <c r="G15" s="1682"/>
      <c r="H15" s="1682"/>
      <c r="I15" s="1682"/>
      <c r="J15" s="1682"/>
      <c r="K15" s="1682"/>
      <c r="L15" s="1682"/>
      <c r="M15" s="1682"/>
      <c r="N15" s="1682"/>
      <c r="O15" s="1682"/>
      <c r="P15" s="1682"/>
      <c r="Q15" s="1682"/>
      <c r="R15" s="1682"/>
      <c r="S15" s="1682"/>
      <c r="T15" s="1682"/>
      <c r="U15" s="1682"/>
      <c r="V15" s="1682"/>
      <c r="W15" s="1682"/>
      <c r="X15" s="1682"/>
      <c r="Y15" s="1682"/>
      <c r="Z15" s="1682"/>
      <c r="AA15" s="1682"/>
      <c r="AB15" s="1682"/>
      <c r="AC15" s="1682"/>
      <c r="AD15" s="1682"/>
      <c r="AE15" s="1682"/>
      <c r="AF15" s="1682"/>
      <c r="AG15" s="1682"/>
      <c r="AH15" s="1682"/>
      <c r="AI15" s="1682"/>
      <c r="AJ15" s="1682"/>
      <c r="AK15" s="1682"/>
      <c r="AL15" s="1682"/>
      <c r="AM15" s="1682"/>
      <c r="AN15" s="1682"/>
      <c r="AO15" s="1804"/>
    </row>
    <row r="16" spans="1:41" ht="15" customHeight="1">
      <c r="A16" s="532" t="s">
        <v>234</v>
      </c>
      <c r="B16" s="258"/>
      <c r="C16" s="540" t="s">
        <v>3529</v>
      </c>
      <c r="D16" s="1802"/>
      <c r="E16" s="1802"/>
      <c r="F16" s="1802"/>
      <c r="G16" s="1802"/>
      <c r="H16" s="1802"/>
      <c r="I16" s="1802"/>
      <c r="J16" s="1802"/>
      <c r="K16" s="1802"/>
      <c r="L16" s="1802"/>
      <c r="M16" s="1802"/>
      <c r="N16" s="1802"/>
      <c r="O16" s="1802"/>
      <c r="P16" s="1802"/>
      <c r="Q16" s="1802"/>
      <c r="R16" s="1802"/>
      <c r="S16" s="1802"/>
      <c r="T16" s="1802"/>
      <c r="U16" s="1802"/>
      <c r="V16" s="1802"/>
      <c r="W16" s="1802"/>
      <c r="X16" s="1802"/>
      <c r="Y16" s="1802"/>
      <c r="Z16" s="1802"/>
      <c r="AA16" s="1802"/>
      <c r="AB16" s="1136"/>
      <c r="AC16" s="1136"/>
      <c r="AD16" s="1136"/>
      <c r="AE16" s="1136"/>
      <c r="AF16" s="1136"/>
      <c r="AG16" s="1136"/>
      <c r="AH16" s="1136"/>
      <c r="AI16" s="1136"/>
      <c r="AJ16" s="1136"/>
      <c r="AK16" s="1136"/>
      <c r="AL16" s="1136"/>
      <c r="AM16" s="1136"/>
      <c r="AN16" s="1136"/>
      <c r="AO16" s="783"/>
    </row>
    <row r="17" spans="1:81" s="119" customFormat="1" ht="9.95" customHeight="1">
      <c r="A17" s="1684" t="s">
        <v>3764</v>
      </c>
      <c r="B17" s="1136"/>
      <c r="C17" s="1136"/>
      <c r="D17" s="1136"/>
      <c r="E17" s="1136"/>
      <c r="F17" s="1136"/>
      <c r="G17" s="1136"/>
      <c r="H17" s="1633" t="s">
        <v>267</v>
      </c>
      <c r="I17" s="1136"/>
      <c r="J17" s="1136"/>
      <c r="K17" s="1136"/>
      <c r="L17" s="1136"/>
      <c r="M17" s="1633" t="s">
        <v>268</v>
      </c>
      <c r="N17" s="1633"/>
      <c r="O17" s="1633"/>
      <c r="P17" s="1633"/>
      <c r="Q17" s="1633"/>
      <c r="R17" s="1633"/>
      <c r="S17" s="1633"/>
      <c r="T17" s="1633"/>
      <c r="U17" s="1633"/>
      <c r="V17" s="540"/>
      <c r="W17" s="1633" t="s">
        <v>230</v>
      </c>
      <c r="X17" s="1633"/>
      <c r="Y17" s="1633"/>
      <c r="Z17" s="1633"/>
      <c r="AA17" s="540"/>
      <c r="AB17" s="540"/>
      <c r="AC17" s="1633" t="s">
        <v>303</v>
      </c>
      <c r="AD17" s="1704"/>
      <c r="AE17" s="1704"/>
      <c r="AF17" s="1704"/>
      <c r="AG17" s="1704"/>
      <c r="AH17" s="1704"/>
      <c r="AI17" s="540"/>
      <c r="AJ17" s="1633" t="s">
        <v>270</v>
      </c>
      <c r="AK17" s="1633"/>
      <c r="AL17" s="1633"/>
      <c r="AM17" s="1633"/>
      <c r="AN17" s="1704"/>
      <c r="AO17" s="1803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</row>
    <row r="18" spans="1:41" ht="15" customHeight="1">
      <c r="A18" s="1812"/>
      <c r="B18" s="1673"/>
      <c r="C18" s="1673"/>
      <c r="D18" s="1673"/>
      <c r="E18" s="1673"/>
      <c r="F18" s="873"/>
      <c r="G18" s="553"/>
      <c r="H18" s="1813" t="str">
        <f>+IF(ISERR(MID(ZAKL_DATA!B32,1,+FIND("-",ZAKL_DATA!B32)-1))," ",MID(ZAKL_DATA!B32,1,+FIND("-",ZAKL_DATA!B32)-1))</f>
        <v xml:space="preserve"> </v>
      </c>
      <c r="I18" s="1048"/>
      <c r="J18" s="1048"/>
      <c r="K18" s="1814"/>
      <c r="L18" s="539" t="s">
        <v>167</v>
      </c>
      <c r="M18" s="1812">
        <f>IF(ISERR(+MID(ZAKL_DATA!B32,+FIND("-",ZAKL_DATA!B32)+1,20)),ZAKL_DATA!B32,+MID(ZAKL_DATA!B32,+FIND("-",ZAKL_DATA!B32)+1,20))</f>
        <v>0</v>
      </c>
      <c r="N18" s="1815"/>
      <c r="O18" s="1815"/>
      <c r="P18" s="1815"/>
      <c r="Q18" s="1815"/>
      <c r="R18" s="1815"/>
      <c r="S18" s="1815"/>
      <c r="T18" s="1815"/>
      <c r="U18" s="1816"/>
      <c r="V18" s="539" t="s">
        <v>269</v>
      </c>
      <c r="W18" s="1805">
        <f>+ZAKL_DATA!B33</f>
        <v>0</v>
      </c>
      <c r="X18" s="1815"/>
      <c r="Y18" s="1815"/>
      <c r="Z18" s="1816"/>
      <c r="AA18" s="1692"/>
      <c r="AB18" s="1692"/>
      <c r="AC18" s="1812" t="str">
        <f>+N3</f>
        <v/>
      </c>
      <c r="AD18" s="1815"/>
      <c r="AE18" s="1815"/>
      <c r="AF18" s="1815"/>
      <c r="AG18" s="1815"/>
      <c r="AH18" s="1816"/>
      <c r="AI18" s="385"/>
      <c r="AJ18" s="1805"/>
      <c r="AK18" s="1806"/>
      <c r="AL18" s="1806"/>
      <c r="AM18" s="1806"/>
      <c r="AN18" s="1807"/>
      <c r="AO18" s="1808"/>
    </row>
    <row r="19" spans="1:41" ht="9.95" customHeight="1">
      <c r="A19" s="1703"/>
      <c r="B19" s="1692"/>
      <c r="C19" s="1692"/>
      <c r="D19" s="1692"/>
      <c r="E19" s="1692"/>
      <c r="F19" s="1692"/>
      <c r="G19" s="1692"/>
      <c r="H19" s="1692"/>
      <c r="I19" s="1692"/>
      <c r="J19" s="1692"/>
      <c r="K19" s="1692"/>
      <c r="L19" s="1692"/>
      <c r="M19" s="1692"/>
      <c r="N19" s="1692"/>
      <c r="O19" s="1692"/>
      <c r="P19" s="1692"/>
      <c r="Q19" s="1692"/>
      <c r="R19" s="1692"/>
      <c r="S19" s="1692"/>
      <c r="T19" s="1692"/>
      <c r="U19" s="1692"/>
      <c r="V19" s="1692"/>
      <c r="W19" s="1692"/>
      <c r="X19" s="1692"/>
      <c r="Y19" s="1692"/>
      <c r="Z19" s="1692"/>
      <c r="AA19" s="1692"/>
      <c r="AB19" s="1692"/>
      <c r="AC19" s="1692"/>
      <c r="AD19" s="1692"/>
      <c r="AE19" s="1692"/>
      <c r="AF19" s="1692"/>
      <c r="AG19" s="1692"/>
      <c r="AH19" s="1692"/>
      <c r="AI19" s="1692"/>
      <c r="AJ19" s="1692"/>
      <c r="AK19" s="1692"/>
      <c r="AL19" s="1692"/>
      <c r="AM19" s="1692"/>
      <c r="AN19" s="1692"/>
      <c r="AO19" s="1774"/>
    </row>
    <row r="20" spans="1:41" ht="15" customHeight="1">
      <c r="A20" s="532" t="s">
        <v>235</v>
      </c>
      <c r="B20" s="258"/>
      <c r="C20" s="1701" t="s">
        <v>3894</v>
      </c>
      <c r="D20" s="767"/>
      <c r="E20" s="767"/>
      <c r="F20" s="767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  <c r="U20" s="767"/>
      <c r="V20" s="767"/>
      <c r="W20" s="767"/>
      <c r="X20" s="767"/>
      <c r="Y20" s="767"/>
      <c r="Z20" s="767"/>
      <c r="AA20" s="767"/>
      <c r="AB20" s="767"/>
      <c r="AC20" s="767"/>
      <c r="AD20" s="767"/>
      <c r="AE20" s="767"/>
      <c r="AF20" s="767"/>
      <c r="AG20" s="767"/>
      <c r="AH20" s="767"/>
      <c r="AI20" s="767"/>
      <c r="AJ20" s="767"/>
      <c r="AK20" s="767"/>
      <c r="AL20" s="767"/>
      <c r="AM20" s="767"/>
      <c r="AN20" s="767"/>
      <c r="AO20" s="1809"/>
    </row>
    <row r="21" spans="1:41" ht="12" customHeight="1">
      <c r="A21" s="1707" t="s">
        <v>271</v>
      </c>
      <c r="B21" s="1665"/>
      <c r="C21" s="1665"/>
      <c r="D21" s="1665"/>
      <c r="E21" s="1136"/>
      <c r="F21" s="1633" t="s">
        <v>42</v>
      </c>
      <c r="G21" s="1136"/>
      <c r="H21" s="1136"/>
      <c r="I21" s="1136"/>
      <c r="J21" s="1136"/>
      <c r="K21" s="1633" t="s">
        <v>272</v>
      </c>
      <c r="L21" s="1633"/>
      <c r="M21" s="1633"/>
      <c r="N21" s="1633"/>
      <c r="O21" s="1633"/>
      <c r="P21" s="1633"/>
      <c r="Q21" s="1633"/>
      <c r="R21" s="1633"/>
      <c r="S21" s="1633"/>
      <c r="T21" s="1136"/>
      <c r="U21" s="1136"/>
      <c r="V21" s="1136"/>
      <c r="W21" s="1136"/>
      <c r="X21" s="1136"/>
      <c r="Y21" s="1136"/>
      <c r="Z21" s="1136"/>
      <c r="AA21" s="1136"/>
      <c r="AB21" s="1136"/>
      <c r="AC21" s="1633" t="s">
        <v>43</v>
      </c>
      <c r="AD21" s="1136"/>
      <c r="AE21" s="1136"/>
      <c r="AF21" s="1136"/>
      <c r="AG21" s="1136"/>
      <c r="AH21" s="1810" t="s">
        <v>273</v>
      </c>
      <c r="AI21" s="1810"/>
      <c r="AJ21" s="1810"/>
      <c r="AK21" s="1810"/>
      <c r="AL21" s="1810"/>
      <c r="AM21" s="1810"/>
      <c r="AN21" s="1810"/>
      <c r="AO21" s="1811"/>
    </row>
    <row r="22" spans="1:41" ht="15" customHeight="1">
      <c r="A22" s="1817"/>
      <c r="B22" s="1818"/>
      <c r="C22" s="1818"/>
      <c r="D22" s="1819"/>
      <c r="E22" s="1136"/>
      <c r="F22" s="1813"/>
      <c r="G22" s="1048"/>
      <c r="H22" s="1048"/>
      <c r="I22" s="1814"/>
      <c r="J22" s="539"/>
      <c r="K22" s="1649"/>
      <c r="L22" s="1820"/>
      <c r="M22" s="1820"/>
      <c r="N22" s="1820"/>
      <c r="O22" s="1820"/>
      <c r="P22" s="1820"/>
      <c r="Q22" s="1820"/>
      <c r="R22" s="1820"/>
      <c r="S22" s="1820"/>
      <c r="T22" s="1673"/>
      <c r="U22" s="1673"/>
      <c r="V22" s="1673"/>
      <c r="W22" s="1673"/>
      <c r="X22" s="1673"/>
      <c r="Y22" s="1673"/>
      <c r="Z22" s="1673"/>
      <c r="AA22" s="873"/>
      <c r="AB22" s="1136"/>
      <c r="AC22" s="1813"/>
      <c r="AD22" s="1048"/>
      <c r="AE22" s="1048"/>
      <c r="AF22" s="1814"/>
      <c r="AG22" s="539"/>
      <c r="AH22" s="872"/>
      <c r="AI22" s="1635"/>
      <c r="AJ22" s="1635"/>
      <c r="AK22" s="1635"/>
      <c r="AL22" s="1635"/>
      <c r="AM22" s="1635"/>
      <c r="AN22" s="1635"/>
      <c r="AO22" s="955"/>
    </row>
    <row r="23" spans="1:41" ht="7.5" customHeight="1">
      <c r="A23" s="1703"/>
      <c r="B23" s="1692"/>
      <c r="C23" s="1692"/>
      <c r="D23" s="1692"/>
      <c r="E23" s="1692"/>
      <c r="F23" s="1692"/>
      <c r="G23" s="1692"/>
      <c r="H23" s="1692"/>
      <c r="I23" s="1692"/>
      <c r="J23" s="1692"/>
      <c r="K23" s="1692"/>
      <c r="L23" s="1692"/>
      <c r="M23" s="1692"/>
      <c r="N23" s="1692"/>
      <c r="O23" s="1692"/>
      <c r="P23" s="1692"/>
      <c r="Q23" s="1692"/>
      <c r="R23" s="1692"/>
      <c r="S23" s="1692"/>
      <c r="T23" s="1692"/>
      <c r="U23" s="1692"/>
      <c r="V23" s="1692"/>
      <c r="W23" s="1692"/>
      <c r="X23" s="1692"/>
      <c r="Y23" s="1692"/>
      <c r="Z23" s="1692"/>
      <c r="AA23" s="1692"/>
      <c r="AB23" s="1692"/>
      <c r="AC23" s="1692"/>
      <c r="AD23" s="1692"/>
      <c r="AE23" s="1692"/>
      <c r="AF23" s="1692"/>
      <c r="AG23" s="1692"/>
      <c r="AH23" s="1692"/>
      <c r="AI23" s="1692"/>
      <c r="AJ23" s="1692"/>
      <c r="AK23" s="1692"/>
      <c r="AL23" s="1692"/>
      <c r="AM23" s="1692"/>
      <c r="AN23" s="1692"/>
      <c r="AO23" s="1774"/>
    </row>
    <row r="24" spans="1:41" ht="15" customHeight="1">
      <c r="A24" s="1821" t="s">
        <v>3965</v>
      </c>
      <c r="B24" s="1822"/>
      <c r="C24" s="1822"/>
      <c r="D24" s="1822"/>
      <c r="E24" s="1822"/>
      <c r="F24" s="1822"/>
      <c r="G24" s="1822"/>
      <c r="H24" s="1822"/>
      <c r="I24" s="1822"/>
      <c r="J24" s="1822"/>
      <c r="K24" s="1822"/>
      <c r="L24" s="1822"/>
      <c r="M24" s="1822"/>
      <c r="N24" s="1822"/>
      <c r="O24" s="1822"/>
      <c r="P24" s="1822"/>
      <c r="Q24" s="1822"/>
      <c r="R24" s="1822"/>
      <c r="S24" s="1822"/>
      <c r="T24" s="1822"/>
      <c r="U24" s="1822"/>
      <c r="V24" s="1822"/>
      <c r="W24" s="1822"/>
      <c r="X24" s="1822"/>
      <c r="Y24" s="1822"/>
      <c r="Z24" s="1822"/>
      <c r="AA24" s="1822"/>
      <c r="AB24" s="1822"/>
      <c r="AC24" s="1822"/>
      <c r="AD24" s="1822"/>
      <c r="AE24" s="1822"/>
      <c r="AF24" s="1822"/>
      <c r="AG24" s="1731"/>
      <c r="AH24" s="1731"/>
      <c r="AI24" s="1731"/>
      <c r="AJ24" s="1731"/>
      <c r="AK24" s="1731"/>
      <c r="AL24" s="1731"/>
      <c r="AM24" s="1731"/>
      <c r="AN24" s="1731"/>
      <c r="AO24" s="1732"/>
    </row>
    <row r="25" spans="1:41 82:87" ht="8.1" customHeight="1">
      <c r="A25" s="1677"/>
      <c r="B25" s="1823"/>
      <c r="C25" s="1823"/>
      <c r="D25" s="1823"/>
      <c r="E25" s="1823"/>
      <c r="F25" s="1823"/>
      <c r="G25" s="1823"/>
      <c r="H25" s="1823"/>
      <c r="I25" s="1823"/>
      <c r="J25" s="1823"/>
      <c r="K25" s="1823"/>
      <c r="L25" s="1823"/>
      <c r="M25" s="1823"/>
      <c r="N25" s="1823"/>
      <c r="O25" s="1823"/>
      <c r="P25" s="1823"/>
      <c r="Q25" s="1823"/>
      <c r="R25" s="1823"/>
      <c r="S25" s="1823"/>
      <c r="T25" s="1823"/>
      <c r="U25" s="1823"/>
      <c r="V25" s="1823"/>
      <c r="W25" s="1823"/>
      <c r="X25" s="1823"/>
      <c r="Y25" s="1823"/>
      <c r="Z25" s="1823"/>
      <c r="AA25" s="1823"/>
      <c r="AB25" s="1823"/>
      <c r="AC25" s="1823"/>
      <c r="AD25" s="1823"/>
      <c r="AE25" s="1823"/>
      <c r="AF25" s="1823"/>
      <c r="AG25" s="1823"/>
      <c r="AH25" s="1823"/>
      <c r="AI25" s="1823"/>
      <c r="AJ25" s="1823"/>
      <c r="AK25" s="1823"/>
      <c r="AL25" s="1823"/>
      <c r="AM25" s="1823"/>
      <c r="AN25" s="1823"/>
      <c r="AO25" s="1824"/>
      <c r="CD25" s="22"/>
      <c r="CE25" s="22"/>
      <c r="CF25" s="22"/>
      <c r="CG25" s="22"/>
      <c r="CH25" s="22"/>
      <c r="CI25" s="22"/>
    </row>
    <row r="26" spans="1:41 82:87" ht="21.95" customHeight="1">
      <c r="A26" s="1775" t="s">
        <v>3970</v>
      </c>
      <c r="B26" s="1273"/>
      <c r="C26" s="1273"/>
      <c r="D26" s="1273"/>
      <c r="E26" s="1273"/>
      <c r="F26" s="1273"/>
      <c r="G26" s="1273"/>
      <c r="H26" s="1273"/>
      <c r="I26" s="1273"/>
      <c r="J26" s="1273"/>
      <c r="K26" s="1273"/>
      <c r="L26" s="1273"/>
      <c r="M26" s="1273"/>
      <c r="N26" s="1273"/>
      <c r="O26" s="1273"/>
      <c r="P26" s="1273"/>
      <c r="Q26" s="1772" t="s">
        <v>234</v>
      </c>
      <c r="R26" s="1773"/>
      <c r="S26" s="584"/>
      <c r="T26" s="1772" t="s">
        <v>235</v>
      </c>
      <c r="U26" s="1773"/>
      <c r="V26" s="584"/>
      <c r="W26" s="1772" t="s">
        <v>219</v>
      </c>
      <c r="X26" s="1773"/>
      <c r="Y26" s="584"/>
      <c r="Z26" s="1772" t="s">
        <v>220</v>
      </c>
      <c r="AA26" s="1773"/>
      <c r="AB26" s="584"/>
      <c r="AC26" s="1772" t="s">
        <v>221</v>
      </c>
      <c r="AD26" s="1773"/>
      <c r="AE26" s="584"/>
      <c r="AF26" s="1772" t="s">
        <v>222</v>
      </c>
      <c r="AG26" s="1773"/>
      <c r="AH26" s="584"/>
      <c r="AI26" s="1772" t="s">
        <v>3971</v>
      </c>
      <c r="AJ26" s="1773"/>
      <c r="AK26" s="584"/>
      <c r="AL26" s="1772" t="s">
        <v>3972</v>
      </c>
      <c r="AM26" s="1773"/>
      <c r="AN26" s="584"/>
      <c r="AO26" s="541"/>
      <c r="CD26" s="22"/>
      <c r="CE26" s="22"/>
      <c r="CF26" s="22"/>
      <c r="CG26" s="22"/>
      <c r="CH26" s="22"/>
      <c r="CI26" s="22"/>
    </row>
    <row r="27" spans="1:41 82:87" ht="8.1" customHeight="1">
      <c r="A27" s="1703"/>
      <c r="B27" s="1692"/>
      <c r="C27" s="1692"/>
      <c r="D27" s="1692"/>
      <c r="E27" s="1692"/>
      <c r="F27" s="1692"/>
      <c r="G27" s="1692"/>
      <c r="H27" s="1692"/>
      <c r="I27" s="1692"/>
      <c r="J27" s="1692"/>
      <c r="K27" s="1692"/>
      <c r="L27" s="1692"/>
      <c r="M27" s="1692"/>
      <c r="N27" s="1692"/>
      <c r="O27" s="1692"/>
      <c r="P27" s="1692"/>
      <c r="Q27" s="1692"/>
      <c r="R27" s="1692"/>
      <c r="S27" s="1692"/>
      <c r="T27" s="1692"/>
      <c r="U27" s="1692"/>
      <c r="V27" s="1692"/>
      <c r="W27" s="1692"/>
      <c r="X27" s="1692"/>
      <c r="Y27" s="1692"/>
      <c r="Z27" s="1692"/>
      <c r="AA27" s="1692"/>
      <c r="AB27" s="1692"/>
      <c r="AC27" s="1692"/>
      <c r="AD27" s="1692"/>
      <c r="AE27" s="1692"/>
      <c r="AF27" s="1692"/>
      <c r="AG27" s="1692"/>
      <c r="AH27" s="1692"/>
      <c r="AI27" s="1692"/>
      <c r="AJ27" s="1692"/>
      <c r="AK27" s="1692"/>
      <c r="AL27" s="1692"/>
      <c r="AM27" s="1692"/>
      <c r="AN27" s="1692"/>
      <c r="AO27" s="1774"/>
      <c r="CD27" s="22"/>
      <c r="CE27" s="22"/>
      <c r="CF27" s="22"/>
      <c r="CG27" s="22"/>
      <c r="CH27" s="22"/>
      <c r="CI27" s="22"/>
    </row>
    <row r="28" spans="1:41 82:87" ht="21.95" customHeight="1">
      <c r="A28" s="1684" t="s">
        <v>3889</v>
      </c>
      <c r="B28" s="1136"/>
      <c r="C28" s="1136"/>
      <c r="D28" s="1136"/>
      <c r="E28" s="1136"/>
      <c r="F28" s="1136"/>
      <c r="G28" s="1136"/>
      <c r="H28" s="1136"/>
      <c r="I28" s="1772" t="s">
        <v>236</v>
      </c>
      <c r="J28" s="1825"/>
      <c r="K28" s="258" t="s">
        <v>258</v>
      </c>
      <c r="L28" s="1772" t="s">
        <v>141</v>
      </c>
      <c r="M28" s="1825"/>
      <c r="N28" s="258"/>
      <c r="O28" s="385"/>
      <c r="P28" s="1633" t="s">
        <v>3961</v>
      </c>
      <c r="Q28" s="1136"/>
      <c r="R28" s="1136"/>
      <c r="S28" s="1136"/>
      <c r="T28" s="1136"/>
      <c r="U28" s="1136"/>
      <c r="V28" s="1136"/>
      <c r="W28" s="1136"/>
      <c r="X28" s="1136"/>
      <c r="Y28" s="1136"/>
      <c r="Z28" s="1136"/>
      <c r="AA28" s="1136"/>
      <c r="AB28" s="1136"/>
      <c r="AC28" s="1136"/>
      <c r="AD28" s="1136"/>
      <c r="AE28" s="1136"/>
      <c r="AF28" s="1136"/>
      <c r="AG28" s="1136"/>
      <c r="AH28" s="1136"/>
      <c r="AI28" s="1772" t="s">
        <v>236</v>
      </c>
      <c r="AJ28" s="1825"/>
      <c r="AK28" s="258"/>
      <c r="AL28" s="1772" t="s">
        <v>141</v>
      </c>
      <c r="AM28" s="1825"/>
      <c r="AN28" s="258" t="s">
        <v>258</v>
      </c>
      <c r="AO28" s="534"/>
      <c r="CD28" s="22"/>
      <c r="CE28" s="22"/>
      <c r="CF28" s="22"/>
      <c r="CG28" s="22"/>
      <c r="CH28" s="22"/>
      <c r="CI28" s="22"/>
    </row>
    <row r="29" spans="1:41 82:87" ht="8.1" customHeight="1">
      <c r="A29" s="1703"/>
      <c r="B29" s="1692"/>
      <c r="C29" s="1692"/>
      <c r="D29" s="1692"/>
      <c r="E29" s="1692"/>
      <c r="F29" s="1692"/>
      <c r="G29" s="1692"/>
      <c r="H29" s="1692"/>
      <c r="I29" s="1692"/>
      <c r="J29" s="1692"/>
      <c r="K29" s="1692"/>
      <c r="L29" s="1692"/>
      <c r="M29" s="1692"/>
      <c r="N29" s="1692"/>
      <c r="O29" s="1692"/>
      <c r="P29" s="1692"/>
      <c r="Q29" s="1692"/>
      <c r="R29" s="1692"/>
      <c r="S29" s="1692"/>
      <c r="T29" s="1692"/>
      <c r="U29" s="1692"/>
      <c r="V29" s="1692"/>
      <c r="W29" s="1692"/>
      <c r="X29" s="1692"/>
      <c r="Y29" s="1692"/>
      <c r="Z29" s="1692"/>
      <c r="AA29" s="1692"/>
      <c r="AB29" s="1692"/>
      <c r="AC29" s="1692"/>
      <c r="AD29" s="1692"/>
      <c r="AE29" s="1692"/>
      <c r="AF29" s="1692"/>
      <c r="AG29" s="1692"/>
      <c r="AH29" s="1692"/>
      <c r="AI29" s="1692"/>
      <c r="AJ29" s="1692"/>
      <c r="AK29" s="1692"/>
      <c r="AL29" s="1692"/>
      <c r="AM29" s="1692"/>
      <c r="AN29" s="1692"/>
      <c r="AO29" s="1774"/>
      <c r="CD29" s="22"/>
      <c r="CE29" s="22"/>
      <c r="CF29" s="22"/>
      <c r="CG29" s="22"/>
      <c r="CH29" s="22"/>
      <c r="CI29" s="22"/>
    </row>
    <row r="30" spans="1:41 82:87" ht="21.95" customHeight="1">
      <c r="A30" s="1701" t="s">
        <v>3962</v>
      </c>
      <c r="B30" s="767"/>
      <c r="C30" s="767"/>
      <c r="D30" s="767"/>
      <c r="E30" s="767"/>
      <c r="F30" s="767"/>
      <c r="G30" s="767"/>
      <c r="H30" s="767"/>
      <c r="I30" s="1772" t="s">
        <v>236</v>
      </c>
      <c r="J30" s="1825"/>
      <c r="K30" s="258"/>
      <c r="L30" s="1772" t="s">
        <v>141</v>
      </c>
      <c r="M30" s="1825"/>
      <c r="N30" s="258" t="s">
        <v>258</v>
      </c>
      <c r="O30" s="385"/>
      <c r="P30" s="1702" t="s">
        <v>3890</v>
      </c>
      <c r="Q30" s="767"/>
      <c r="R30" s="767"/>
      <c r="S30" s="767"/>
      <c r="T30" s="767"/>
      <c r="U30" s="767"/>
      <c r="V30" s="767"/>
      <c r="W30" s="767"/>
      <c r="X30" s="767"/>
      <c r="Y30" s="767"/>
      <c r="Z30" s="767"/>
      <c r="AA30" s="767"/>
      <c r="AB30" s="767"/>
      <c r="AC30" s="767"/>
      <c r="AD30" s="767"/>
      <c r="AE30" s="767"/>
      <c r="AF30" s="767"/>
      <c r="AG30" s="1809"/>
      <c r="AH30" s="1831"/>
      <c r="AI30" s="1048"/>
      <c r="AJ30" s="1048"/>
      <c r="AK30" s="1048"/>
      <c r="AL30" s="1048"/>
      <c r="AM30" s="1048"/>
      <c r="AN30" s="1814"/>
      <c r="AO30" s="534"/>
      <c r="CD30" s="22"/>
      <c r="CE30" s="22"/>
      <c r="CF30" s="22"/>
      <c r="CG30" s="22"/>
      <c r="CH30" s="22"/>
      <c r="CI30" s="22"/>
    </row>
    <row r="31" spans="1:41 82:87" ht="8.1" customHeight="1">
      <c r="A31" s="1703"/>
      <c r="B31" s="1692"/>
      <c r="C31" s="1692"/>
      <c r="D31" s="1692"/>
      <c r="E31" s="1692"/>
      <c r="F31" s="1692"/>
      <c r="G31" s="1692"/>
      <c r="H31" s="1692"/>
      <c r="I31" s="1692"/>
      <c r="J31" s="1692"/>
      <c r="K31" s="1692"/>
      <c r="L31" s="1692"/>
      <c r="M31" s="1692"/>
      <c r="N31" s="1692"/>
      <c r="O31" s="1692"/>
      <c r="P31" s="1692"/>
      <c r="Q31" s="1692"/>
      <c r="R31" s="1692"/>
      <c r="S31" s="1692"/>
      <c r="T31" s="1692"/>
      <c r="U31" s="1692"/>
      <c r="V31" s="1692"/>
      <c r="W31" s="1692"/>
      <c r="X31" s="1692"/>
      <c r="Y31" s="1692"/>
      <c r="Z31" s="1692"/>
      <c r="AA31" s="1692"/>
      <c r="AB31" s="1692"/>
      <c r="AC31" s="1692"/>
      <c r="AD31" s="1692"/>
      <c r="AE31" s="1692"/>
      <c r="AF31" s="1692"/>
      <c r="AG31" s="1692"/>
      <c r="AH31" s="1692"/>
      <c r="AI31" s="1692"/>
      <c r="AJ31" s="1692"/>
      <c r="AK31" s="1692"/>
      <c r="AL31" s="1692"/>
      <c r="AM31" s="1692"/>
      <c r="AN31" s="1692"/>
      <c r="AO31" s="1774"/>
      <c r="CD31" s="22"/>
      <c r="CE31" s="22"/>
      <c r="CF31" s="22"/>
      <c r="CG31" s="22"/>
      <c r="CH31" s="22"/>
      <c r="CI31" s="22"/>
    </row>
    <row r="32" spans="1:41" ht="15" customHeight="1">
      <c r="A32" s="1628" t="s">
        <v>3802</v>
      </c>
      <c r="B32" s="1670"/>
      <c r="C32" s="1670"/>
      <c r="D32" s="1670"/>
      <c r="E32" s="1670"/>
      <c r="F32" s="1670"/>
      <c r="G32" s="1670"/>
      <c r="H32" s="1670"/>
      <c r="I32" s="1670"/>
      <c r="J32" s="1670"/>
      <c r="K32" s="1670"/>
      <c r="L32" s="1670"/>
      <c r="M32" s="1670"/>
      <c r="N32" s="1670"/>
      <c r="O32" s="1670"/>
      <c r="P32" s="1670"/>
      <c r="Q32" s="1670"/>
      <c r="R32" s="1670"/>
      <c r="S32" s="1670"/>
      <c r="T32" s="1670"/>
      <c r="U32" s="1670"/>
      <c r="V32" s="1670"/>
      <c r="W32" s="1670"/>
      <c r="X32" s="1670"/>
      <c r="Y32" s="1670"/>
      <c r="Z32" s="1670"/>
      <c r="AA32" s="1670"/>
      <c r="AB32" s="1670"/>
      <c r="AC32" s="1670"/>
      <c r="AD32" s="1670"/>
      <c r="AE32" s="1670"/>
      <c r="AF32" s="1670"/>
      <c r="AG32" s="1670"/>
      <c r="AH32" s="1670"/>
      <c r="AI32" s="1670"/>
      <c r="AJ32" s="1670"/>
      <c r="AK32" s="1670"/>
      <c r="AL32" s="1670"/>
      <c r="AM32" s="1670"/>
      <c r="AN32" s="1670"/>
      <c r="AO32" s="1669"/>
    </row>
    <row r="33" spans="1:41" ht="12" customHeight="1">
      <c r="A33" s="1826" t="s">
        <v>249</v>
      </c>
      <c r="B33" s="1827"/>
      <c r="C33" s="1827"/>
      <c r="D33" s="1827"/>
      <c r="E33" s="1827"/>
      <c r="F33" s="1827"/>
      <c r="G33" s="1827"/>
      <c r="H33" s="1827"/>
      <c r="I33" s="1827"/>
      <c r="J33" s="1827"/>
      <c r="K33" s="1827"/>
      <c r="L33" s="1828" t="s">
        <v>328</v>
      </c>
      <c r="M33" s="1829"/>
      <c r="N33" s="1829"/>
      <c r="O33" s="1829"/>
      <c r="P33" s="1829"/>
      <c r="Q33" s="1829"/>
      <c r="R33" s="1829"/>
      <c r="S33" s="1829"/>
      <c r="T33" s="1829"/>
      <c r="U33" s="1829"/>
      <c r="V33" s="1829"/>
      <c r="W33" s="1829"/>
      <c r="X33" s="1829"/>
      <c r="Y33" s="1829"/>
      <c r="Z33" s="1829"/>
      <c r="AA33" s="1829"/>
      <c r="AB33" s="1829"/>
      <c r="AC33" s="1829"/>
      <c r="AD33" s="1829"/>
      <c r="AE33" s="1829"/>
      <c r="AF33" s="1829"/>
      <c r="AG33" s="1829"/>
      <c r="AH33" s="1829"/>
      <c r="AI33" s="1829"/>
      <c r="AJ33" s="1829"/>
      <c r="AK33" s="1829"/>
      <c r="AL33" s="1829"/>
      <c r="AM33" s="1829"/>
      <c r="AN33" s="1829"/>
      <c r="AO33" s="1830"/>
    </row>
    <row r="34" spans="1:41" ht="15" customHeight="1">
      <c r="A34" s="1832"/>
      <c r="B34" s="1048"/>
      <c r="C34" s="1048"/>
      <c r="D34" s="1048"/>
      <c r="E34" s="1814"/>
      <c r="F34" s="532"/>
      <c r="G34" s="1136"/>
      <c r="H34" s="1136"/>
      <c r="I34" s="1136"/>
      <c r="J34" s="1136"/>
      <c r="K34" s="1136"/>
      <c r="L34" s="1833"/>
      <c r="M34" s="1673"/>
      <c r="N34" s="1673"/>
      <c r="O34" s="1673"/>
      <c r="P34" s="1673"/>
      <c r="Q34" s="1673"/>
      <c r="R34" s="1673"/>
      <c r="S34" s="1673"/>
      <c r="T34" s="1673"/>
      <c r="U34" s="1673"/>
      <c r="V34" s="1673"/>
      <c r="W34" s="1673"/>
      <c r="X34" s="1673"/>
      <c r="Y34" s="1673"/>
      <c r="Z34" s="1673"/>
      <c r="AA34" s="1673"/>
      <c r="AB34" s="1673"/>
      <c r="AC34" s="1673"/>
      <c r="AD34" s="1673"/>
      <c r="AE34" s="1673"/>
      <c r="AF34" s="1673"/>
      <c r="AG34" s="1673"/>
      <c r="AH34" s="1673"/>
      <c r="AI34" s="1673"/>
      <c r="AJ34" s="1673"/>
      <c r="AK34" s="1673"/>
      <c r="AL34" s="1673"/>
      <c r="AM34" s="1673"/>
      <c r="AN34" s="873"/>
      <c r="AO34" s="531"/>
    </row>
    <row r="35" spans="1:41" ht="5.1" customHeight="1">
      <c r="A35" s="1703"/>
      <c r="B35" s="1692"/>
      <c r="C35" s="1692"/>
      <c r="D35" s="1692"/>
      <c r="E35" s="1692"/>
      <c r="F35" s="1692"/>
      <c r="G35" s="1692"/>
      <c r="H35" s="1692"/>
      <c r="I35" s="1692"/>
      <c r="J35" s="1692"/>
      <c r="K35" s="1692"/>
      <c r="L35" s="1692"/>
      <c r="M35" s="1692"/>
      <c r="N35" s="1692"/>
      <c r="O35" s="1692"/>
      <c r="P35" s="1692"/>
      <c r="Q35" s="1692"/>
      <c r="R35" s="1692"/>
      <c r="S35" s="1692"/>
      <c r="T35" s="1692"/>
      <c r="U35" s="1692"/>
      <c r="V35" s="1692"/>
      <c r="W35" s="1692"/>
      <c r="X35" s="1692"/>
      <c r="Y35" s="1692"/>
      <c r="Z35" s="1692"/>
      <c r="AA35" s="1692"/>
      <c r="AB35" s="1692"/>
      <c r="AC35" s="1692"/>
      <c r="AD35" s="1692"/>
      <c r="AE35" s="1692"/>
      <c r="AF35" s="1692"/>
      <c r="AG35" s="1692"/>
      <c r="AH35" s="1692"/>
      <c r="AI35" s="1692"/>
      <c r="AJ35" s="1692"/>
      <c r="AK35" s="1692"/>
      <c r="AL35" s="1692"/>
      <c r="AM35" s="1692"/>
      <c r="AN35" s="1692"/>
      <c r="AO35" s="1774"/>
    </row>
    <row r="36" spans="1:41" ht="12.75">
      <c r="A36" s="1628" t="s">
        <v>3803</v>
      </c>
      <c r="B36" s="1670"/>
      <c r="C36" s="1670"/>
      <c r="D36" s="1670"/>
      <c r="E36" s="1670"/>
      <c r="F36" s="1670"/>
      <c r="G36" s="1670"/>
      <c r="H36" s="1670"/>
      <c r="I36" s="1670"/>
      <c r="J36" s="1670"/>
      <c r="K36" s="1670"/>
      <c r="L36" s="1670"/>
      <c r="M36" s="1670"/>
      <c r="N36" s="1670"/>
      <c r="O36" s="1670"/>
      <c r="P36" s="1670"/>
      <c r="Q36" s="1670"/>
      <c r="R36" s="1670"/>
      <c r="S36" s="1670"/>
      <c r="T36" s="1670"/>
      <c r="U36" s="1670"/>
      <c r="V36" s="1670"/>
      <c r="W36" s="1670"/>
      <c r="X36" s="1670"/>
      <c r="Y36" s="1670"/>
      <c r="Z36" s="1670"/>
      <c r="AA36" s="1670"/>
      <c r="AB36" s="1670"/>
      <c r="AC36" s="1670"/>
      <c r="AD36" s="1670"/>
      <c r="AE36" s="1670"/>
      <c r="AF36" s="1670"/>
      <c r="AG36" s="1670"/>
      <c r="AH36" s="1670"/>
      <c r="AI36" s="1635"/>
      <c r="AJ36" s="1635"/>
      <c r="AK36" s="1635"/>
      <c r="AL36" s="1635"/>
      <c r="AM36" s="1635"/>
      <c r="AN36" s="1635"/>
      <c r="AO36" s="955"/>
    </row>
    <row r="37" spans="1:41" ht="5.1" customHeight="1">
      <c r="A37" s="1703"/>
      <c r="B37" s="1692"/>
      <c r="C37" s="1692"/>
      <c r="D37" s="1692"/>
      <c r="E37" s="1692"/>
      <c r="F37" s="1692"/>
      <c r="G37" s="1692"/>
      <c r="H37" s="1692"/>
      <c r="I37" s="1692"/>
      <c r="J37" s="1692"/>
      <c r="K37" s="1692"/>
      <c r="L37" s="1692"/>
      <c r="M37" s="1692"/>
      <c r="N37" s="1692"/>
      <c r="O37" s="1692"/>
      <c r="P37" s="1692"/>
      <c r="Q37" s="1692"/>
      <c r="R37" s="1692"/>
      <c r="S37" s="1692"/>
      <c r="T37" s="1692"/>
      <c r="U37" s="1692"/>
      <c r="V37" s="1692"/>
      <c r="W37" s="1692"/>
      <c r="X37" s="1692"/>
      <c r="Y37" s="1692"/>
      <c r="Z37" s="1692"/>
      <c r="AA37" s="1692"/>
      <c r="AB37" s="1692"/>
      <c r="AC37" s="1692"/>
      <c r="AD37" s="1692"/>
      <c r="AE37" s="1692"/>
      <c r="AF37" s="1692"/>
      <c r="AG37" s="1692"/>
      <c r="AH37" s="1692"/>
      <c r="AI37" s="1626"/>
      <c r="AJ37" s="1626"/>
      <c r="AK37" s="1626"/>
      <c r="AL37" s="1626"/>
      <c r="AM37" s="1626"/>
      <c r="AN37" s="1626"/>
      <c r="AO37" s="1842"/>
    </row>
    <row r="38" spans="1:41" ht="12" customHeight="1">
      <c r="A38" s="1707" t="s">
        <v>98</v>
      </c>
      <c r="B38" s="1664"/>
      <c r="C38" s="1664"/>
      <c r="D38" s="1664"/>
      <c r="E38" s="1665"/>
      <c r="F38" s="1665"/>
      <c r="G38" s="1665"/>
      <c r="H38" s="1665"/>
      <c r="I38" s="1665"/>
      <c r="J38" s="1665"/>
      <c r="K38" s="1665"/>
      <c r="L38" s="1501"/>
      <c r="M38" s="1633" t="s">
        <v>97</v>
      </c>
      <c r="N38" s="1633"/>
      <c r="O38" s="1633"/>
      <c r="P38" s="1633"/>
      <c r="Q38" s="1633"/>
      <c r="R38" s="1633"/>
      <c r="S38" s="1704"/>
      <c r="T38" s="1704"/>
      <c r="U38" s="1704"/>
      <c r="V38" s="385"/>
      <c r="W38" s="1633" t="s">
        <v>116</v>
      </c>
      <c r="X38" s="1633"/>
      <c r="Y38" s="1633"/>
      <c r="Z38" s="1633"/>
      <c r="AA38" s="385"/>
      <c r="AB38" s="1633" t="s">
        <v>148</v>
      </c>
      <c r="AC38" s="1633"/>
      <c r="AD38" s="1633"/>
      <c r="AE38" s="1633"/>
      <c r="AF38" s="1704"/>
      <c r="AG38" s="1704"/>
      <c r="AH38" s="385"/>
      <c r="AI38" s="1843" t="s">
        <v>275</v>
      </c>
      <c r="AJ38" s="1843"/>
      <c r="AK38" s="1843"/>
      <c r="AL38" s="1843"/>
      <c r="AM38" s="1843"/>
      <c r="AN38" s="1843"/>
      <c r="AO38" s="1844"/>
    </row>
    <row r="39" spans="1:41" ht="18" customHeight="1">
      <c r="A39" s="1649" t="str">
        <f>+CONCATENATE('1Př2'!D44)</f>
        <v/>
      </c>
      <c r="B39" s="1845"/>
      <c r="C39" s="1845"/>
      <c r="D39" s="1845"/>
      <c r="E39" s="1845"/>
      <c r="F39" s="1845"/>
      <c r="G39" s="1845"/>
      <c r="H39" s="1845"/>
      <c r="I39" s="1845"/>
      <c r="J39" s="1845"/>
      <c r="K39" s="1846"/>
      <c r="L39" s="1692"/>
      <c r="M39" s="1834" t="str">
        <f>+CONCATENATE('1Př2'!B44)</f>
        <v/>
      </c>
      <c r="N39" s="1835"/>
      <c r="O39" s="1835"/>
      <c r="P39" s="1835"/>
      <c r="Q39" s="1835"/>
      <c r="R39" s="1835"/>
      <c r="S39" s="1835"/>
      <c r="T39" s="1835"/>
      <c r="U39" s="1836"/>
      <c r="V39" s="385"/>
      <c r="W39" s="1812"/>
      <c r="X39" s="1815"/>
      <c r="Y39" s="1815"/>
      <c r="Z39" s="1816"/>
      <c r="AA39" s="385"/>
      <c r="AB39" s="1832" t="str">
        <f>+MID('1Př2'!F44,1,10)</f>
        <v/>
      </c>
      <c r="AC39" s="1815"/>
      <c r="AD39" s="1815"/>
      <c r="AE39" s="1815"/>
      <c r="AF39" s="1847"/>
      <c r="AG39" s="1848"/>
      <c r="AH39" s="385"/>
      <c r="AI39" s="1812"/>
      <c r="AJ39" s="1815"/>
      <c r="AK39" s="1815"/>
      <c r="AL39" s="1815"/>
      <c r="AM39" s="1847"/>
      <c r="AN39" s="1847"/>
      <c r="AO39" s="1848"/>
    </row>
    <row r="40" spans="1:41" ht="12" customHeight="1">
      <c r="A40" s="1707" t="s">
        <v>271</v>
      </c>
      <c r="B40" s="1664"/>
      <c r="C40" s="1664"/>
      <c r="D40" s="1664"/>
      <c r="E40" s="1665"/>
      <c r="F40" s="1665"/>
      <c r="G40" s="1665"/>
      <c r="H40" s="1665"/>
      <c r="I40" s="1665"/>
      <c r="J40" s="1665"/>
      <c r="K40" s="1665"/>
      <c r="L40" s="385"/>
      <c r="M40" s="1633" t="s">
        <v>42</v>
      </c>
      <c r="N40" s="1633"/>
      <c r="O40" s="1633"/>
      <c r="P40" s="1633"/>
      <c r="Q40" s="635"/>
      <c r="R40" s="1633" t="s">
        <v>272</v>
      </c>
      <c r="S40" s="1633"/>
      <c r="T40" s="1633"/>
      <c r="U40" s="1633"/>
      <c r="V40" s="1633"/>
      <c r="W40" s="1633"/>
      <c r="X40" s="1704"/>
      <c r="Y40" s="1704"/>
      <c r="Z40" s="1704"/>
      <c r="AA40" s="385"/>
      <c r="AB40" s="1633" t="s">
        <v>43</v>
      </c>
      <c r="AC40" s="1704"/>
      <c r="AD40" s="1704"/>
      <c r="AE40" s="1704"/>
      <c r="AF40" s="1704"/>
      <c r="AG40" s="1633" t="s">
        <v>273</v>
      </c>
      <c r="AH40" s="1633"/>
      <c r="AI40" s="1633"/>
      <c r="AJ40" s="1633"/>
      <c r="AK40" s="1633"/>
      <c r="AL40" s="1633"/>
      <c r="AM40" s="1704"/>
      <c r="AN40" s="1704"/>
      <c r="AO40" s="1704"/>
    </row>
    <row r="41" spans="1:41" ht="18" customHeight="1">
      <c r="A41" s="1649" t="str">
        <f>+IF(EXACT(A39,"")," ",CONCATENATE(ZAKL_DATA!B16))</f>
        <v xml:space="preserve"> </v>
      </c>
      <c r="B41" s="1845"/>
      <c r="C41" s="1845"/>
      <c r="D41" s="1845"/>
      <c r="E41" s="1845"/>
      <c r="F41" s="1845"/>
      <c r="G41" s="1845"/>
      <c r="H41" s="1845"/>
      <c r="I41" s="1845"/>
      <c r="J41" s="1845"/>
      <c r="K41" s="1846"/>
      <c r="L41" s="385"/>
      <c r="M41" s="1649" t="str">
        <f>+IF(EXACT(A39,"")," ",CONCATENATE(ZAKL_DATA!B17))</f>
        <v xml:space="preserve"> </v>
      </c>
      <c r="N41" s="1820"/>
      <c r="O41" s="1820"/>
      <c r="P41" s="1651"/>
      <c r="Q41" s="635"/>
      <c r="R41" s="1834" t="str">
        <f>+IF(EXACT(A39,"")," ",CONCATENATE(ZAKL_DATA!B18))</f>
        <v xml:space="preserve"> </v>
      </c>
      <c r="S41" s="1835"/>
      <c r="T41" s="1835"/>
      <c r="U41" s="1835"/>
      <c r="V41" s="1835"/>
      <c r="W41" s="1835"/>
      <c r="X41" s="1835"/>
      <c r="Y41" s="1835"/>
      <c r="Z41" s="1836"/>
      <c r="AA41" s="385"/>
      <c r="AB41" s="1649" t="str">
        <f>+IF(EXACT(A39,"")," ",CONCATENATE(ZAKL_DATA!B19))</f>
        <v xml:space="preserve"> </v>
      </c>
      <c r="AC41" s="1820"/>
      <c r="AD41" s="1820"/>
      <c r="AE41" s="1651"/>
      <c r="AF41" s="554"/>
      <c r="AG41" s="1834" t="str">
        <f>+IF(EXACT(A39,"")," ",CONCATENATE(ZAKL_DATA!B20))</f>
        <v xml:space="preserve"> </v>
      </c>
      <c r="AH41" s="1835"/>
      <c r="AI41" s="1835"/>
      <c r="AJ41" s="1835"/>
      <c r="AK41" s="1835"/>
      <c r="AL41" s="1835"/>
      <c r="AM41" s="1835"/>
      <c r="AN41" s="1835"/>
      <c r="AO41" s="1836"/>
    </row>
    <row r="42" spans="1:41" ht="5.1" customHeight="1">
      <c r="A42" s="1703"/>
      <c r="B42" s="1692"/>
      <c r="C42" s="1692"/>
      <c r="D42" s="1692"/>
      <c r="E42" s="1692"/>
      <c r="F42" s="1692"/>
      <c r="G42" s="1692"/>
      <c r="H42" s="1692"/>
      <c r="I42" s="1692"/>
      <c r="J42" s="1692"/>
      <c r="K42" s="1692"/>
      <c r="L42" s="1692"/>
      <c r="M42" s="1692"/>
      <c r="N42" s="1692"/>
      <c r="O42" s="1692"/>
      <c r="P42" s="1692"/>
      <c r="Q42" s="1692"/>
      <c r="R42" s="1692"/>
      <c r="S42" s="1692"/>
      <c r="T42" s="1692"/>
      <c r="U42" s="1692"/>
      <c r="V42" s="1692"/>
      <c r="W42" s="1692"/>
      <c r="X42" s="1692"/>
      <c r="Y42" s="1692"/>
      <c r="Z42" s="1692"/>
      <c r="AA42" s="1692"/>
      <c r="AB42" s="1692"/>
      <c r="AC42" s="1692"/>
      <c r="AD42" s="1692"/>
      <c r="AE42" s="1692"/>
      <c r="AF42" s="1692"/>
      <c r="AG42" s="1692"/>
      <c r="AH42" s="1692"/>
      <c r="AI42" s="1692"/>
      <c r="AJ42" s="1692"/>
      <c r="AK42" s="1692"/>
      <c r="AL42" s="1692"/>
      <c r="AM42" s="1692"/>
      <c r="AN42" s="1692"/>
      <c r="AO42" s="1774"/>
    </row>
    <row r="43" spans="1:41" ht="12.75">
      <c r="A43" s="1628" t="s">
        <v>3804</v>
      </c>
      <c r="B43" s="1670"/>
      <c r="C43" s="1670"/>
      <c r="D43" s="1670"/>
      <c r="E43" s="1670"/>
      <c r="F43" s="1670"/>
      <c r="G43" s="1670"/>
      <c r="H43" s="1670"/>
      <c r="I43" s="1670"/>
      <c r="J43" s="1670"/>
      <c r="K43" s="1670"/>
      <c r="L43" s="1670"/>
      <c r="M43" s="1670"/>
      <c r="N43" s="1670"/>
      <c r="O43" s="1670"/>
      <c r="P43" s="1670"/>
      <c r="Q43" s="1670"/>
      <c r="R43" s="1670"/>
      <c r="S43" s="1670"/>
      <c r="T43" s="1670"/>
      <c r="U43" s="1670"/>
      <c r="V43" s="1670"/>
      <c r="W43" s="1670"/>
      <c r="X43" s="1670"/>
      <c r="Y43" s="1670"/>
      <c r="Z43" s="1670"/>
      <c r="AA43" s="1670"/>
      <c r="AB43" s="1670"/>
      <c r="AC43" s="1670"/>
      <c r="AD43" s="1670"/>
      <c r="AE43" s="1670"/>
      <c r="AF43" s="1670"/>
      <c r="AG43" s="1670"/>
      <c r="AH43" s="1670"/>
      <c r="AI43" s="1670"/>
      <c r="AJ43" s="1670"/>
      <c r="AK43" s="1670"/>
      <c r="AL43" s="1670"/>
      <c r="AM43" s="1670"/>
      <c r="AN43" s="1670"/>
      <c r="AO43" s="1669"/>
    </row>
    <row r="44" spans="1:41" ht="26.1" customHeight="1">
      <c r="A44" s="1837" t="s">
        <v>3964</v>
      </c>
      <c r="B44" s="1838"/>
      <c r="C44" s="1838"/>
      <c r="D44" s="1838"/>
      <c r="E44" s="1838"/>
      <c r="F44" s="1838"/>
      <c r="G44" s="1838"/>
      <c r="H44" s="1838"/>
      <c r="I44" s="1838"/>
      <c r="J44" s="1838"/>
      <c r="K44" s="1838"/>
      <c r="L44" s="1838"/>
      <c r="M44" s="1838"/>
      <c r="N44" s="1838"/>
      <c r="O44" s="1838"/>
      <c r="P44" s="1838"/>
      <c r="Q44" s="1838"/>
      <c r="R44" s="1838"/>
      <c r="S44" s="1838"/>
      <c r="T44" s="1838"/>
      <c r="U44" s="1838"/>
      <c r="V44" s="1838"/>
      <c r="W44" s="1838"/>
      <c r="X44" s="1838"/>
      <c r="Y44" s="1838"/>
      <c r="Z44" s="1838"/>
      <c r="AA44" s="1838"/>
      <c r="AB44" s="1838"/>
      <c r="AC44" s="1838"/>
      <c r="AD44" s="1838"/>
      <c r="AE44" s="1838"/>
      <c r="AF44" s="1838"/>
      <c r="AG44" s="1838"/>
      <c r="AH44" s="1838"/>
      <c r="AI44" s="1838"/>
      <c r="AJ44" s="1838"/>
      <c r="AK44" s="1838"/>
      <c r="AL44" s="1838"/>
      <c r="AM44" s="1838"/>
      <c r="AN44" s="1838"/>
      <c r="AO44" s="1839"/>
    </row>
    <row r="45" spans="1:41" ht="12.75">
      <c r="A45" s="555"/>
      <c r="B45" s="556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6"/>
      <c r="Z45" s="556"/>
      <c r="AA45" s="556"/>
      <c r="AB45" s="556"/>
      <c r="AC45" s="556"/>
      <c r="AD45" s="556"/>
      <c r="AE45" s="556"/>
      <c r="AF45" s="556"/>
      <c r="AG45" s="556"/>
      <c r="AH45" s="556"/>
      <c r="AI45" s="556"/>
      <c r="AJ45" s="556"/>
      <c r="AK45" s="556"/>
      <c r="AL45" s="556"/>
      <c r="AM45" s="556"/>
      <c r="AN45" s="556"/>
      <c r="AO45" s="550"/>
    </row>
    <row r="46" spans="1:41" ht="12.75">
      <c r="A46" s="557"/>
      <c r="B46" s="258"/>
      <c r="C46" s="1702" t="s">
        <v>3805</v>
      </c>
      <c r="D46" s="1840"/>
      <c r="E46" s="1840"/>
      <c r="F46" s="1840"/>
      <c r="G46" s="1840"/>
      <c r="H46" s="1840"/>
      <c r="I46" s="1840"/>
      <c r="J46" s="1840"/>
      <c r="K46" s="1840"/>
      <c r="L46" s="1840"/>
      <c r="M46" s="1840"/>
      <c r="N46" s="1840"/>
      <c r="O46" s="1840"/>
      <c r="P46" s="1840"/>
      <c r="Q46" s="1840"/>
      <c r="R46" s="1840"/>
      <c r="S46" s="1840"/>
      <c r="T46" s="1840"/>
      <c r="U46" s="1840"/>
      <c r="V46" s="1840"/>
      <c r="W46" s="1840"/>
      <c r="X46" s="1840"/>
      <c r="Y46" s="1840"/>
      <c r="Z46" s="1840"/>
      <c r="AA46" s="1840"/>
      <c r="AB46" s="1840"/>
      <c r="AC46" s="1840"/>
      <c r="AD46" s="1840"/>
      <c r="AE46" s="1840"/>
      <c r="AF46" s="1840"/>
      <c r="AG46" s="1840"/>
      <c r="AH46" s="1840"/>
      <c r="AI46" s="1840"/>
      <c r="AJ46" s="1840"/>
      <c r="AK46" s="1840"/>
      <c r="AL46" s="1840"/>
      <c r="AM46" s="1840"/>
      <c r="AN46" s="1840"/>
      <c r="AO46" s="1841"/>
    </row>
    <row r="47" spans="1:41" ht="25.5" customHeight="1">
      <c r="A47" s="556"/>
      <c r="B47" s="556"/>
      <c r="C47" s="1840"/>
      <c r="D47" s="1840"/>
      <c r="E47" s="1840"/>
      <c r="F47" s="1840"/>
      <c r="G47" s="1840"/>
      <c r="H47" s="1840"/>
      <c r="I47" s="1840"/>
      <c r="J47" s="1840"/>
      <c r="K47" s="1840"/>
      <c r="L47" s="1840"/>
      <c r="M47" s="1840"/>
      <c r="N47" s="1840"/>
      <c r="O47" s="1840"/>
      <c r="P47" s="1840"/>
      <c r="Q47" s="1840"/>
      <c r="R47" s="1840"/>
      <c r="S47" s="1840"/>
      <c r="T47" s="1840"/>
      <c r="U47" s="1840"/>
      <c r="V47" s="1840"/>
      <c r="W47" s="1840"/>
      <c r="X47" s="1840"/>
      <c r="Y47" s="1840"/>
      <c r="Z47" s="1840"/>
      <c r="AA47" s="1840"/>
      <c r="AB47" s="1840"/>
      <c r="AC47" s="1840"/>
      <c r="AD47" s="1840"/>
      <c r="AE47" s="1840"/>
      <c r="AF47" s="1840"/>
      <c r="AG47" s="1840"/>
      <c r="AH47" s="1840"/>
      <c r="AI47" s="1840"/>
      <c r="AJ47" s="1840"/>
      <c r="AK47" s="1840"/>
      <c r="AL47" s="1840"/>
      <c r="AM47" s="1840"/>
      <c r="AN47" s="1840"/>
      <c r="AO47" s="1841"/>
    </row>
    <row r="48" spans="1:41" ht="4.5" customHeight="1">
      <c r="A48" s="1703"/>
      <c r="B48" s="1692"/>
      <c r="C48" s="1692"/>
      <c r="D48" s="1692"/>
      <c r="E48" s="1692"/>
      <c r="F48" s="1692"/>
      <c r="G48" s="1692"/>
      <c r="H48" s="1692"/>
      <c r="I48" s="1692"/>
      <c r="J48" s="1692"/>
      <c r="K48" s="1692"/>
      <c r="L48" s="1692"/>
      <c r="M48" s="1692"/>
      <c r="N48" s="1692"/>
      <c r="O48" s="1692"/>
      <c r="P48" s="1692"/>
      <c r="Q48" s="1692"/>
      <c r="R48" s="1692"/>
      <c r="S48" s="1692"/>
      <c r="T48" s="1692"/>
      <c r="U48" s="1692"/>
      <c r="V48" s="1692"/>
      <c r="W48" s="1692"/>
      <c r="X48" s="1692"/>
      <c r="Y48" s="1692"/>
      <c r="Z48" s="1692"/>
      <c r="AA48" s="1692"/>
      <c r="AB48" s="1692"/>
      <c r="AC48" s="1692"/>
      <c r="AD48" s="1692"/>
      <c r="AE48" s="1692"/>
      <c r="AF48" s="1692"/>
      <c r="AG48" s="1692"/>
      <c r="AH48" s="1692"/>
      <c r="AI48" s="1692"/>
      <c r="AJ48" s="1692"/>
      <c r="AK48" s="385"/>
      <c r="AL48" s="385"/>
      <c r="AM48" s="385"/>
      <c r="AN48" s="385"/>
      <c r="AO48" s="534"/>
    </row>
    <row r="49" spans="1:41" ht="12.75">
      <c r="A49" s="1628" t="s">
        <v>3765</v>
      </c>
      <c r="B49" s="1670"/>
      <c r="C49" s="1670"/>
      <c r="D49" s="1670"/>
      <c r="E49" s="1670"/>
      <c r="F49" s="1670"/>
      <c r="G49" s="1670"/>
      <c r="H49" s="1670"/>
      <c r="I49" s="1670"/>
      <c r="J49" s="1670"/>
      <c r="K49" s="1670"/>
      <c r="L49" s="1670"/>
      <c r="M49" s="1670"/>
      <c r="N49" s="1670"/>
      <c r="O49" s="1670"/>
      <c r="P49" s="1670"/>
      <c r="Q49" s="1670"/>
      <c r="R49" s="1670"/>
      <c r="S49" s="1670"/>
      <c r="T49" s="1670"/>
      <c r="U49" s="1670"/>
      <c r="V49" s="1670"/>
      <c r="W49" s="1670"/>
      <c r="X49" s="1670"/>
      <c r="Y49" s="1670"/>
      <c r="Z49" s="1670"/>
      <c r="AA49" s="1670"/>
      <c r="AB49" s="1670"/>
      <c r="AC49" s="1670"/>
      <c r="AD49" s="1670"/>
      <c r="AE49" s="1670"/>
      <c r="AF49" s="1670"/>
      <c r="AG49" s="1670"/>
      <c r="AH49" s="1670"/>
      <c r="AI49" s="1670"/>
      <c r="AJ49" s="1670"/>
      <c r="AK49" s="1670"/>
      <c r="AL49" s="1670"/>
      <c r="AM49" s="1670"/>
      <c r="AN49" s="1670"/>
      <c r="AO49" s="1669"/>
    </row>
    <row r="50" spans="1:41" ht="12.95" customHeight="1">
      <c r="A50" s="1751"/>
      <c r="B50" s="1600"/>
      <c r="C50" s="1600"/>
      <c r="D50" s="1600"/>
      <c r="E50" s="1600"/>
      <c r="F50" s="1600"/>
      <c r="G50" s="1600"/>
      <c r="H50" s="1600"/>
      <c r="I50" s="1600"/>
      <c r="J50" s="1600"/>
      <c r="K50" s="1600"/>
      <c r="L50" s="1600"/>
      <c r="M50" s="1600"/>
      <c r="N50" s="1600"/>
      <c r="O50" s="1600"/>
      <c r="P50" s="1600"/>
      <c r="Q50" s="1600"/>
      <c r="R50" s="1600"/>
      <c r="S50" s="1600"/>
      <c r="T50" s="1600"/>
      <c r="U50" s="1600"/>
      <c r="V50" s="1600"/>
      <c r="W50" s="1600"/>
      <c r="X50" s="1600"/>
      <c r="Y50" s="1600"/>
      <c r="Z50" s="1600"/>
      <c r="AA50" s="1600"/>
      <c r="AB50" s="1600"/>
      <c r="AC50" s="1600"/>
      <c r="AD50" s="1600"/>
      <c r="AE50" s="1600"/>
      <c r="AF50" s="1600"/>
      <c r="AG50" s="1600"/>
      <c r="AH50" s="1600"/>
      <c r="AI50" s="1666" t="s">
        <v>276</v>
      </c>
      <c r="AJ50" s="1874"/>
      <c r="AK50" s="1874"/>
      <c r="AL50" s="1600"/>
      <c r="AM50" s="1600"/>
      <c r="AN50" s="1600"/>
      <c r="AO50" s="1678"/>
    </row>
    <row r="51" spans="1:41" ht="18" customHeight="1">
      <c r="A51" s="1632" t="s">
        <v>3891</v>
      </c>
      <c r="B51" s="1136"/>
      <c r="C51" s="1136"/>
      <c r="D51" s="258"/>
      <c r="E51" s="1772" t="s">
        <v>141</v>
      </c>
      <c r="F51" s="1825"/>
      <c r="G51" s="258" t="s">
        <v>258</v>
      </c>
      <c r="H51" s="1875"/>
      <c r="I51" s="1136"/>
      <c r="J51" s="1136"/>
      <c r="K51" s="1136"/>
      <c r="L51" s="1136"/>
      <c r="M51" s="1136"/>
      <c r="N51" s="1136"/>
      <c r="O51" s="1136"/>
      <c r="P51" s="1136"/>
      <c r="Q51" s="1633" t="s">
        <v>3892</v>
      </c>
      <c r="R51" s="1136"/>
      <c r="S51" s="1136"/>
      <c r="T51" s="1136"/>
      <c r="U51" s="1772" t="s">
        <v>236</v>
      </c>
      <c r="V51" s="1825"/>
      <c r="W51" s="258"/>
      <c r="X51" s="1772" t="s">
        <v>141</v>
      </c>
      <c r="Y51" s="1825"/>
      <c r="Z51" s="258" t="s">
        <v>258</v>
      </c>
      <c r="AA51" s="1875"/>
      <c r="AB51" s="1136"/>
      <c r="AC51" s="1136"/>
      <c r="AD51" s="1136"/>
      <c r="AE51" s="1136"/>
      <c r="AF51" s="1136"/>
      <c r="AG51" s="1136"/>
      <c r="AH51" s="1714"/>
      <c r="AI51" s="1812">
        <v>0</v>
      </c>
      <c r="AJ51" s="1816"/>
      <c r="AK51" s="1691"/>
      <c r="AL51" s="1136"/>
      <c r="AM51" s="1136"/>
      <c r="AN51" s="1136"/>
      <c r="AO51" s="1714"/>
    </row>
    <row r="52" spans="1:41" ht="5.1" customHeight="1">
      <c r="A52" s="1703"/>
      <c r="B52" s="1692"/>
      <c r="C52" s="1692"/>
      <c r="D52" s="1692"/>
      <c r="E52" s="1692"/>
      <c r="F52" s="1692"/>
      <c r="G52" s="1692"/>
      <c r="H52" s="1692"/>
      <c r="I52" s="1692"/>
      <c r="J52" s="1692"/>
      <c r="K52" s="1692"/>
      <c r="L52" s="1692"/>
      <c r="M52" s="1692"/>
      <c r="N52" s="1692"/>
      <c r="O52" s="1692"/>
      <c r="P52" s="1692"/>
      <c r="Q52" s="1692"/>
      <c r="R52" s="1692"/>
      <c r="S52" s="1692"/>
      <c r="T52" s="1692"/>
      <c r="U52" s="1692"/>
      <c r="V52" s="1692"/>
      <c r="W52" s="1692"/>
      <c r="X52" s="1692"/>
      <c r="Y52" s="1692"/>
      <c r="Z52" s="1692"/>
      <c r="AA52" s="1692"/>
      <c r="AB52" s="1692"/>
      <c r="AC52" s="1692"/>
      <c r="AD52" s="1692"/>
      <c r="AE52" s="1692"/>
      <c r="AF52" s="1692"/>
      <c r="AG52" s="1692"/>
      <c r="AH52" s="1692"/>
      <c r="AI52" s="1692"/>
      <c r="AJ52" s="1692"/>
      <c r="AK52" s="1692"/>
      <c r="AL52" s="1692"/>
      <c r="AM52" s="1692"/>
      <c r="AN52" s="1692"/>
      <c r="AO52" s="1774"/>
    </row>
    <row r="53" spans="1:41" ht="39.95" customHeight="1">
      <c r="A53" s="1775" t="s">
        <v>3973</v>
      </c>
      <c r="B53" s="1633"/>
      <c r="C53" s="1633"/>
      <c r="D53" s="1633"/>
      <c r="E53" s="1633"/>
      <c r="F53" s="1633"/>
      <c r="G53" s="1633"/>
      <c r="H53" s="1633"/>
      <c r="I53" s="1633"/>
      <c r="J53" s="1633"/>
      <c r="K53" s="1633"/>
      <c r="L53" s="1633"/>
      <c r="M53" s="1633"/>
      <c r="N53" s="1633"/>
      <c r="O53" s="1633"/>
      <c r="P53" s="1633"/>
      <c r="Q53" s="1633"/>
      <c r="R53" s="1633"/>
      <c r="S53" s="1633"/>
      <c r="T53" s="1633"/>
      <c r="U53" s="1633"/>
      <c r="V53" s="1633"/>
      <c r="W53" s="1633"/>
      <c r="X53" s="1633"/>
      <c r="Y53" s="1633"/>
      <c r="Z53" s="1633"/>
      <c r="AA53" s="1633"/>
      <c r="AB53" s="1633"/>
      <c r="AC53" s="1633"/>
      <c r="AD53" s="1633"/>
      <c r="AE53" s="1633"/>
      <c r="AF53" s="1633"/>
      <c r="AG53" s="1633"/>
      <c r="AH53" s="1633"/>
      <c r="AI53" s="1633"/>
      <c r="AJ53" s="1633"/>
      <c r="AK53" s="1633"/>
      <c r="AL53" s="1633"/>
      <c r="AM53" s="1633"/>
      <c r="AN53" s="1633"/>
      <c r="AO53" s="1776"/>
    </row>
    <row r="54" spans="1:41" ht="5.1" customHeight="1">
      <c r="A54" s="1703"/>
      <c r="B54" s="1692"/>
      <c r="C54" s="1692"/>
      <c r="D54" s="1692"/>
      <c r="E54" s="1692"/>
      <c r="F54" s="1692"/>
      <c r="G54" s="1692"/>
      <c r="H54" s="1692"/>
      <c r="I54" s="1692"/>
      <c r="J54" s="1692"/>
      <c r="K54" s="1692"/>
      <c r="L54" s="1692"/>
      <c r="M54" s="1692"/>
      <c r="N54" s="1692"/>
      <c r="O54" s="1692"/>
      <c r="P54" s="1692"/>
      <c r="Q54" s="1692"/>
      <c r="R54" s="1692"/>
      <c r="S54" s="1692"/>
      <c r="T54" s="1692"/>
      <c r="U54" s="1692"/>
      <c r="V54" s="1692"/>
      <c r="W54" s="1692"/>
      <c r="X54" s="1692"/>
      <c r="Y54" s="1692"/>
      <c r="Z54" s="1692"/>
      <c r="AA54" s="1692"/>
      <c r="AB54" s="1692"/>
      <c r="AC54" s="1692"/>
      <c r="AD54" s="1692"/>
      <c r="AE54" s="1692"/>
      <c r="AF54" s="1692"/>
      <c r="AG54" s="1692"/>
      <c r="AH54" s="1692"/>
      <c r="AI54" s="1692"/>
      <c r="AJ54" s="1692"/>
      <c r="AK54" s="1692"/>
      <c r="AL54" s="1692"/>
      <c r="AM54" s="1692"/>
      <c r="AN54" s="1692"/>
      <c r="AO54" s="1774"/>
    </row>
    <row r="55" spans="1:41" ht="12.75">
      <c r="A55" s="1684" t="s">
        <v>44</v>
      </c>
      <c r="B55" s="1633"/>
      <c r="C55" s="1633"/>
      <c r="D55" s="1692"/>
      <c r="E55" s="1692"/>
      <c r="F55" s="1692"/>
      <c r="G55" s="1692"/>
      <c r="H55" s="1692"/>
      <c r="I55" s="1692"/>
      <c r="J55" s="1692"/>
      <c r="K55" s="1692"/>
      <c r="L55" s="1692"/>
      <c r="M55" s="1692"/>
      <c r="N55" s="1692"/>
      <c r="O55" s="1692"/>
      <c r="P55" s="1692"/>
      <c r="Q55" s="1692"/>
      <c r="R55" s="1692"/>
      <c r="S55" s="1692"/>
      <c r="T55" s="1692"/>
      <c r="U55" s="1692"/>
      <c r="V55" s="1692"/>
      <c r="W55" s="1692"/>
      <c r="X55" s="1692"/>
      <c r="Y55" s="1692"/>
      <c r="Z55" s="1692"/>
      <c r="AA55" s="1692"/>
      <c r="AB55" s="1692"/>
      <c r="AC55" s="1692"/>
      <c r="AD55" s="1692"/>
      <c r="AE55" s="1692"/>
      <c r="AF55" s="1692"/>
      <c r="AG55" s="1136"/>
      <c r="AH55" s="1136"/>
      <c r="AI55" s="1675" t="s">
        <v>310</v>
      </c>
      <c r="AJ55" s="1675"/>
      <c r="AK55" s="1675"/>
      <c r="AL55" s="1675"/>
      <c r="AM55" s="1675"/>
      <c r="AN55" s="1675"/>
      <c r="AO55" s="1858"/>
    </row>
    <row r="56" spans="1:41" ht="18" customHeight="1">
      <c r="A56" s="1859">
        <f ca="1">+TODAY()</f>
        <v>44994</v>
      </c>
      <c r="B56" s="1815"/>
      <c r="C56" s="1860"/>
      <c r="D56" s="385"/>
      <c r="E56" s="1692"/>
      <c r="F56" s="1692"/>
      <c r="G56" s="1704"/>
      <c r="H56" s="1704"/>
      <c r="I56" s="1704"/>
      <c r="J56" s="1704"/>
      <c r="K56" s="1704"/>
      <c r="L56" s="1861" t="s">
        <v>277</v>
      </c>
      <c r="M56" s="1862"/>
      <c r="N56" s="1862"/>
      <c r="O56" s="1862"/>
      <c r="P56" s="1862"/>
      <c r="Q56" s="1862"/>
      <c r="R56" s="1862"/>
      <c r="S56" s="1862"/>
      <c r="T56" s="1862"/>
      <c r="U56" s="1863"/>
      <c r="V56" s="538"/>
      <c r="W56" s="1861" t="s">
        <v>278</v>
      </c>
      <c r="X56" s="1862"/>
      <c r="Y56" s="1862"/>
      <c r="Z56" s="1862"/>
      <c r="AA56" s="1862"/>
      <c r="AB56" s="1862"/>
      <c r="AC56" s="1862"/>
      <c r="AD56" s="1863"/>
      <c r="AE56" s="1692"/>
      <c r="AF56" s="1692"/>
      <c r="AG56" s="1692"/>
      <c r="AH56" s="1692"/>
      <c r="AI56" s="1870"/>
      <c r="AJ56" s="1856"/>
      <c r="AK56" s="1856"/>
      <c r="AL56" s="1856"/>
      <c r="AM56" s="1856"/>
      <c r="AN56" s="1856"/>
      <c r="AO56" s="1857"/>
    </row>
    <row r="57" spans="1:41" ht="12.75">
      <c r="A57" s="1632"/>
      <c r="B57" s="1136"/>
      <c r="C57" s="1136"/>
      <c r="D57" s="385"/>
      <c r="E57" s="1704"/>
      <c r="F57" s="1704"/>
      <c r="G57" s="1704"/>
      <c r="H57" s="1704"/>
      <c r="I57" s="1704"/>
      <c r="J57" s="1704"/>
      <c r="K57" s="1704"/>
      <c r="L57" s="1864"/>
      <c r="M57" s="1865"/>
      <c r="N57" s="1865"/>
      <c r="O57" s="1865"/>
      <c r="P57" s="1865"/>
      <c r="Q57" s="1865"/>
      <c r="R57" s="1865"/>
      <c r="S57" s="1865"/>
      <c r="T57" s="1865"/>
      <c r="U57" s="1866"/>
      <c r="V57" s="538"/>
      <c r="W57" s="1864"/>
      <c r="X57" s="1865"/>
      <c r="Y57" s="1865"/>
      <c r="Z57" s="1865"/>
      <c r="AA57" s="1865"/>
      <c r="AB57" s="1865"/>
      <c r="AC57" s="1865"/>
      <c r="AD57" s="1866"/>
      <c r="AE57" s="385"/>
      <c r="AF57" s="385"/>
      <c r="AG57" s="385"/>
      <c r="AH57" s="385"/>
      <c r="AI57" s="1828" t="s">
        <v>3631</v>
      </c>
      <c r="AJ57" s="1828"/>
      <c r="AK57" s="1828"/>
      <c r="AL57" s="1828"/>
      <c r="AM57" s="1828"/>
      <c r="AN57" s="1828"/>
      <c r="AO57" s="1854"/>
    </row>
    <row r="58" spans="1:41" ht="18" customHeight="1">
      <c r="A58" s="1873"/>
      <c r="B58" s="1136"/>
      <c r="C58" s="1136"/>
      <c r="D58" s="385"/>
      <c r="E58" s="1704"/>
      <c r="F58" s="1704"/>
      <c r="G58" s="1704"/>
      <c r="H58" s="1704"/>
      <c r="I58" s="1704"/>
      <c r="J58" s="1704"/>
      <c r="K58" s="1704"/>
      <c r="L58" s="1864"/>
      <c r="M58" s="1865"/>
      <c r="N58" s="1865"/>
      <c r="O58" s="1865"/>
      <c r="P58" s="1865"/>
      <c r="Q58" s="1865"/>
      <c r="R58" s="1865"/>
      <c r="S58" s="1865"/>
      <c r="T58" s="1865"/>
      <c r="U58" s="1866"/>
      <c r="V58" s="538"/>
      <c r="W58" s="1864"/>
      <c r="X58" s="1865"/>
      <c r="Y58" s="1865"/>
      <c r="Z58" s="1865"/>
      <c r="AA58" s="1865"/>
      <c r="AB58" s="1865"/>
      <c r="AC58" s="1865"/>
      <c r="AD58" s="1866"/>
      <c r="AE58" s="385"/>
      <c r="AF58" s="385"/>
      <c r="AG58" s="385"/>
      <c r="AH58" s="385"/>
      <c r="AI58" s="1855"/>
      <c r="AJ58" s="1856"/>
      <c r="AK58" s="1856"/>
      <c r="AL58" s="1856"/>
      <c r="AM58" s="1856"/>
      <c r="AN58" s="1856"/>
      <c r="AO58" s="1857"/>
    </row>
    <row r="59" spans="1:41" ht="38.1" customHeight="1">
      <c r="A59" s="532"/>
      <c r="B59" s="1692"/>
      <c r="C59" s="1692"/>
      <c r="D59" s="1692"/>
      <c r="E59" s="1704"/>
      <c r="F59" s="1704"/>
      <c r="G59" s="1704"/>
      <c r="H59" s="1704"/>
      <c r="I59" s="1704"/>
      <c r="J59" s="1704"/>
      <c r="K59" s="1704"/>
      <c r="L59" s="1864"/>
      <c r="M59" s="1865"/>
      <c r="N59" s="1865"/>
      <c r="O59" s="1865"/>
      <c r="P59" s="1865"/>
      <c r="Q59" s="1865"/>
      <c r="R59" s="1865"/>
      <c r="S59" s="1865"/>
      <c r="T59" s="1865"/>
      <c r="U59" s="1866"/>
      <c r="V59" s="538"/>
      <c r="W59" s="1864"/>
      <c r="X59" s="1865"/>
      <c r="Y59" s="1865"/>
      <c r="Z59" s="1865"/>
      <c r="AA59" s="1865"/>
      <c r="AB59" s="1865"/>
      <c r="AC59" s="1865"/>
      <c r="AD59" s="1866"/>
      <c r="AE59" s="385"/>
      <c r="AF59" s="385"/>
      <c r="AG59" s="385"/>
      <c r="AH59" s="385"/>
      <c r="AI59" s="385"/>
      <c r="AJ59" s="385"/>
      <c r="AK59" s="385"/>
      <c r="AL59" s="385"/>
      <c r="AM59" s="385"/>
      <c r="AN59" s="385"/>
      <c r="AO59" s="534"/>
    </row>
    <row r="60" spans="1:41" ht="12.75">
      <c r="A60" s="532"/>
      <c r="B60" s="1692"/>
      <c r="C60" s="1692"/>
      <c r="D60" s="1692"/>
      <c r="E60" s="1704"/>
      <c r="F60" s="1704"/>
      <c r="G60" s="1704"/>
      <c r="H60" s="1704"/>
      <c r="I60" s="1704"/>
      <c r="J60" s="1704"/>
      <c r="K60" s="1704"/>
      <c r="L60" s="1867"/>
      <c r="M60" s="1868"/>
      <c r="N60" s="1868"/>
      <c r="O60" s="1868"/>
      <c r="P60" s="1868"/>
      <c r="Q60" s="1868"/>
      <c r="R60" s="1868"/>
      <c r="S60" s="1868"/>
      <c r="T60" s="1868"/>
      <c r="U60" s="1869"/>
      <c r="V60" s="538"/>
      <c r="W60" s="1867"/>
      <c r="X60" s="1868"/>
      <c r="Y60" s="1868"/>
      <c r="Z60" s="1868"/>
      <c r="AA60" s="1868"/>
      <c r="AB60" s="1868"/>
      <c r="AC60" s="1868"/>
      <c r="AD60" s="1869"/>
      <c r="AE60" s="1692"/>
      <c r="AF60" s="1692"/>
      <c r="AG60" s="1692"/>
      <c r="AH60" s="1692"/>
      <c r="AI60" s="1871" t="s">
        <v>279</v>
      </c>
      <c r="AJ60" s="1871"/>
      <c r="AK60" s="1871"/>
      <c r="AL60" s="1871"/>
      <c r="AM60" s="1871"/>
      <c r="AN60" s="1871"/>
      <c r="AO60" s="1872"/>
    </row>
    <row r="61" spans="1:41" ht="15" customHeight="1">
      <c r="A61" s="1849" t="str">
        <f>+'DAP1'!A46</f>
        <v>Formulář zpracovala ASPEKT HM, daňová, účetní a auditorská kancelář, www.danovapriznani.cz, business.center.cz</v>
      </c>
      <c r="B61" s="1850"/>
      <c r="C61" s="1850"/>
      <c r="D61" s="1850"/>
      <c r="E61" s="1850"/>
      <c r="F61" s="1850"/>
      <c r="G61" s="1850"/>
      <c r="H61" s="1850"/>
      <c r="I61" s="1850"/>
      <c r="J61" s="1850"/>
      <c r="K61" s="1850"/>
      <c r="L61" s="1850"/>
      <c r="M61" s="1850"/>
      <c r="N61" s="1850"/>
      <c r="O61" s="1850"/>
      <c r="P61" s="1850"/>
      <c r="Q61" s="1850"/>
      <c r="R61" s="1850"/>
      <c r="S61" s="1850"/>
      <c r="T61" s="1850"/>
      <c r="U61" s="1850"/>
      <c r="V61" s="1850"/>
      <c r="W61" s="1850"/>
      <c r="X61" s="1850"/>
      <c r="Y61" s="1850"/>
      <c r="Z61" s="1850"/>
      <c r="AA61" s="1850"/>
      <c r="AB61" s="1850"/>
      <c r="AC61" s="1850"/>
      <c r="AD61" s="1850"/>
      <c r="AE61" s="1850"/>
      <c r="AF61" s="1850"/>
      <c r="AG61" s="1850"/>
      <c r="AH61" s="1850"/>
      <c r="AI61" s="1850"/>
      <c r="AJ61" s="1851" t="s">
        <v>3974</v>
      </c>
      <c r="AK61" s="1852"/>
      <c r="AL61" s="1852"/>
      <c r="AM61" s="1852"/>
      <c r="AN61" s="1852"/>
      <c r="AO61" s="1853"/>
    </row>
    <row r="62" spans="1:41" ht="12.7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</row>
    <row r="63" spans="1:41" ht="12.7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</row>
    <row r="64" spans="1:41" ht="12.7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</row>
    <row r="65" spans="1:41" ht="12.7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</row>
    <row r="66" spans="1:41" ht="12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</row>
    <row r="67" spans="1:41" ht="12.7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</row>
    <row r="68" spans="1:41" ht="12.7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</row>
    <row r="69" spans="1:41" ht="12.7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</row>
    <row r="70" spans="1:41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</row>
    <row r="71" spans="1:41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</row>
    <row r="72" spans="1:41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</row>
    <row r="73" spans="1:41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</row>
    <row r="74" spans="1:41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</row>
    <row r="75" spans="1:41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</row>
    <row r="76" spans="1:41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</row>
    <row r="77" spans="1:41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</row>
    <row r="78" s="22" customFormat="1" ht="12.75"/>
    <row r="79" s="22" customFormat="1" ht="12.75"/>
    <row r="80" s="22" customFormat="1" ht="12.75"/>
    <row r="81" s="22" customFormat="1" ht="12.75"/>
    <row r="82" s="22" customFormat="1" ht="12.75"/>
    <row r="83" s="22" customFormat="1" ht="12.75"/>
    <row r="84" s="22" customFormat="1" ht="12.75"/>
    <row r="85" s="22" customFormat="1" ht="12.75"/>
    <row r="86" s="22" customFormat="1" ht="12.75"/>
    <row r="87" s="22" customFormat="1" ht="12.75"/>
    <row r="88" s="22" customFormat="1" ht="12.75"/>
    <row r="89" s="22" customFormat="1" ht="12.75"/>
    <row r="90" s="22" customFormat="1" ht="12.75"/>
    <row r="91" s="22" customFormat="1" ht="12.75"/>
    <row r="92" s="22" customFormat="1" ht="12.75"/>
    <row r="93" s="22" customFormat="1" ht="12.75"/>
    <row r="94" s="22" customFormat="1" ht="12.75"/>
    <row r="95" s="22" customFormat="1" ht="12.75"/>
    <row r="96" s="22" customFormat="1" ht="12.75"/>
    <row r="97" s="22" customFormat="1" ht="12.75"/>
    <row r="98" s="22" customFormat="1" ht="12.75"/>
    <row r="99" s="22" customFormat="1" ht="12.75"/>
    <row r="100" s="22" customFormat="1" ht="12.75"/>
    <row r="101" s="22" customFormat="1" ht="12.75"/>
    <row r="102" s="22" customFormat="1" ht="12.75"/>
    <row r="103" s="22" customFormat="1" ht="12.75"/>
    <row r="104" s="22" customFormat="1" ht="12.75"/>
    <row r="105" s="22" customFormat="1" ht="12.75"/>
    <row r="106" s="22" customFormat="1" ht="12.75"/>
    <row r="107" s="22" customFormat="1" ht="12.75"/>
    <row r="108" s="22" customFormat="1" ht="12.75"/>
    <row r="109" s="22" customFormat="1" ht="12.75"/>
    <row r="110" s="22" customFormat="1" ht="12.75"/>
    <row r="111" s="22" customFormat="1" ht="12.75"/>
    <row r="112" s="22" customFormat="1" ht="12.75"/>
    <row r="113" s="22" customFormat="1" ht="12.75"/>
    <row r="114" s="22" customFormat="1" ht="12.75"/>
    <row r="115" s="22" customFormat="1" ht="12.75"/>
    <row r="116" s="22" customFormat="1" ht="12.75"/>
    <row r="117" s="22" customFormat="1" ht="12.75"/>
    <row r="118" s="22" customFormat="1" ht="12.75"/>
    <row r="119" s="22" customFormat="1" ht="12.75"/>
    <row r="120" s="22" customFormat="1" ht="12.75"/>
    <row r="121" s="22" customFormat="1" ht="12.75"/>
    <row r="122" s="22" customFormat="1" ht="12.75"/>
    <row r="123" s="22" customFormat="1" ht="12.75"/>
    <row r="124" s="22" customFormat="1" ht="12.75"/>
    <row r="125" s="22" customFormat="1" ht="12.75"/>
    <row r="126" s="22" customFormat="1" ht="12.75"/>
    <row r="127" s="22" customFormat="1" ht="12.75"/>
    <row r="128" s="22" customFormat="1" ht="12.75"/>
    <row r="129" s="22" customFormat="1" ht="12.75"/>
    <row r="130" s="22" customFormat="1" ht="12.75"/>
    <row r="131" s="22" customFormat="1" ht="12.75"/>
    <row r="132" s="22" customFormat="1" ht="12.75"/>
    <row r="133" s="22" customFormat="1" ht="12.75"/>
    <row r="134" s="22" customFormat="1" ht="12.75"/>
    <row r="135" s="22" customFormat="1" ht="12.75"/>
    <row r="136" s="22" customFormat="1" ht="12.75"/>
    <row r="137" s="22" customFormat="1" ht="12.75"/>
    <row r="138" s="22" customFormat="1" ht="12.75"/>
    <row r="139" s="22" customFormat="1" ht="12.75"/>
    <row r="140" s="22" customFormat="1" ht="12.75"/>
    <row r="141" s="22" customFormat="1" ht="12.75"/>
    <row r="142" s="22" customFormat="1" ht="12.75"/>
    <row r="143" s="22" customFormat="1" ht="12.75"/>
    <row r="144" s="22" customFormat="1" ht="12.75"/>
    <row r="145" s="22" customFormat="1" ht="12.75"/>
    <row r="146" s="22" customFormat="1" ht="12.75"/>
    <row r="147" s="22" customFormat="1" ht="12.75"/>
    <row r="148" s="22" customFormat="1" ht="12.75"/>
    <row r="149" s="22" customFormat="1" ht="12.75"/>
    <row r="150" s="22" customFormat="1" ht="12.75"/>
    <row r="151" s="22" customFormat="1" ht="12.75"/>
    <row r="152" s="22" customFormat="1" ht="12.75"/>
    <row r="153" s="22" customFormat="1" ht="12.75"/>
    <row r="154" s="22" customFormat="1" ht="12.75"/>
    <row r="155" s="22" customFormat="1" ht="12.75"/>
    <row r="156" s="22" customFormat="1" ht="12.75"/>
    <row r="157" s="22" customFormat="1" ht="12.75"/>
    <row r="158" s="22" customFormat="1" ht="12.75"/>
    <row r="159" s="22" customFormat="1" ht="12.75"/>
    <row r="160" s="22" customFormat="1" ht="12.75"/>
    <row r="161" s="22" customFormat="1" ht="12.75"/>
    <row r="162" s="22" customFormat="1" ht="12.75"/>
    <row r="163" s="22" customFormat="1" ht="12.75"/>
    <row r="164" s="22" customFormat="1" ht="12.75"/>
    <row r="165" s="22" customFormat="1" ht="12.75"/>
    <row r="166" s="22" customFormat="1" ht="12.75"/>
    <row r="167" s="22" customFormat="1" ht="12.75"/>
    <row r="168" s="22" customFormat="1" ht="12.75"/>
    <row r="169" s="22" customFormat="1" ht="12.75"/>
    <row r="170" s="22" customFormat="1" ht="12.75"/>
    <row r="171" s="22" customFormat="1" ht="12.75"/>
    <row r="172" s="22" customFormat="1" ht="12.75"/>
    <row r="173" s="22" customFormat="1" ht="12.75"/>
    <row r="174" s="22" customFormat="1" ht="12.75"/>
    <row r="175" s="22" customFormat="1" ht="12.75"/>
    <row r="176" s="22" customFormat="1" ht="12.75"/>
    <row r="177" s="22" customFormat="1" ht="12.75"/>
    <row r="178" s="22" customFormat="1" ht="12.75"/>
    <row r="179" s="22" customFormat="1" ht="12.75"/>
    <row r="180" s="22" customFormat="1" ht="12.75"/>
    <row r="181" s="22" customFormat="1" ht="12.75"/>
    <row r="182" s="22" customFormat="1" ht="12.75"/>
    <row r="183" s="22" customFormat="1" ht="12.75"/>
    <row r="184" s="22" customFormat="1" ht="12.75"/>
    <row r="185" s="22" customFormat="1" ht="12.75"/>
    <row r="186" s="22" customFormat="1" ht="12.75"/>
    <row r="187" s="22" customFormat="1" ht="12.75"/>
    <row r="188" s="22" customFormat="1" ht="12.75"/>
    <row r="189" s="22" customFormat="1" ht="12.75"/>
    <row r="190" s="22" customFormat="1" ht="12.75"/>
    <row r="191" s="22" customFormat="1" ht="12.75"/>
    <row r="192" s="22" customFormat="1" ht="12.75"/>
    <row r="193" s="22" customFormat="1" ht="12.75"/>
    <row r="194" s="22" customFormat="1" ht="12.75"/>
    <row r="195" s="22" customFormat="1" ht="12.75"/>
    <row r="196" s="22" customFormat="1" ht="12.75"/>
    <row r="197" s="22" customFormat="1" ht="12.75"/>
    <row r="198" s="22" customFormat="1" ht="12.75"/>
    <row r="199" s="22" customFormat="1" ht="12.75"/>
    <row r="200" s="22" customFormat="1" ht="12.75"/>
    <row r="201" s="22" customFormat="1" ht="12.75"/>
    <row r="202" s="22" customFormat="1" ht="12.75"/>
    <row r="203" s="22" customFormat="1" ht="12.75"/>
    <row r="204" s="22" customFormat="1" ht="12.75"/>
    <row r="205" s="22" customFormat="1" ht="12.75"/>
    <row r="206" s="22" customFormat="1" ht="12.75"/>
    <row r="207" s="22" customFormat="1" ht="12.75"/>
    <row r="208" s="22" customFormat="1" ht="12.75"/>
    <row r="209" s="22" customFormat="1" ht="12.75"/>
    <row r="210" s="22" customFormat="1" ht="12.75"/>
    <row r="211" s="22" customFormat="1" ht="12.75"/>
    <row r="212" s="22" customFormat="1" ht="12.75"/>
    <row r="213" s="22" customFormat="1" ht="12.75"/>
    <row r="214" s="22" customFormat="1" ht="12.75"/>
    <row r="215" s="22" customFormat="1" ht="12.75"/>
    <row r="216" s="22" customFormat="1" ht="12.75"/>
    <row r="217" s="22" customFormat="1" ht="12.75"/>
    <row r="218" s="22" customFormat="1" ht="12.75"/>
    <row r="219" s="22" customFormat="1" ht="12.75"/>
    <row r="220" s="22" customFormat="1" ht="12.75"/>
    <row r="221" s="22" customFormat="1" ht="12.75"/>
    <row r="222" s="22" customFormat="1" ht="12.75"/>
    <row r="223" s="22" customFormat="1" ht="12.75"/>
    <row r="224" s="22" customFormat="1" ht="12.75"/>
    <row r="225" s="22" customFormat="1" ht="12.75"/>
    <row r="226" s="22" customFormat="1" ht="12.75"/>
    <row r="227" s="22" customFormat="1" ht="12.75"/>
    <row r="228" s="22" customFormat="1" ht="12.75"/>
    <row r="229" s="22" customFormat="1" ht="12.75"/>
    <row r="230" s="22" customFormat="1" ht="12.75"/>
    <row r="231" s="22" customFormat="1" ht="12.75"/>
    <row r="232" s="22" customFormat="1" ht="12.75"/>
    <row r="233" s="22" customFormat="1" ht="12.75"/>
    <row r="234" s="22" customFormat="1" ht="12.75"/>
    <row r="235" s="22" customFormat="1" ht="12.75"/>
    <row r="236" s="22" customFormat="1" ht="12.75"/>
    <row r="237" s="22" customFormat="1" ht="12.75"/>
    <row r="238" s="22" customFormat="1" ht="12.75"/>
    <row r="239" s="22" customFormat="1" ht="12.75"/>
    <row r="240" s="22" customFormat="1" ht="12.75"/>
    <row r="241" s="22" customFormat="1" ht="12.75"/>
    <row r="242" s="22" customFormat="1" ht="12.75"/>
    <row r="243" s="22" customFormat="1" ht="12.75"/>
    <row r="244" s="22" customFormat="1" ht="12.75"/>
    <row r="245" s="22" customFormat="1" ht="12.75"/>
    <row r="246" s="22" customFormat="1" ht="12.75"/>
    <row r="247" s="22" customFormat="1" ht="12.75"/>
    <row r="248" s="22" customFormat="1" ht="12.75"/>
    <row r="249" s="22" customFormat="1" ht="12.75"/>
    <row r="250" s="22" customFormat="1" ht="12.75"/>
    <row r="251" s="22" customFormat="1" ht="12.75"/>
    <row r="252" s="22" customFormat="1" ht="12.75"/>
    <row r="253" s="22" customFormat="1" ht="12.75"/>
    <row r="254" s="22" customFormat="1" ht="12.75"/>
    <row r="255" s="22" customFormat="1" ht="12.75"/>
    <row r="256" s="22" customFormat="1" ht="12.75"/>
    <row r="257" s="22" customFormat="1" ht="12.75"/>
    <row r="258" s="22" customFormat="1" ht="12.75"/>
    <row r="259" s="22" customFormat="1" ht="12.75"/>
    <row r="260" s="22" customFormat="1" ht="12.75"/>
    <row r="261" s="22" customFormat="1" ht="12.75"/>
    <row r="262" s="22" customFormat="1" ht="12.75"/>
    <row r="263" s="22" customFormat="1" ht="12.75"/>
    <row r="264" s="22" customFormat="1" ht="12.75"/>
    <row r="265" s="22" customFormat="1" ht="12.75"/>
    <row r="266" s="22" customFormat="1" ht="12.75"/>
    <row r="267" s="22" customFormat="1" ht="12.75"/>
    <row r="268" s="22" customFormat="1" ht="12.75"/>
    <row r="269" s="22" customFormat="1" ht="12.75"/>
    <row r="270" s="22" customFormat="1" ht="12.75"/>
    <row r="271" s="22" customFormat="1" ht="12.75"/>
    <row r="272" s="22" customFormat="1" ht="12.75"/>
    <row r="273" s="22" customFormat="1" ht="12.75"/>
    <row r="274" s="22" customFormat="1" ht="12.75"/>
    <row r="275" s="22" customFormat="1" ht="12.75"/>
    <row r="276" s="22" customFormat="1" ht="12.75"/>
    <row r="277" s="22" customFormat="1" ht="12.75"/>
    <row r="278" s="22" customFormat="1" ht="12.75"/>
    <row r="279" s="22" customFormat="1" ht="12.75"/>
    <row r="280" s="22" customFormat="1" ht="12.75"/>
    <row r="281" s="22" customFormat="1" ht="12.75"/>
    <row r="282" s="22" customFormat="1" ht="12.75"/>
    <row r="283" s="22" customFormat="1" ht="12.75"/>
    <row r="284" s="22" customFormat="1" ht="12.75"/>
    <row r="285" s="22" customFormat="1" ht="12.75"/>
    <row r="286" s="22" customFormat="1" ht="12.75"/>
    <row r="287" s="22" customFormat="1" ht="12.75"/>
    <row r="288" s="22" customFormat="1" ht="12.75"/>
    <row r="289" s="22" customFormat="1" ht="12.75"/>
    <row r="290" s="22" customFormat="1" ht="12.75"/>
    <row r="291" s="22" customFormat="1" ht="12.75"/>
    <row r="292" s="22" customFormat="1" ht="12.75"/>
    <row r="293" s="22" customFormat="1" ht="12.75"/>
    <row r="294" s="22" customFormat="1" ht="12.75"/>
    <row r="295" s="22" customFormat="1" ht="12.75"/>
    <row r="296" s="22" customFormat="1" ht="12.75"/>
    <row r="297" s="22" customFormat="1" ht="12.75"/>
    <row r="298" s="22" customFormat="1" ht="12.75"/>
    <row r="299" s="22" customFormat="1" ht="12.75"/>
    <row r="300" s="22" customFormat="1" ht="12.75"/>
    <row r="301" s="22" customFormat="1" ht="12.75"/>
    <row r="302" s="22" customFormat="1" ht="12.75"/>
    <row r="303" s="22" customFormat="1" ht="12.75"/>
    <row r="304" s="22" customFormat="1" ht="12.75"/>
    <row r="305" s="22" customFormat="1" ht="12.75"/>
    <row r="306" s="22" customFormat="1" ht="12.75"/>
    <row r="307" s="22" customFormat="1" ht="12.75"/>
    <row r="308" s="22" customFormat="1" ht="12.75"/>
    <row r="309" s="22" customFormat="1" ht="12.75"/>
    <row r="310" s="22" customFormat="1" ht="12.75"/>
    <row r="311" s="22" customFormat="1" ht="12.75"/>
    <row r="312" s="22" customFormat="1" ht="12.75"/>
    <row r="313" s="22" customFormat="1" ht="12.75"/>
    <row r="314" s="22" customFormat="1" ht="12.75"/>
    <row r="315" s="22" customFormat="1" ht="12.75"/>
    <row r="316" s="22" customFormat="1" ht="12.75"/>
    <row r="317" s="22" customFormat="1" ht="12.75"/>
    <row r="318" s="22" customFormat="1" ht="12.75"/>
    <row r="319" s="22" customFormat="1" ht="12.75"/>
    <row r="320" s="22" customFormat="1" ht="12.75"/>
    <row r="321" s="22" customFormat="1" ht="12.75"/>
    <row r="322" s="22" customFormat="1" ht="12.75"/>
    <row r="323" s="22" customFormat="1" ht="12.75"/>
    <row r="324" s="22" customFormat="1" ht="12.75"/>
    <row r="325" s="22" customFormat="1" ht="12.75"/>
    <row r="326" s="22" customFormat="1" ht="12.75"/>
    <row r="327" s="22" customFormat="1" ht="12.75"/>
    <row r="328" s="22" customFormat="1" ht="12.75"/>
    <row r="329" s="22" customFormat="1" ht="12.75"/>
    <row r="330" s="22" customFormat="1" ht="12.75"/>
    <row r="331" s="22" customFormat="1" ht="12.75"/>
    <row r="332" s="22" customFormat="1" ht="12.75"/>
    <row r="333" s="22" customFormat="1" ht="12.75"/>
    <row r="334" s="22" customFormat="1" ht="12.75"/>
    <row r="335" s="22" customFormat="1" ht="12.75"/>
    <row r="336" s="22" customFormat="1" ht="12.75"/>
    <row r="337" s="22" customFormat="1" ht="12.75"/>
    <row r="338" s="22" customFormat="1" ht="12.75"/>
    <row r="339" s="22" customFormat="1" ht="12.75"/>
    <row r="340" s="22" customFormat="1" ht="12.75"/>
    <row r="341" s="22" customFormat="1" ht="12.75"/>
    <row r="342" s="22" customFormat="1" ht="12.75"/>
    <row r="343" s="22" customFormat="1" ht="12.75"/>
    <row r="344" s="22" customFormat="1" ht="12.75"/>
    <row r="345" s="22" customFormat="1" ht="12.75"/>
    <row r="346" s="22" customFormat="1" ht="12.75"/>
    <row r="347" s="22" customFormat="1" ht="12.75"/>
    <row r="348" s="22" customFormat="1" ht="12.75"/>
    <row r="349" s="22" customFormat="1" ht="12.75"/>
    <row r="350" s="22" customFormat="1" ht="12.75"/>
    <row r="351" s="22" customFormat="1" ht="12.75"/>
    <row r="352" s="22" customFormat="1" ht="12.75"/>
    <row r="353" s="22" customFormat="1" ht="12.75"/>
    <row r="354" s="22" customFormat="1" ht="12.75"/>
    <row r="355" s="22" customFormat="1" ht="12.75"/>
    <row r="356" s="22" customFormat="1" ht="12.75"/>
    <row r="357" s="22" customFormat="1" ht="12.75"/>
    <row r="358" s="22" customFormat="1" ht="12.75"/>
    <row r="359" s="22" customFormat="1" ht="12.75"/>
    <row r="360" s="22" customFormat="1" ht="12.75"/>
    <row r="361" s="22" customFormat="1" ht="12.75"/>
    <row r="362" s="22" customFormat="1" ht="12.75"/>
    <row r="363" s="22" customFormat="1" ht="12.75"/>
    <row r="364" s="22" customFormat="1" ht="12.75"/>
    <row r="365" s="22" customFormat="1" ht="12.75"/>
    <row r="366" s="22" customFormat="1" ht="12.75"/>
    <row r="367" s="22" customFormat="1" ht="12.75"/>
    <row r="368" s="22" customFormat="1" ht="12.75"/>
    <row r="369" s="22" customFormat="1" ht="12.75"/>
    <row r="370" s="22" customFormat="1" ht="12.75"/>
    <row r="371" s="22" customFormat="1" ht="12.75"/>
    <row r="372" s="22" customFormat="1" ht="12.75"/>
    <row r="373" s="22" customFormat="1" ht="12.75"/>
    <row r="374" s="22" customFormat="1" ht="12.75"/>
    <row r="375" s="22" customFormat="1" ht="12.75"/>
    <row r="376" s="22" customFormat="1" ht="12.75"/>
    <row r="377" s="22" customFormat="1" ht="12.75"/>
    <row r="378" s="22" customFormat="1" ht="12.75"/>
    <row r="379" s="22" customFormat="1" ht="12.75"/>
    <row r="380" s="22" customFormat="1" ht="12.75"/>
    <row r="381" s="22" customFormat="1" ht="12.75"/>
    <row r="382" s="22" customFormat="1" ht="12.75"/>
    <row r="383" s="22" customFormat="1" ht="12.75"/>
    <row r="384" s="22" customFormat="1" ht="12.75"/>
    <row r="385" s="22" customFormat="1" ht="12.75"/>
    <row r="386" s="22" customFormat="1" ht="12.75"/>
    <row r="387" s="22" customFormat="1" ht="12.75"/>
    <row r="388" s="22" customFormat="1" ht="12.75"/>
    <row r="389" s="22" customFormat="1" ht="12.75"/>
    <row r="390" s="22" customFormat="1" ht="12.75"/>
    <row r="391" s="22" customFormat="1" ht="12.75"/>
    <row r="392" s="22" customFormat="1" ht="12.75"/>
    <row r="393" s="22" customFormat="1" ht="12.75"/>
    <row r="394" s="22" customFormat="1" ht="12.75"/>
    <row r="395" s="22" customFormat="1" ht="12.75"/>
    <row r="396" s="22" customFormat="1" ht="12.75"/>
    <row r="397" s="22" customFormat="1" ht="12.75"/>
    <row r="398" s="22" customFormat="1" ht="12.75"/>
    <row r="399" s="22" customFormat="1" ht="12.75"/>
    <row r="400" s="22" customFormat="1" ht="12.75"/>
    <row r="401" s="22" customFormat="1" ht="12.75"/>
    <row r="402" s="22" customFormat="1" ht="12.75"/>
    <row r="403" s="22" customFormat="1" ht="12.75"/>
    <row r="404" s="22" customFormat="1" ht="12.75"/>
    <row r="405" s="22" customFormat="1" ht="12.75"/>
    <row r="406" s="22" customFormat="1" ht="12.75"/>
    <row r="407" s="22" customFormat="1" ht="12.75"/>
    <row r="408" s="22" customFormat="1" ht="12.75"/>
    <row r="409" s="22" customFormat="1" ht="12.75"/>
    <row r="410" s="22" customFormat="1" ht="12.75"/>
    <row r="411" s="22" customFormat="1" ht="12.75"/>
    <row r="412" s="22" customFormat="1" ht="12.75"/>
    <row r="413" s="22" customFormat="1" ht="12.75"/>
    <row r="414" s="22" customFormat="1" ht="12.75"/>
    <row r="415" s="22" customFormat="1" ht="12.75"/>
    <row r="416" s="22" customFormat="1" ht="12.75"/>
    <row r="417" s="22" customFormat="1" ht="12.75"/>
    <row r="418" s="22" customFormat="1" ht="12.75"/>
    <row r="419" s="22" customFormat="1" ht="12.75"/>
    <row r="420" s="22" customFormat="1" ht="12.75"/>
    <row r="421" s="22" customFormat="1" ht="12.75"/>
    <row r="422" s="22" customFormat="1" ht="12.75"/>
    <row r="423" s="22" customFormat="1" ht="12.75"/>
    <row r="424" s="22" customFormat="1" ht="12.75"/>
    <row r="425" s="22" customFormat="1" ht="12.75"/>
    <row r="426" s="22" customFormat="1" ht="12.75"/>
    <row r="427" s="22" customFormat="1" ht="12.75"/>
    <row r="428" s="22" customFormat="1" ht="12.75"/>
    <row r="429" s="22" customFormat="1" ht="12.75"/>
    <row r="430" s="22" customFormat="1" ht="12.75"/>
    <row r="431" s="22" customFormat="1" ht="12.75"/>
    <row r="432" s="22" customFormat="1" ht="12.75"/>
    <row r="433" s="22" customFormat="1" ht="12.75"/>
    <row r="434" s="22" customFormat="1" ht="12.75"/>
    <row r="435" s="22" customFormat="1" ht="12.75"/>
    <row r="436" s="22" customFormat="1" ht="12.75"/>
    <row r="437" s="22" customFormat="1" ht="12.75"/>
    <row r="438" s="22" customFormat="1" ht="12.75"/>
    <row r="439" s="22" customFormat="1" ht="12.75"/>
    <row r="440" s="22" customFormat="1" ht="12.75"/>
    <row r="441" s="22" customFormat="1" ht="12.75"/>
    <row r="442" s="22" customFormat="1" ht="12.75"/>
    <row r="443" s="22" customFormat="1" ht="12.75"/>
    <row r="444" s="22" customFormat="1" ht="12.75"/>
    <row r="445" s="22" customFormat="1" ht="12.75"/>
    <row r="446" s="22" customFormat="1" ht="12.75"/>
    <row r="447" s="22" customFormat="1" ht="12.75"/>
    <row r="448" s="22" customFormat="1" ht="12.75"/>
    <row r="449" s="22" customFormat="1" ht="12.75"/>
    <row r="450" s="22" customFormat="1" ht="12.75"/>
    <row r="451" s="22" customFormat="1" ht="12.75"/>
    <row r="452" s="22" customFormat="1" ht="12.75"/>
    <row r="453" s="22" customFormat="1" ht="12.75"/>
    <row r="454" s="22" customFormat="1" ht="12.75"/>
    <row r="455" s="22" customFormat="1" ht="12.75"/>
    <row r="456" s="22" customFormat="1" ht="12.75"/>
    <row r="457" s="22" customFormat="1" ht="12.75"/>
    <row r="458" s="22" customFormat="1" ht="12.75"/>
    <row r="459" s="22" customFormat="1" ht="12.75"/>
    <row r="460" s="22" customFormat="1" ht="12.75"/>
    <row r="461" s="22" customFormat="1" ht="12.75"/>
    <row r="462" s="22" customFormat="1" ht="12.75"/>
    <row r="463" s="22" customFormat="1" ht="12.75"/>
    <row r="464" s="22" customFormat="1" ht="12.75"/>
    <row r="465" s="22" customFormat="1" ht="12.75"/>
    <row r="466" s="22" customFormat="1" ht="12.75"/>
    <row r="467" s="22" customFormat="1" ht="12.75"/>
    <row r="468" s="22" customFormat="1" ht="12.75"/>
    <row r="469" s="22" customFormat="1" ht="12.75"/>
    <row r="470" s="22" customFormat="1" ht="12.75"/>
    <row r="471" s="22" customFormat="1" ht="12.75"/>
    <row r="472" s="22" customFormat="1" ht="12.75"/>
    <row r="473" s="22" customFormat="1" ht="12.75"/>
    <row r="474" s="22" customFormat="1" ht="12.75"/>
    <row r="475" s="22" customFormat="1" ht="12.75"/>
    <row r="476" s="22" customFormat="1" ht="12.75"/>
    <row r="477" s="22" customFormat="1" ht="12.75"/>
    <row r="478" s="22" customFormat="1" ht="12.75"/>
    <row r="479" s="22" customFormat="1" ht="12.75"/>
    <row r="480" s="22" customFormat="1" ht="12.75"/>
    <row r="481" s="22" customFormat="1" ht="12.75"/>
    <row r="482" s="22" customFormat="1" ht="12.75"/>
    <row r="483" s="22" customFormat="1" ht="12.75"/>
    <row r="484" s="22" customFormat="1" ht="12.75"/>
    <row r="485" s="22" customFormat="1" ht="12.75"/>
    <row r="486" s="22" customFormat="1" ht="12.75"/>
    <row r="487" s="22" customFormat="1" ht="12.75"/>
    <row r="488" s="22" customFormat="1" ht="12.75"/>
    <row r="489" s="22" customFormat="1" ht="12.75"/>
    <row r="490" s="22" customFormat="1" ht="12.75"/>
    <row r="491" s="22" customFormat="1" ht="12.75"/>
    <row r="492" s="22" customFormat="1" ht="12.75"/>
    <row r="493" s="22" customFormat="1" ht="12.75"/>
    <row r="494" s="22" customFormat="1" ht="12.75"/>
    <row r="495" s="22" customFormat="1" ht="12.75"/>
    <row r="496" s="22" customFormat="1" ht="12.75"/>
    <row r="497" s="22" customFormat="1" ht="12.75"/>
    <row r="498" s="22" customFormat="1" ht="12.75"/>
    <row r="499" s="22" customFormat="1" ht="12.75"/>
    <row r="500" s="22" customFormat="1" ht="12.75"/>
    <row r="501" s="22" customFormat="1" ht="12.75"/>
    <row r="502" s="22" customFormat="1" ht="12.75"/>
    <row r="503" s="22" customFormat="1" ht="12.75"/>
    <row r="504" s="22" customFormat="1" ht="12.75"/>
    <row r="505" s="22" customFormat="1" ht="12.75"/>
    <row r="506" s="22" customFormat="1" ht="12.75"/>
    <row r="507" s="22" customFormat="1" ht="12.75"/>
    <row r="508" s="22" customFormat="1" ht="12.75"/>
    <row r="509" s="22" customFormat="1" ht="12.75"/>
    <row r="510" s="22" customFormat="1" ht="12.75"/>
    <row r="511" s="22" customFormat="1" ht="12.75"/>
    <row r="512" s="22" customFormat="1" ht="12.75"/>
    <row r="513" s="22" customFormat="1" ht="12.75"/>
    <row r="514" s="22" customFormat="1" ht="12.75"/>
    <row r="515" s="22" customFormat="1" ht="12.75"/>
    <row r="516" s="22" customFormat="1" ht="12.75"/>
    <row r="517" s="22" customFormat="1" ht="12.75"/>
    <row r="518" s="22" customFormat="1" ht="12.75"/>
    <row r="519" s="22" customFormat="1" ht="12.75"/>
    <row r="520" s="22" customFormat="1" ht="12.75"/>
    <row r="521" s="22" customFormat="1" ht="12.75"/>
    <row r="522" s="22" customFormat="1" ht="12.75"/>
    <row r="523" s="22" customFormat="1" ht="12.75"/>
    <row r="524" s="22" customFormat="1" ht="12.75"/>
    <row r="525" s="22" customFormat="1" ht="12.75"/>
    <row r="526" s="22" customFormat="1" ht="12.75"/>
    <row r="527" s="22" customFormat="1" ht="12.75"/>
    <row r="528" s="22" customFormat="1" ht="12.75"/>
    <row r="529" s="22" customFormat="1" ht="12.75"/>
    <row r="530" s="22" customFormat="1" ht="12.75"/>
    <row r="531" s="22" customFormat="1" ht="12.75"/>
    <row r="532" s="22" customFormat="1" ht="12.75"/>
    <row r="533" s="22" customFormat="1" ht="12.75"/>
    <row r="534" s="22" customFormat="1" ht="12.75"/>
    <row r="535" s="22" customFormat="1" ht="12.75"/>
    <row r="536" s="22" customFormat="1" ht="12.75"/>
    <row r="537" s="22" customFormat="1" ht="12.75"/>
    <row r="538" s="22" customFormat="1" ht="12.75"/>
    <row r="539" s="22" customFormat="1" ht="12.75"/>
    <row r="540" s="22" customFormat="1" ht="12.75"/>
    <row r="541" s="22" customFormat="1" ht="12.75"/>
    <row r="542" s="22" customFormat="1" ht="12.75"/>
    <row r="543" s="22" customFormat="1" ht="12.75"/>
    <row r="544" s="22" customFormat="1" ht="12.75"/>
    <row r="545" s="22" customFormat="1" ht="12.75"/>
    <row r="546" s="22" customFormat="1" ht="12.75"/>
    <row r="547" s="22" customFormat="1" ht="12.75"/>
    <row r="548" s="22" customFormat="1" ht="12.75"/>
    <row r="549" s="22" customFormat="1" ht="12.75"/>
    <row r="550" s="22" customFormat="1" ht="12.75"/>
    <row r="551" s="22" customFormat="1" ht="12.75"/>
    <row r="552" s="22" customFormat="1" ht="12.75"/>
    <row r="553" s="22" customFormat="1" ht="12.75"/>
    <row r="554" s="22" customFormat="1" ht="12.75"/>
    <row r="555" s="22" customFormat="1" ht="12.75"/>
    <row r="556" s="22" customFormat="1" ht="12.75"/>
    <row r="557" s="22" customFormat="1" ht="12.75"/>
    <row r="558" s="22" customFormat="1" ht="12.75"/>
    <row r="559" s="22" customFormat="1" ht="12.75"/>
    <row r="560" s="22" customFormat="1" ht="12.75"/>
    <row r="561" s="22" customFormat="1" ht="12.75"/>
    <row r="562" s="22" customFormat="1" ht="12.75"/>
    <row r="563" s="22" customFormat="1" ht="12.75"/>
    <row r="564" s="22" customFormat="1" ht="12.75"/>
    <row r="565" s="22" customFormat="1" ht="12.75"/>
    <row r="566" s="22" customFormat="1" ht="12.75"/>
    <row r="567" s="22" customFormat="1" ht="12.75"/>
    <row r="568" s="22" customFormat="1" ht="12.75"/>
    <row r="569" s="22" customFormat="1" ht="12.75"/>
    <row r="570" s="22" customFormat="1" ht="12.75"/>
    <row r="571" s="22" customFormat="1" ht="12.75"/>
    <row r="572" s="22" customFormat="1" ht="12.75"/>
    <row r="573" s="22" customFormat="1" ht="12.75"/>
    <row r="574" s="22" customFormat="1" ht="12.75"/>
    <row r="575" s="22" customFormat="1" ht="12.75"/>
    <row r="576" s="22" customFormat="1" ht="12.75"/>
    <row r="577" s="22" customFormat="1" ht="12.75"/>
    <row r="578" s="22" customFormat="1" ht="12.75"/>
    <row r="579" s="22" customFormat="1" ht="12.75"/>
    <row r="580" s="22" customFormat="1" ht="12.75"/>
    <row r="581" s="22" customFormat="1" ht="12.75"/>
    <row r="582" s="22" customFormat="1" ht="12.75"/>
    <row r="583" s="22" customFormat="1" ht="12.75"/>
    <row r="584" s="22" customFormat="1" ht="12.75"/>
    <row r="585" s="22" customFormat="1" ht="12.75"/>
    <row r="586" s="22" customFormat="1" ht="12.75"/>
    <row r="587" s="22" customFormat="1" ht="12.75"/>
    <row r="588" s="22" customFormat="1" ht="12.75"/>
    <row r="589" s="22" customFormat="1" ht="12.75"/>
    <row r="590" s="22" customFormat="1" ht="12.75"/>
    <row r="591" s="22" customFormat="1" ht="12.75"/>
    <row r="592" s="22" customFormat="1" ht="12.75"/>
    <row r="593" s="22" customFormat="1" ht="12.75"/>
    <row r="594" s="22" customFormat="1" ht="12.75"/>
    <row r="595" s="22" customFormat="1" ht="12.75"/>
    <row r="596" s="22" customFormat="1" ht="12.75"/>
    <row r="597" s="22" customFormat="1" ht="12.75"/>
    <row r="598" s="22" customFormat="1" ht="12.75"/>
    <row r="599" s="22" customFormat="1" ht="12.75"/>
    <row r="600" s="22" customFormat="1" ht="12.75"/>
    <row r="601" s="22" customFormat="1" ht="12.75"/>
    <row r="602" s="22" customFormat="1" ht="12.75"/>
    <row r="603" s="22" customFormat="1" ht="12.75"/>
    <row r="604" s="22" customFormat="1" ht="12.75"/>
    <row r="605" s="22" customFormat="1" ht="12.75"/>
    <row r="606" s="22" customFormat="1" ht="12.75"/>
    <row r="607" s="22" customFormat="1" ht="12.75"/>
    <row r="608" s="22" customFormat="1" ht="12.75"/>
    <row r="609" s="22" customFormat="1" ht="12.75"/>
    <row r="610" s="22" customFormat="1" ht="12.75"/>
    <row r="611" s="22" customFormat="1" ht="12.75"/>
    <row r="612" s="22" customFormat="1" ht="12.75"/>
    <row r="613" s="22" customFormat="1" ht="12.75"/>
    <row r="614" s="22" customFormat="1" ht="12.75"/>
    <row r="615" s="22" customFormat="1" ht="12.75"/>
    <row r="616" s="22" customFormat="1" ht="12.75"/>
    <row r="617" s="22" customFormat="1" ht="12.75"/>
    <row r="618" s="22" customFormat="1" ht="12.75"/>
    <row r="619" s="22" customFormat="1" ht="12.75"/>
    <row r="620" s="22" customFormat="1" ht="12.75"/>
    <row r="621" s="22" customFormat="1" ht="12.75"/>
    <row r="622" s="22" customFormat="1" ht="12.75"/>
    <row r="623" s="22" customFormat="1" ht="12.75"/>
    <row r="624" s="22" customFormat="1" ht="12.75"/>
    <row r="625" s="22" customFormat="1" ht="12.75"/>
    <row r="626" s="22" customFormat="1" ht="12.75"/>
    <row r="627" s="22" customFormat="1" ht="12.75"/>
    <row r="628" s="22" customFormat="1" ht="12.75"/>
    <row r="629" s="22" customFormat="1" ht="12.75"/>
    <row r="630" s="22" customFormat="1" ht="12.75"/>
    <row r="631" s="22" customFormat="1" ht="12.75"/>
    <row r="632" s="22" customFormat="1" ht="12.75"/>
    <row r="633" s="22" customFormat="1" ht="12.75"/>
    <row r="634" s="22" customFormat="1" ht="12.75"/>
    <row r="635" s="22" customFormat="1" ht="12.75"/>
    <row r="636" s="22" customFormat="1" ht="12.75"/>
    <row r="637" s="22" customFormat="1" ht="12.75"/>
    <row r="638" s="22" customFormat="1" ht="12.75"/>
    <row r="639" s="22" customFormat="1" ht="12.75"/>
    <row r="640" s="22" customFormat="1" ht="12.75"/>
    <row r="641" s="22" customFormat="1" ht="12.75"/>
    <row r="642" s="22" customFormat="1" ht="12.75"/>
    <row r="643" s="22" customFormat="1" ht="12.75"/>
    <row r="644" s="22" customFormat="1" ht="12.75"/>
    <row r="645" s="22" customFormat="1" ht="12.75"/>
    <row r="646" s="22" customFormat="1" ht="12.75"/>
    <row r="647" s="22" customFormat="1" ht="12.75"/>
    <row r="648" s="22" customFormat="1" ht="12.75"/>
    <row r="649" s="22" customFormat="1" ht="12.75"/>
    <row r="650" s="22" customFormat="1" ht="12.75"/>
    <row r="651" s="22" customFormat="1" ht="12.75"/>
    <row r="652" s="22" customFormat="1" ht="12.75"/>
    <row r="653" s="22" customFormat="1" ht="12.75"/>
    <row r="654" s="22" customFormat="1" ht="12.75"/>
    <row r="655" s="22" customFormat="1" ht="12.75"/>
    <row r="656" s="22" customFormat="1" ht="12.75"/>
    <row r="657" s="22" customFormat="1" ht="12.75"/>
    <row r="658" s="22" customFormat="1" ht="12.75"/>
    <row r="659" s="22" customFormat="1" ht="12.75"/>
    <row r="660" s="22" customFormat="1" ht="12.75"/>
    <row r="661" s="22" customFormat="1" ht="12.75"/>
    <row r="662" s="22" customFormat="1" ht="12.75"/>
    <row r="663" s="22" customFormat="1" ht="12.75"/>
    <row r="664" s="22" customFormat="1" ht="12.75"/>
    <row r="665" s="22" customFormat="1" ht="12.75"/>
    <row r="666" s="22" customFormat="1" ht="12.75"/>
    <row r="667" s="22" customFormat="1" ht="12.75"/>
    <row r="668" s="22" customFormat="1" ht="12.75"/>
    <row r="669" s="22" customFormat="1" ht="12.75"/>
    <row r="670" s="22" customFormat="1" ht="12.75"/>
    <row r="671" s="22" customFormat="1" ht="12.75"/>
    <row r="672" s="22" customFormat="1" ht="12.75"/>
    <row r="673" s="22" customFormat="1" ht="12.75"/>
    <row r="674" s="22" customFormat="1" ht="12.75"/>
    <row r="675" s="22" customFormat="1" ht="12.75"/>
    <row r="676" s="22" customFormat="1" ht="12.75"/>
    <row r="677" s="22" customFormat="1" ht="12.75"/>
    <row r="678" s="22" customFormat="1" ht="12.75"/>
    <row r="679" s="22" customFormat="1" ht="12.75"/>
    <row r="680" s="22" customFormat="1" ht="12.75"/>
    <row r="681" s="22" customFormat="1" ht="12.75"/>
    <row r="682" s="22" customFormat="1" ht="12.75"/>
    <row r="683" s="22" customFormat="1" ht="12.75"/>
    <row r="684" s="22" customFormat="1" ht="12.75"/>
    <row r="685" s="22" customFormat="1" ht="12.75"/>
    <row r="686" s="22" customFormat="1" ht="12.75"/>
    <row r="687" s="22" customFormat="1" ht="12.75"/>
    <row r="688" s="22" customFormat="1" ht="12.75"/>
    <row r="689" s="22" customFormat="1" ht="12.75"/>
    <row r="690" s="22" customFormat="1" ht="12.75"/>
    <row r="691" s="22" customFormat="1" ht="12.75"/>
    <row r="692" s="22" customFormat="1" ht="12.75"/>
    <row r="693" s="22" customFormat="1" ht="12.75"/>
    <row r="694" s="22" customFormat="1" ht="12.75"/>
    <row r="695" s="22" customFormat="1" ht="12.75"/>
    <row r="696" s="22" customFormat="1" ht="12.75"/>
    <row r="697" s="22" customFormat="1" ht="12.75"/>
    <row r="698" s="22" customFormat="1" ht="12.75"/>
    <row r="699" s="22" customFormat="1" ht="12.75"/>
    <row r="700" s="22" customFormat="1" ht="12.75"/>
    <row r="701" s="22" customFormat="1" ht="12.75"/>
    <row r="702" s="22" customFormat="1" ht="12.75"/>
    <row r="703" s="22" customFormat="1" ht="12.75"/>
    <row r="704" s="22" customFormat="1" ht="12.75"/>
    <row r="705" s="22" customFormat="1" ht="12.75"/>
    <row r="706" s="22" customFormat="1" ht="12.75"/>
    <row r="707" s="22" customFormat="1" ht="12.75"/>
    <row r="708" s="22" customFormat="1" ht="12.75"/>
    <row r="709" s="22" customFormat="1" ht="12.75"/>
    <row r="710" s="22" customFormat="1" ht="12.75"/>
    <row r="711" s="22" customFormat="1" ht="12.75"/>
    <row r="712" s="22" customFormat="1" ht="12.75"/>
    <row r="713" s="22" customFormat="1" ht="12.75"/>
    <row r="714" s="22" customFormat="1" ht="12.75"/>
    <row r="715" s="22" customFormat="1" ht="12.75"/>
    <row r="716" s="22" customFormat="1" ht="12.75"/>
    <row r="717" s="22" customFormat="1" ht="12.75"/>
    <row r="718" s="22" customFormat="1" ht="12.75"/>
    <row r="719" s="22" customFormat="1" ht="12.75"/>
    <row r="720" s="22" customFormat="1" ht="12.75"/>
    <row r="721" s="22" customFormat="1" ht="12.75"/>
    <row r="722" s="22" customFormat="1" ht="12.75"/>
    <row r="723" s="22" customFormat="1" ht="12.75"/>
    <row r="724" s="22" customFormat="1" ht="12.75"/>
    <row r="725" s="22" customFormat="1" ht="12.75"/>
    <row r="726" s="22" customFormat="1" ht="12.75"/>
    <row r="727" s="22" customFormat="1" ht="12.75"/>
    <row r="728" s="22" customFormat="1" ht="12.75"/>
    <row r="729" s="22" customFormat="1" ht="12.75"/>
    <row r="730" s="22" customFormat="1" ht="12.75"/>
    <row r="731" s="22" customFormat="1" ht="12.75"/>
    <row r="732" s="22" customFormat="1" ht="12.75"/>
    <row r="733" s="22" customFormat="1" ht="12.75"/>
    <row r="734" s="22" customFormat="1" ht="12.75"/>
    <row r="735" s="22" customFormat="1" ht="12.75"/>
    <row r="736" s="22" customFormat="1" ht="12.75"/>
    <row r="737" s="22" customFormat="1" ht="12.75"/>
    <row r="738" s="22" customFormat="1" ht="12.75"/>
    <row r="739" s="22" customFormat="1" ht="12.75"/>
    <row r="740" s="22" customFormat="1" ht="12.75"/>
    <row r="741" s="22" customFormat="1" ht="12.75"/>
    <row r="742" s="22" customFormat="1" ht="12.75"/>
    <row r="743" s="22" customFormat="1" ht="12.75"/>
    <row r="744" s="22" customFormat="1" ht="12.75"/>
    <row r="745" s="22" customFormat="1" ht="12.75"/>
    <row r="746" s="22" customFormat="1" ht="12.75"/>
    <row r="747" s="22" customFormat="1" ht="12.75"/>
    <row r="748" s="22" customFormat="1" ht="12.75"/>
    <row r="749" s="22" customFormat="1" ht="12.75"/>
    <row r="750" s="22" customFormat="1" ht="12.75"/>
    <row r="751" s="22" customFormat="1" ht="12.75"/>
    <row r="752" s="22" customFormat="1" ht="12.75"/>
    <row r="753" s="22" customFormat="1" ht="12.75"/>
    <row r="754" s="22" customFormat="1" ht="12.75"/>
    <row r="755" s="22" customFormat="1" ht="12.75"/>
    <row r="756" s="22" customFormat="1" ht="12.75"/>
    <row r="757" s="22" customFormat="1" ht="12.75"/>
    <row r="758" s="22" customFormat="1" ht="12.75"/>
    <row r="759" s="22" customFormat="1" ht="12.75"/>
    <row r="760" s="22" customFormat="1" ht="12.75"/>
    <row r="761" s="22" customFormat="1" ht="12.75"/>
    <row r="762" s="22" customFormat="1" ht="12.75"/>
    <row r="763" s="22" customFormat="1" ht="12.75"/>
    <row r="764" s="22" customFormat="1" ht="12.75"/>
    <row r="765" s="22" customFormat="1" ht="12.75"/>
    <row r="766" s="22" customFormat="1" ht="12.75"/>
    <row r="767" s="22" customFormat="1" ht="12.75"/>
    <row r="768" s="22" customFormat="1" ht="12.75"/>
    <row r="769" s="22" customFormat="1" ht="12.75"/>
    <row r="770" s="22" customFormat="1" ht="12.75"/>
    <row r="771" s="22" customFormat="1" ht="12.75"/>
    <row r="772" s="22" customFormat="1" ht="12.75"/>
    <row r="773" s="22" customFormat="1" ht="12.75"/>
    <row r="774" s="22" customFormat="1" ht="12.75"/>
    <row r="775" s="22" customFormat="1" ht="12.75"/>
    <row r="776" s="22" customFormat="1" ht="12.75"/>
    <row r="777" s="22" customFormat="1" ht="12.75"/>
    <row r="778" s="22" customFormat="1" ht="12.75"/>
    <row r="779" s="22" customFormat="1" ht="12.75"/>
    <row r="780" s="22" customFormat="1" ht="12.75"/>
    <row r="781" s="22" customFormat="1" ht="12.75"/>
    <row r="782" s="22" customFormat="1" ht="12.75"/>
    <row r="783" s="22" customFormat="1" ht="12.75"/>
    <row r="784" s="22" customFormat="1" ht="12.75"/>
    <row r="785" s="22" customFormat="1" ht="12.75"/>
    <row r="786" s="22" customFormat="1" ht="12.75"/>
    <row r="787" s="22" customFormat="1" ht="12.75"/>
    <row r="788" s="22" customFormat="1" ht="12.75"/>
    <row r="789" s="22" customFormat="1" ht="12.75"/>
    <row r="790" s="22" customFormat="1" ht="12.75"/>
    <row r="791" s="22" customFormat="1" ht="12.75"/>
    <row r="792" s="22" customFormat="1" ht="12.75"/>
    <row r="793" s="22" customFormat="1" ht="12.75"/>
    <row r="794" s="22" customFormat="1" ht="12.75"/>
    <row r="795" s="22" customFormat="1" ht="12.75"/>
    <row r="796" s="22" customFormat="1" ht="12.75"/>
    <row r="797" s="22" customFormat="1" ht="12.75"/>
    <row r="798" s="22" customFormat="1" ht="12.75"/>
    <row r="799" s="22" customFormat="1" ht="12.75"/>
    <row r="800" s="22" customFormat="1" ht="12.75"/>
    <row r="801" s="22" customFormat="1" ht="12.75"/>
    <row r="802" s="22" customFormat="1" ht="12.75"/>
    <row r="803" s="22" customFormat="1" ht="12.75"/>
    <row r="804" s="22" customFormat="1" ht="12.75"/>
    <row r="805" s="22" customFormat="1" ht="12.75"/>
    <row r="806" s="22" customFormat="1" ht="12.75"/>
    <row r="807" s="22" customFormat="1" ht="12.75"/>
    <row r="808" s="22" customFormat="1" ht="12.75"/>
    <row r="809" s="22" customFormat="1" ht="12.75"/>
    <row r="810" s="22" customFormat="1" ht="12.75"/>
    <row r="811" s="22" customFormat="1" ht="12.75"/>
    <row r="812" s="22" customFormat="1" ht="12.75"/>
    <row r="813" s="22" customFormat="1" ht="12.75"/>
    <row r="814" s="22" customFormat="1" ht="12.75"/>
    <row r="815" s="22" customFormat="1" ht="12.75"/>
    <row r="816" s="22" customFormat="1" ht="12.75"/>
    <row r="817" s="22" customFormat="1" ht="12.75"/>
    <row r="818" s="22" customFormat="1" ht="12.75"/>
    <row r="819" s="22" customFormat="1" ht="12.75"/>
    <row r="820" s="22" customFormat="1" ht="12.75"/>
    <row r="821" s="22" customFormat="1" ht="12.75"/>
    <row r="822" s="22" customFormat="1" ht="12.75"/>
    <row r="823" s="22" customFormat="1" ht="12.75"/>
    <row r="824" s="22" customFormat="1" ht="12.75"/>
    <row r="825" s="22" customFormat="1" ht="12.75"/>
    <row r="826" s="22" customFormat="1" ht="12.75"/>
    <row r="827" s="22" customFormat="1" ht="12.75"/>
    <row r="828" s="22" customFormat="1" ht="12.75"/>
    <row r="829" s="22" customFormat="1" ht="12.75"/>
    <row r="830" s="22" customFormat="1" ht="12.75"/>
    <row r="831" s="22" customFormat="1" ht="12.75"/>
    <row r="832" s="22" customFormat="1" ht="12.75"/>
    <row r="833" s="22" customFormat="1" ht="12.75"/>
    <row r="834" s="22" customFormat="1" ht="12.75"/>
    <row r="835" s="22" customFormat="1" ht="12.75"/>
    <row r="836" s="22" customFormat="1" ht="12.75"/>
    <row r="837" s="22" customFormat="1" ht="12.75"/>
    <row r="838" s="22" customFormat="1" ht="12.75"/>
    <row r="839" s="22" customFormat="1" ht="12.75"/>
    <row r="840" s="22" customFormat="1" ht="12.75"/>
    <row r="841" s="22" customFormat="1" ht="12.75"/>
    <row r="842" s="22" customFormat="1" ht="12.75"/>
    <row r="843" s="22" customFormat="1" ht="12.75"/>
    <row r="844" s="22" customFormat="1" ht="12.75"/>
    <row r="845" s="22" customFormat="1" ht="12.75"/>
    <row r="846" s="22" customFormat="1" ht="12.75"/>
    <row r="847" s="22" customFormat="1" ht="12.75"/>
    <row r="848" s="22" customFormat="1" ht="12.75"/>
    <row r="849" s="22" customFormat="1" ht="12.75"/>
    <row r="850" s="22" customFormat="1" ht="12.75"/>
    <row r="851" s="22" customFormat="1" ht="12.75"/>
    <row r="852" s="22" customFormat="1" ht="12.75"/>
    <row r="853" s="22" customFormat="1" ht="12.75"/>
    <row r="854" s="22" customFormat="1" ht="12.75"/>
    <row r="855" s="22" customFormat="1" ht="12.75"/>
    <row r="856" s="22" customFormat="1" ht="12.75"/>
    <row r="857" s="22" customFormat="1" ht="12.75"/>
    <row r="858" s="22" customFormat="1" ht="12.75"/>
    <row r="859" s="22" customFormat="1" ht="12.75"/>
    <row r="860" s="22" customFormat="1" ht="12.75"/>
    <row r="861" s="22" customFormat="1" ht="12.75"/>
    <row r="862" s="22" customFormat="1" ht="12.75"/>
    <row r="863" s="22" customFormat="1" ht="12.75"/>
    <row r="864" s="22" customFormat="1" ht="12.75"/>
    <row r="865" s="22" customFormat="1" ht="12.75"/>
    <row r="866" s="22" customFormat="1" ht="12.75"/>
    <row r="867" s="22" customFormat="1" ht="12.75"/>
    <row r="868" s="22" customFormat="1" ht="12.75"/>
    <row r="869" s="22" customFormat="1" ht="12.75"/>
    <row r="870" s="22" customFormat="1" ht="12.75"/>
    <row r="871" s="22" customFormat="1" ht="12.75"/>
    <row r="872" s="22" customFormat="1" ht="12.75"/>
    <row r="873" s="22" customFormat="1" ht="12.75"/>
    <row r="874" s="22" customFormat="1" ht="12.75"/>
    <row r="875" s="22" customFormat="1" ht="12.75"/>
    <row r="876" s="22" customFormat="1" ht="12.75"/>
    <row r="877" s="22" customFormat="1" ht="12.75"/>
    <row r="878" s="22" customFormat="1" ht="12.75"/>
    <row r="879" s="22" customFormat="1" ht="12.75"/>
    <row r="880" s="22" customFormat="1" ht="12.75"/>
    <row r="881" s="22" customFormat="1" ht="12.75"/>
    <row r="882" s="22" customFormat="1" ht="12.75"/>
    <row r="883" s="22" customFormat="1" ht="12.75"/>
    <row r="884" s="22" customFormat="1" ht="12.75"/>
    <row r="885" s="22" customFormat="1" ht="12.75"/>
    <row r="886" s="22" customFormat="1" ht="12.75"/>
    <row r="887" s="22" customFormat="1" ht="12.75"/>
    <row r="888" s="22" customFormat="1" ht="12.75"/>
    <row r="889" s="22" customFormat="1" ht="12.75"/>
    <row r="890" s="22" customFormat="1" ht="12.75"/>
    <row r="891" s="22" customFormat="1" ht="12.75"/>
    <row r="892" s="22" customFormat="1" ht="12.75"/>
    <row r="893" s="22" customFormat="1" ht="12.75"/>
    <row r="894" s="22" customFormat="1" ht="12.75"/>
    <row r="895" s="22" customFormat="1" ht="12.75"/>
    <row r="896" s="22" customFormat="1" ht="12.75"/>
    <row r="897" s="22" customFormat="1" ht="12.75"/>
    <row r="898" s="22" customFormat="1" ht="12.75"/>
    <row r="899" s="22" customFormat="1" ht="12.75"/>
    <row r="900" s="22" customFormat="1" ht="12.75"/>
    <row r="901" s="22" customFormat="1" ht="12.75"/>
    <row r="902" s="22" customFormat="1" ht="12.75"/>
    <row r="903" s="22" customFormat="1" ht="12.75"/>
    <row r="904" s="22" customFormat="1" ht="12.75"/>
    <row r="905" s="22" customFormat="1" ht="12.75"/>
    <row r="906" s="22" customFormat="1" ht="12.75"/>
    <row r="907" s="22" customFormat="1" ht="12.75"/>
    <row r="908" s="22" customFormat="1" ht="12.75"/>
    <row r="909" s="22" customFormat="1" ht="12.75"/>
    <row r="910" s="22" customFormat="1" ht="12.75"/>
    <row r="911" s="22" customFormat="1" ht="12.75"/>
    <row r="912" s="22" customFormat="1" ht="12.75"/>
    <row r="913" s="22" customFormat="1" ht="12.75"/>
    <row r="914" s="22" customFormat="1" ht="12.75"/>
    <row r="915" s="22" customFormat="1" ht="12.75"/>
    <row r="916" s="22" customFormat="1" ht="12.75"/>
    <row r="917" s="22" customFormat="1" ht="12.75"/>
    <row r="918" s="22" customFormat="1" ht="12.75"/>
    <row r="919" s="22" customFormat="1" ht="12.75"/>
    <row r="920" s="22" customFormat="1" ht="12.75"/>
    <row r="921" s="22" customFormat="1" ht="12.75"/>
    <row r="922" s="22" customFormat="1" ht="12.75"/>
    <row r="923" s="22" customFormat="1" ht="12.75"/>
    <row r="924" s="22" customFormat="1" ht="12.75"/>
    <row r="925" s="22" customFormat="1" ht="12.75"/>
    <row r="926" s="22" customFormat="1" ht="12.75"/>
    <row r="927" s="22" customFormat="1" ht="12.75"/>
    <row r="928" s="22" customFormat="1" ht="12.75"/>
    <row r="929" s="22" customFormat="1" ht="12.75"/>
    <row r="930" s="22" customFormat="1" ht="12.75"/>
    <row r="931" s="22" customFormat="1" ht="12.75"/>
    <row r="932" s="22" customFormat="1" ht="12.75"/>
    <row r="933" s="22" customFormat="1" ht="12.75"/>
    <row r="934" s="22" customFormat="1" ht="12.75"/>
    <row r="935" s="22" customFormat="1" ht="12.75"/>
    <row r="936" s="22" customFormat="1" ht="12.75"/>
    <row r="937" s="22" customFormat="1" ht="12.75"/>
    <row r="938" s="22" customFormat="1" ht="12.75"/>
    <row r="939" s="22" customFormat="1" ht="12.75"/>
    <row r="940" s="22" customFormat="1" ht="12.75"/>
    <row r="941" s="22" customFormat="1" ht="12.75"/>
    <row r="942" s="22" customFormat="1" ht="12.75"/>
    <row r="943" s="22" customFormat="1" ht="12.75"/>
    <row r="944" s="22" customFormat="1" ht="12.75"/>
    <row r="945" s="22" customFormat="1" ht="12.75"/>
    <row r="946" s="22" customFormat="1" ht="12.75"/>
    <row r="947" s="22" customFormat="1" ht="12.75"/>
    <row r="948" s="22" customFormat="1" ht="12.75"/>
    <row r="949" s="22" customFormat="1" ht="12.75"/>
    <row r="950" s="22" customFormat="1" ht="12.75"/>
    <row r="951" s="22" customFormat="1" ht="12.75"/>
    <row r="952" s="22" customFormat="1" ht="12.75"/>
    <row r="953" s="22" customFormat="1" ht="12.75"/>
    <row r="954" s="22" customFormat="1" ht="12.75"/>
    <row r="955" s="22" customFormat="1" ht="12.75"/>
    <row r="956" s="22" customFormat="1" ht="12.75"/>
    <row r="957" s="22" customFormat="1" ht="12.75"/>
    <row r="958" s="22" customFormat="1" ht="12.75"/>
    <row r="959" s="22" customFormat="1" ht="12.75"/>
    <row r="960" s="22" customFormat="1" ht="12.75"/>
    <row r="961" s="22" customFormat="1" ht="12.75"/>
    <row r="962" s="22" customFormat="1" ht="12.75"/>
    <row r="963" s="22" customFormat="1" ht="12.75"/>
    <row r="964" s="22" customFormat="1" ht="12.75"/>
    <row r="965" s="22" customFormat="1" ht="12.75"/>
    <row r="966" s="22" customFormat="1" ht="12.75"/>
    <row r="967" s="22" customFormat="1" ht="12.75"/>
    <row r="968" s="22" customFormat="1" ht="12.75"/>
    <row r="969" s="22" customFormat="1" ht="12.75"/>
    <row r="970" s="22" customFormat="1" ht="12.75"/>
    <row r="971" s="22" customFormat="1" ht="12.75"/>
    <row r="972" s="22" customFormat="1" ht="12.75"/>
    <row r="973" s="22" customFormat="1" ht="12.75"/>
    <row r="974" s="22" customFormat="1" ht="12.75"/>
    <row r="975" s="22" customFormat="1" ht="12.75"/>
    <row r="976" s="22" customFormat="1" ht="12.75"/>
    <row r="977" s="22" customFormat="1" ht="12.75"/>
    <row r="978" s="22" customFormat="1" ht="12.75"/>
    <row r="979" s="22" customFormat="1" ht="12.75"/>
    <row r="980" s="22" customFormat="1" ht="12.75"/>
    <row r="981" s="22" customFormat="1" ht="12.75"/>
    <row r="982" s="22" customFormat="1" ht="12.75"/>
    <row r="983" s="22" customFormat="1" ht="12.75"/>
    <row r="984" s="22" customFormat="1" ht="12.75"/>
    <row r="985" s="22" customFormat="1" ht="12.75"/>
    <row r="986" s="22" customFormat="1" ht="12.75"/>
    <row r="987" s="22" customFormat="1" ht="12.75"/>
    <row r="988" s="22" customFormat="1" ht="12.75"/>
    <row r="989" s="22" customFormat="1" ht="12.75"/>
    <row r="990" s="22" customFormat="1" ht="12.75"/>
    <row r="991" s="22" customFormat="1" ht="12.75"/>
    <row r="992" s="22" customFormat="1" ht="12.75"/>
    <row r="993" s="22" customFormat="1" ht="12.75"/>
    <row r="994" s="22" customFormat="1" ht="12.75"/>
    <row r="995" s="22" customFormat="1" ht="12.75"/>
    <row r="996" s="22" customFormat="1" ht="12.75"/>
    <row r="997" s="22" customFormat="1" ht="12.75"/>
    <row r="998" s="22" customFormat="1" ht="12.75"/>
    <row r="999" s="22" customFormat="1" ht="12.75"/>
    <row r="1000" s="22" customFormat="1" ht="12.75"/>
    <row r="1001" s="22" customFormat="1" ht="12.75"/>
    <row r="1002" s="22" customFormat="1" ht="12.75"/>
    <row r="1003" s="22" customFormat="1" ht="12.75"/>
    <row r="1004" s="22" customFormat="1" ht="12.75"/>
    <row r="1005" s="22" customFormat="1" ht="12.75"/>
    <row r="1006" s="22" customFormat="1" ht="12.75"/>
    <row r="1007" s="22" customFormat="1" ht="12.75"/>
    <row r="1008" s="22" customFormat="1" ht="12.75"/>
    <row r="1009" s="22" customFormat="1" ht="12.75"/>
    <row r="1010" s="22" customFormat="1" ht="12.75"/>
    <row r="1011" s="22" customFormat="1" ht="12.75"/>
    <row r="1012" s="22" customFormat="1" ht="12.75"/>
    <row r="1013" s="22" customFormat="1" ht="12.75"/>
    <row r="1014" s="22" customFormat="1" ht="12.75"/>
    <row r="1015" s="22" customFormat="1" ht="12.75"/>
    <row r="1016" s="22" customFormat="1" ht="12.75"/>
    <row r="1017" s="22" customFormat="1" ht="12.75"/>
    <row r="1018" s="22" customFormat="1" ht="12.75"/>
    <row r="1019" s="22" customFormat="1" ht="12.75"/>
    <row r="1020" s="22" customFormat="1" ht="12.75"/>
    <row r="1021" s="22" customFormat="1" ht="12.75"/>
    <row r="1022" s="22" customFormat="1" ht="12.75"/>
    <row r="1023" s="22" customFormat="1" ht="12.75"/>
    <row r="1024" s="22" customFormat="1" ht="12.75"/>
    <row r="1025" s="22" customFormat="1" ht="12.75"/>
    <row r="1026" s="22" customFormat="1" ht="12.75"/>
    <row r="1027" s="22" customFormat="1" ht="12.75"/>
    <row r="1028" s="22" customFormat="1" ht="12.75"/>
    <row r="1029" s="22" customFormat="1" ht="12.75"/>
    <row r="1030" s="22" customFormat="1" ht="12.75"/>
    <row r="1031" s="22" customFormat="1" ht="12.75"/>
    <row r="1032" s="22" customFormat="1" ht="12.75"/>
    <row r="1033" s="22" customFormat="1" ht="12.75"/>
    <row r="1034" s="22" customFormat="1" ht="12.75"/>
    <row r="1035" s="22" customFormat="1" ht="12.75"/>
    <row r="1036" s="22" customFormat="1" ht="12.75"/>
    <row r="1037" s="22" customFormat="1" ht="12.75"/>
    <row r="1038" s="22" customFormat="1" ht="12.75"/>
    <row r="1039" s="22" customFormat="1" ht="12.75"/>
    <row r="1040" s="22" customFormat="1" ht="12.75"/>
    <row r="1041" s="22" customFormat="1" ht="12.75"/>
    <row r="1042" s="22" customFormat="1" ht="12.75"/>
    <row r="1043" s="22" customFormat="1" ht="12.75"/>
    <row r="1044" s="22" customFormat="1" ht="12.75"/>
    <row r="1045" s="22" customFormat="1" ht="12.75"/>
    <row r="1046" s="22" customFormat="1" ht="12.75"/>
    <row r="1047" s="22" customFormat="1" ht="12.75"/>
    <row r="1048" s="22" customFormat="1" ht="12.75"/>
    <row r="1049" s="22" customFormat="1" ht="12.75"/>
    <row r="1050" s="22" customFormat="1" ht="12.75"/>
    <row r="1051" s="22" customFormat="1" ht="12.75"/>
    <row r="1052" s="22" customFormat="1" ht="12.75"/>
    <row r="1053" s="22" customFormat="1" ht="12.75"/>
    <row r="1054" s="22" customFormat="1" ht="12.75"/>
    <row r="1055" s="22" customFormat="1" ht="12.75"/>
    <row r="1056" s="22" customFormat="1" ht="12.75"/>
    <row r="1057" s="22" customFormat="1" ht="12.75"/>
    <row r="1058" s="22" customFormat="1" ht="12.75"/>
    <row r="1059" s="22" customFormat="1" ht="12.75"/>
    <row r="1060" s="22" customFormat="1" ht="12.75"/>
    <row r="1061" s="22" customFormat="1" ht="12.75"/>
  </sheetData>
  <sheetProtection algorithmName="SHA-512" hashValue="+ihWFXsuc++mDH/lFL/dAMhtk7JGGT5BaRR6XK0LdKx889rjGZzmc3TPS/QAOOf3uIc0WX1pmLUBLELDKCvELg==" saltValue="Xov3AZtYw0WmsGZh3YHjGw==" spinCount="100000" sheet="1" objects="1" scenarios="1"/>
  <mergeCells count="152">
    <mergeCell ref="AI51:AJ51"/>
    <mergeCell ref="AI50:AO50"/>
    <mergeCell ref="AK51:AO51"/>
    <mergeCell ref="A51:C51"/>
    <mergeCell ref="E51:F51"/>
    <mergeCell ref="Q51:T51"/>
    <mergeCell ref="U51:V51"/>
    <mergeCell ref="X51:Y51"/>
    <mergeCell ref="H51:P51"/>
    <mergeCell ref="AA51:AH51"/>
    <mergeCell ref="A50:AH50"/>
    <mergeCell ref="A61:AI61"/>
    <mergeCell ref="AJ61:AO61"/>
    <mergeCell ref="AI57:AO57"/>
    <mergeCell ref="AI58:AO58"/>
    <mergeCell ref="B59:D60"/>
    <mergeCell ref="AE60:AH60"/>
    <mergeCell ref="A55:C55"/>
    <mergeCell ref="AI55:AO55"/>
    <mergeCell ref="A56:C56"/>
    <mergeCell ref="E56:K60"/>
    <mergeCell ref="L56:U60"/>
    <mergeCell ref="W56:AD60"/>
    <mergeCell ref="AE56:AH56"/>
    <mergeCell ref="AI56:AO56"/>
    <mergeCell ref="AI60:AO60"/>
    <mergeCell ref="D55:AH55"/>
    <mergeCell ref="A57:C58"/>
    <mergeCell ref="A49:AO49"/>
    <mergeCell ref="A42:AO42"/>
    <mergeCell ref="A43:AO43"/>
    <mergeCell ref="A44:AO44"/>
    <mergeCell ref="C46:AO47"/>
    <mergeCell ref="A35:AO35"/>
    <mergeCell ref="A36:AO36"/>
    <mergeCell ref="A37:AH37"/>
    <mergeCell ref="AI37:AO37"/>
    <mergeCell ref="A38:K38"/>
    <mergeCell ref="L38:L39"/>
    <mergeCell ref="M38:U38"/>
    <mergeCell ref="W38:Z38"/>
    <mergeCell ref="AB38:AG38"/>
    <mergeCell ref="AI38:AO38"/>
    <mergeCell ref="A39:K39"/>
    <mergeCell ref="M39:U39"/>
    <mergeCell ref="W39:Z39"/>
    <mergeCell ref="AB39:AG39"/>
    <mergeCell ref="AI39:AO39"/>
    <mergeCell ref="A41:K41"/>
    <mergeCell ref="A40:K40"/>
    <mergeCell ref="M41:P41"/>
    <mergeCell ref="M40:P40"/>
    <mergeCell ref="A34:E34"/>
    <mergeCell ref="G34:K34"/>
    <mergeCell ref="L34:AN34"/>
    <mergeCell ref="A31:AO31"/>
    <mergeCell ref="A48:AJ48"/>
    <mergeCell ref="R41:Z41"/>
    <mergeCell ref="R40:Z40"/>
    <mergeCell ref="AB40:AF40"/>
    <mergeCell ref="AB41:AE41"/>
    <mergeCell ref="AG40:AO40"/>
    <mergeCell ref="AG41:AO41"/>
    <mergeCell ref="A24:AO24"/>
    <mergeCell ref="A25:AO25"/>
    <mergeCell ref="A28:H28"/>
    <mergeCell ref="I28:J28"/>
    <mergeCell ref="L28:M28"/>
    <mergeCell ref="A32:AO32"/>
    <mergeCell ref="A33:K33"/>
    <mergeCell ref="L33:AO33"/>
    <mergeCell ref="A23:AO23"/>
    <mergeCell ref="P28:AH28"/>
    <mergeCell ref="AI28:AJ28"/>
    <mergeCell ref="AL28:AM28"/>
    <mergeCell ref="A29:AO29"/>
    <mergeCell ref="A30:H30"/>
    <mergeCell ref="I30:J30"/>
    <mergeCell ref="L30:M30"/>
    <mergeCell ref="P30:AG30"/>
    <mergeCell ref="AH30:AN30"/>
    <mergeCell ref="A27:AO27"/>
    <mergeCell ref="A26:P26"/>
    <mergeCell ref="Q26:R26"/>
    <mergeCell ref="T26:U26"/>
    <mergeCell ref="W26:X26"/>
    <mergeCell ref="Z26:AA26"/>
    <mergeCell ref="AJ18:AO18"/>
    <mergeCell ref="A19:AO19"/>
    <mergeCell ref="C20:AO20"/>
    <mergeCell ref="A21:D21"/>
    <mergeCell ref="E21:E22"/>
    <mergeCell ref="F21:J21"/>
    <mergeCell ref="K21:AA21"/>
    <mergeCell ref="AB21:AB22"/>
    <mergeCell ref="AC21:AG21"/>
    <mergeCell ref="AH21:AO21"/>
    <mergeCell ref="A18:F18"/>
    <mergeCell ref="H18:K18"/>
    <mergeCell ref="M18:U18"/>
    <mergeCell ref="W18:Z18"/>
    <mergeCell ref="AA18:AB18"/>
    <mergeCell ref="AC18:AH18"/>
    <mergeCell ref="A22:D22"/>
    <mergeCell ref="F22:I22"/>
    <mergeCell ref="K22:AA22"/>
    <mergeCell ref="AC22:AF22"/>
    <mergeCell ref="AH22:AO22"/>
    <mergeCell ref="D16:AO16"/>
    <mergeCell ref="A17:G17"/>
    <mergeCell ref="H17:L17"/>
    <mergeCell ref="M17:U17"/>
    <mergeCell ref="W17:Z17"/>
    <mergeCell ref="AC17:AH17"/>
    <mergeCell ref="AJ17:AO17"/>
    <mergeCell ref="A14:AO14"/>
    <mergeCell ref="A15:AO15"/>
    <mergeCell ref="A8:AO8"/>
    <mergeCell ref="A9:C9"/>
    <mergeCell ref="D9:J9"/>
    <mergeCell ref="K9:R9"/>
    <mergeCell ref="S9:Y9"/>
    <mergeCell ref="Z9:AG9"/>
    <mergeCell ref="AH9:AN9"/>
    <mergeCell ref="A13:F13"/>
    <mergeCell ref="G13:O13"/>
    <mergeCell ref="P13:Q13"/>
    <mergeCell ref="R13:AM13"/>
    <mergeCell ref="AC26:AD26"/>
    <mergeCell ref="AF26:AG26"/>
    <mergeCell ref="AI26:AJ26"/>
    <mergeCell ref="AL26:AM26"/>
    <mergeCell ref="A52:AO52"/>
    <mergeCell ref="A53:AO53"/>
    <mergeCell ref="A54:AO54"/>
    <mergeCell ref="A4:AO4"/>
    <mergeCell ref="A1:C3"/>
    <mergeCell ref="D1:AI1"/>
    <mergeCell ref="D2:M3"/>
    <mergeCell ref="N2:V2"/>
    <mergeCell ref="W2:AH2"/>
    <mergeCell ref="N3:V3"/>
    <mergeCell ref="W3:AO3"/>
    <mergeCell ref="A5:AO5"/>
    <mergeCell ref="A6:AO6"/>
    <mergeCell ref="A7:K7"/>
    <mergeCell ref="M7:P7"/>
    <mergeCell ref="R7:T7"/>
    <mergeCell ref="U7:AM7"/>
    <mergeCell ref="A10:AO10"/>
    <mergeCell ref="A11:AO11"/>
    <mergeCell ref="A12:AO12"/>
  </mergeCells>
  <printOptions horizontalCentered="1" verticalCentered="1"/>
  <pageMargins left="0.196850393700787" right="0.196850393700787" top="0.393700787401575" bottom="0.393700787401575" header="0.511811023622047" footer="0.511811023622047"/>
  <pageSetup horizontalDpi="300" verticalDpi="300" orientation="portrait" paperSize="9" scale="87" r:id="rId4"/>
  <headerFooter alignWithMargins="0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99"/>
    <pageSetUpPr fitToPage="1"/>
  </sheetPr>
  <dimension ref="A1:BS102"/>
  <sheetViews>
    <sheetView workbookViewId="0" topLeftCell="A1">
      <selection pane="topLeft" activeCell="R15" sqref="R15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05"/>
  </cols>
  <sheetData>
    <row r="1" spans="1:31" ht="45.75" customHeight="1">
      <c r="A1" s="1919" t="s">
        <v>3702</v>
      </c>
      <c r="B1" s="1920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</row>
    <row r="2" spans="1:31" ht="12.75">
      <c r="A2" s="1718"/>
      <c r="B2" s="1136"/>
      <c r="C2" s="1136"/>
      <c r="D2" s="1136"/>
      <c r="E2" s="1136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</row>
    <row r="3" spans="1:31" ht="18">
      <c r="A3" s="1921" t="s">
        <v>3669</v>
      </c>
      <c r="B3" s="1922"/>
      <c r="C3" s="1922"/>
      <c r="D3" s="1922"/>
      <c r="E3" s="1922"/>
      <c r="F3" s="1922"/>
      <c r="G3" s="1922"/>
      <c r="H3" s="1922"/>
      <c r="I3" s="1922"/>
      <c r="J3" s="1922"/>
      <c r="K3" s="1922"/>
      <c r="L3" s="1922"/>
      <c r="M3" s="1922"/>
      <c r="N3" s="1922"/>
      <c r="O3" s="1922"/>
      <c r="P3" s="1922"/>
      <c r="Q3" s="1922"/>
      <c r="R3" s="1922"/>
      <c r="S3" s="1922"/>
      <c r="T3" s="1922"/>
      <c r="U3" s="1922"/>
      <c r="V3" s="1922"/>
      <c r="W3" s="1922"/>
      <c r="X3" s="1922"/>
      <c r="Y3" s="1922"/>
      <c r="Z3" s="1922"/>
      <c r="AA3" s="1922"/>
      <c r="AB3" s="1922"/>
      <c r="AC3" s="1922"/>
      <c r="AD3" s="1922"/>
      <c r="AE3" s="1922"/>
    </row>
    <row r="4" spans="1:31" ht="18">
      <c r="A4" s="1921" t="s">
        <v>3670</v>
      </c>
      <c r="B4" s="1922"/>
      <c r="C4" s="1922"/>
      <c r="D4" s="1922"/>
      <c r="E4" s="1922"/>
      <c r="F4" s="1922"/>
      <c r="G4" s="1922"/>
      <c r="H4" s="1922"/>
      <c r="I4" s="1922"/>
      <c r="J4" s="1922"/>
      <c r="K4" s="1922"/>
      <c r="L4" s="1922"/>
      <c r="M4" s="1922"/>
      <c r="N4" s="1922"/>
      <c r="O4" s="1922"/>
      <c r="P4" s="1922"/>
      <c r="Q4" s="1922"/>
      <c r="R4" s="1922"/>
      <c r="S4" s="1922"/>
      <c r="T4" s="1922"/>
      <c r="U4" s="1922"/>
      <c r="V4" s="1922"/>
      <c r="W4" s="1922"/>
      <c r="X4" s="1922"/>
      <c r="Y4" s="1922"/>
      <c r="Z4" s="1922"/>
      <c r="AA4" s="1922"/>
      <c r="AB4" s="1922"/>
      <c r="AC4" s="1922"/>
      <c r="AD4" s="1922"/>
      <c r="AE4" s="1922"/>
    </row>
    <row r="5" spans="1:31" ht="15.75">
      <c r="A5" s="1923" t="s">
        <v>3671</v>
      </c>
      <c r="B5" s="1924"/>
      <c r="C5" s="1924"/>
      <c r="D5" s="1924"/>
      <c r="E5" s="1924"/>
      <c r="F5" s="1924"/>
      <c r="G5" s="1924"/>
      <c r="H5" s="1924"/>
      <c r="I5" s="1924"/>
      <c r="J5" s="1924"/>
      <c r="K5" s="1924"/>
      <c r="L5" s="1924"/>
      <c r="M5" s="1924"/>
      <c r="N5" s="1924"/>
      <c r="O5" s="1924"/>
      <c r="P5" s="1924"/>
      <c r="Q5" s="1924"/>
      <c r="R5" s="1924"/>
      <c r="S5" s="1924"/>
      <c r="T5" s="1924"/>
      <c r="U5" s="1924"/>
      <c r="V5" s="1924"/>
      <c r="W5" s="1924"/>
      <c r="X5" s="1924"/>
      <c r="Y5" s="1924"/>
      <c r="Z5" s="1924"/>
      <c r="AA5" s="1924"/>
      <c r="AB5" s="1924"/>
      <c r="AC5" s="1924"/>
      <c r="AD5" s="1924"/>
      <c r="AE5" s="1924"/>
    </row>
    <row r="6" spans="1:31" ht="12.75">
      <c r="A6" s="1718"/>
      <c r="B6" s="1136"/>
      <c r="C6" s="1136"/>
      <c r="D6" s="1136"/>
      <c r="E6" s="1136"/>
      <c r="F6" s="1136"/>
      <c r="G6" s="1136"/>
      <c r="H6" s="1136"/>
      <c r="I6" s="1136"/>
      <c r="J6" s="1136"/>
      <c r="K6" s="1136"/>
      <c r="L6" s="1136"/>
      <c r="M6" s="1136"/>
      <c r="N6" s="1136"/>
      <c r="O6" s="1136"/>
      <c r="P6" s="1136"/>
      <c r="Q6" s="1136"/>
      <c r="R6" s="1136"/>
      <c r="S6" s="1136"/>
      <c r="T6" s="1136"/>
      <c r="U6" s="1136"/>
      <c r="V6" s="1136"/>
      <c r="W6" s="1136"/>
      <c r="X6" s="1136"/>
      <c r="Y6" s="1136"/>
      <c r="Z6" s="1136"/>
      <c r="AA6" s="1136"/>
      <c r="AB6" s="1136"/>
      <c r="AC6" s="1136"/>
      <c r="AD6" s="1136"/>
      <c r="AE6" s="1136"/>
    </row>
    <row r="7" spans="1:31" ht="27" customHeight="1">
      <c r="A7" s="1908" t="s">
        <v>3672</v>
      </c>
      <c r="B7" s="1909"/>
      <c r="C7" s="392"/>
      <c r="D7" s="1914" t="s">
        <v>3673</v>
      </c>
      <c r="E7" s="1915"/>
      <c r="F7" s="1915"/>
      <c r="G7" s="1915"/>
      <c r="H7" s="1915"/>
      <c r="I7" s="1915"/>
      <c r="J7" s="1915"/>
      <c r="K7" s="1915"/>
      <c r="L7" s="1915"/>
      <c r="M7" s="1915"/>
      <c r="N7" s="1915"/>
      <c r="O7" s="1915"/>
      <c r="P7" s="1915"/>
      <c r="Q7" s="392"/>
      <c r="R7" s="1917" t="s">
        <v>3674</v>
      </c>
      <c r="S7" s="1918"/>
      <c r="T7" s="1918"/>
      <c r="U7" s="1918"/>
      <c r="V7" s="1918"/>
      <c r="W7" s="1918"/>
      <c r="X7" s="1918"/>
      <c r="Y7" s="1918"/>
      <c r="Z7" s="1918"/>
      <c r="AA7" s="1918"/>
      <c r="AB7" s="1918"/>
      <c r="AC7" s="1918"/>
      <c r="AD7" s="1918"/>
      <c r="AE7" s="1918"/>
    </row>
    <row r="8" spans="1:31" ht="18" customHeight="1">
      <c r="A8" s="1910" t="str">
        <f>+'SP1'!$A$6:$F$6</f>
        <v/>
      </c>
      <c r="B8" s="1911"/>
      <c r="C8" s="388"/>
      <c r="D8" s="1912"/>
      <c r="E8" s="1600"/>
      <c r="F8" s="1600"/>
      <c r="G8" s="1600"/>
      <c r="H8" s="1600"/>
      <c r="I8" s="1600"/>
      <c r="J8" s="1600"/>
      <c r="K8" s="1600"/>
      <c r="L8" s="1600"/>
      <c r="M8" s="1600"/>
      <c r="N8" s="1600"/>
      <c r="O8" s="1600"/>
      <c r="P8" s="1678"/>
      <c r="Q8" s="388"/>
      <c r="R8" s="1916" t="str">
        <f>+'SP1'!$U$6</f>
        <v/>
      </c>
      <c r="S8" s="1726"/>
      <c r="T8" s="1726"/>
      <c r="U8" s="1726"/>
      <c r="V8" s="1726"/>
      <c r="W8" s="1726"/>
      <c r="X8" s="1726"/>
      <c r="Y8" s="1726"/>
      <c r="Z8" s="1726"/>
      <c r="AA8" s="1726"/>
      <c r="AB8" s="1726"/>
      <c r="AC8" s="1726"/>
      <c r="AD8" s="1726"/>
      <c r="AE8" s="975"/>
    </row>
    <row r="9" spans="1:31" ht="15" customHeight="1">
      <c r="A9" s="388"/>
      <c r="B9" s="388"/>
      <c r="C9" s="388"/>
      <c r="D9" s="1873"/>
      <c r="E9" s="1136"/>
      <c r="F9" s="1136"/>
      <c r="G9" s="1136"/>
      <c r="H9" s="1136"/>
      <c r="I9" s="1136"/>
      <c r="J9" s="1136"/>
      <c r="K9" s="1136"/>
      <c r="L9" s="1136"/>
      <c r="M9" s="1136"/>
      <c r="N9" s="1136"/>
      <c r="O9" s="1136"/>
      <c r="P9" s="1714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</row>
    <row r="10" spans="1:31" ht="15" customHeight="1">
      <c r="A10" s="388"/>
      <c r="B10" s="388"/>
      <c r="C10" s="388"/>
      <c r="D10" s="1913"/>
      <c r="E10" s="1665"/>
      <c r="F10" s="1665"/>
      <c r="G10" s="1665"/>
      <c r="H10" s="1665"/>
      <c r="I10" s="1665"/>
      <c r="J10" s="1665"/>
      <c r="K10" s="1665"/>
      <c r="L10" s="1665"/>
      <c r="M10" s="1665"/>
      <c r="N10" s="1665"/>
      <c r="O10" s="1665"/>
      <c r="P10" s="1676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</row>
    <row r="11" spans="1:31" ht="12.75">
      <c r="A11" s="1718"/>
      <c r="B11" s="1136"/>
      <c r="C11" s="1136"/>
      <c r="D11" s="1136"/>
      <c r="E11" s="1136"/>
      <c r="F11" s="1136"/>
      <c r="G11" s="1136"/>
      <c r="H11" s="1136"/>
      <c r="I11" s="1136"/>
      <c r="J11" s="1136"/>
      <c r="K11" s="1136"/>
      <c r="L11" s="1136"/>
      <c r="M11" s="1136"/>
      <c r="N11" s="1136"/>
      <c r="O11" s="1136"/>
      <c r="P11" s="1136"/>
      <c r="Q11" s="1136"/>
      <c r="R11" s="1136"/>
      <c r="S11" s="1136"/>
      <c r="T11" s="1136"/>
      <c r="U11" s="1136"/>
      <c r="V11" s="1136"/>
      <c r="W11" s="1136"/>
      <c r="X11" s="1136"/>
      <c r="Y11" s="1136"/>
      <c r="Z11" s="1136"/>
      <c r="AA11" s="1136"/>
      <c r="AB11" s="1136"/>
      <c r="AC11" s="1136"/>
      <c r="AD11" s="1136"/>
      <c r="AE11" s="1136"/>
    </row>
    <row r="12" spans="1:71" s="321" customFormat="1" ht="18" customHeight="1">
      <c r="A12" s="1883" t="s">
        <v>3675</v>
      </c>
      <c r="B12" s="1884"/>
      <c r="C12" s="1884"/>
      <c r="D12" s="1884"/>
      <c r="E12" s="1884"/>
      <c r="F12" s="1884"/>
      <c r="G12" s="1884"/>
      <c r="H12" s="1884"/>
      <c r="I12" s="1884"/>
      <c r="J12" s="1884"/>
      <c r="K12" s="1884"/>
      <c r="L12" s="1884"/>
      <c r="M12" s="1884"/>
      <c r="N12" s="1884"/>
      <c r="O12" s="1884"/>
      <c r="P12" s="1884"/>
      <c r="Q12" s="1884"/>
      <c r="R12" s="1884"/>
      <c r="S12" s="1884"/>
      <c r="T12" s="1884"/>
      <c r="U12" s="1884"/>
      <c r="V12" s="1884"/>
      <c r="W12" s="1884"/>
      <c r="X12" s="1884"/>
      <c r="Y12" s="1884"/>
      <c r="Z12" s="1884"/>
      <c r="AA12" s="1884"/>
      <c r="AB12" s="1884"/>
      <c r="AC12" s="1884"/>
      <c r="AD12" s="1884"/>
      <c r="AE12" s="1885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406"/>
      <c r="BF12" s="406"/>
      <c r="BG12" s="406"/>
      <c r="BH12" s="406"/>
      <c r="BI12" s="406"/>
      <c r="BJ12" s="406"/>
      <c r="BK12" s="406"/>
      <c r="BL12" s="406"/>
      <c r="BM12" s="406"/>
      <c r="BN12" s="406"/>
      <c r="BO12" s="406"/>
      <c r="BP12" s="406"/>
      <c r="BQ12" s="406"/>
      <c r="BR12" s="406"/>
      <c r="BS12" s="406"/>
    </row>
    <row r="13" spans="1:31" ht="12.75">
      <c r="A13" s="393"/>
      <c r="B13" s="394" t="s">
        <v>98</v>
      </c>
      <c r="C13" s="394"/>
      <c r="D13" s="1900" t="s">
        <v>97</v>
      </c>
      <c r="E13" s="1901"/>
      <c r="F13" s="1901"/>
      <c r="G13" s="1901"/>
      <c r="H13" s="1901"/>
      <c r="I13" s="1901"/>
      <c r="J13" s="394"/>
      <c r="K13" s="1900" t="s">
        <v>116</v>
      </c>
      <c r="L13" s="1901"/>
      <c r="M13" s="1901"/>
      <c r="N13" s="1901"/>
      <c r="O13" s="1901"/>
      <c r="P13" s="1901"/>
      <c r="Q13" s="394"/>
      <c r="R13" s="1900" t="s">
        <v>275</v>
      </c>
      <c r="S13" s="1901"/>
      <c r="T13" s="1901"/>
      <c r="U13" s="1901"/>
      <c r="V13" s="1901"/>
      <c r="W13" s="1901"/>
      <c r="X13" s="394"/>
      <c r="Y13" s="1900" t="s">
        <v>148</v>
      </c>
      <c r="Z13" s="1901"/>
      <c r="AA13" s="1901"/>
      <c r="AB13" s="1901"/>
      <c r="AC13" s="1901"/>
      <c r="AD13" s="1901"/>
      <c r="AE13" s="395"/>
    </row>
    <row r="14" spans="1:31" ht="18" customHeight="1">
      <c r="A14" s="393"/>
      <c r="B14" s="580" t="str">
        <f>+CONCATENATE('SP1'!$A$10)</f>
        <v>0</v>
      </c>
      <c r="C14" s="388"/>
      <c r="D14" s="1899" t="str">
        <f>+CONCATENATE('SP1'!$H$10)</f>
        <v>0</v>
      </c>
      <c r="E14" s="1635"/>
      <c r="F14" s="1635"/>
      <c r="G14" s="1635"/>
      <c r="H14" s="1635"/>
      <c r="I14" s="1752"/>
      <c r="J14" s="388"/>
      <c r="K14" s="1902" t="str">
        <f>+CONCATENATE('SP1'!$Q$10)</f>
        <v/>
      </c>
      <c r="L14" s="1673"/>
      <c r="M14" s="1673"/>
      <c r="N14" s="1673"/>
      <c r="O14" s="1673"/>
      <c r="P14" s="1903"/>
      <c r="Q14" s="388"/>
      <c r="R14" s="1904">
        <f>+'SP1'!$A$12</f>
        <v>0</v>
      </c>
      <c r="S14" s="1048"/>
      <c r="T14" s="1048"/>
      <c r="U14" s="1048"/>
      <c r="V14" s="1048"/>
      <c r="W14" s="1905"/>
      <c r="X14" s="388"/>
      <c r="Y14" s="1906" t="str">
        <f>+'SP1'!$Y$10</f>
        <v/>
      </c>
      <c r="Z14" s="1726"/>
      <c r="AA14" s="1726"/>
      <c r="AB14" s="1726"/>
      <c r="AC14" s="1726"/>
      <c r="AD14" s="975"/>
      <c r="AE14" s="396"/>
    </row>
    <row r="15" spans="1:31" ht="5.1" customHeight="1">
      <c r="A15" s="397"/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9"/>
    </row>
    <row r="16" spans="1:31" ht="18" customHeight="1">
      <c r="A16" s="1883" t="s">
        <v>3678</v>
      </c>
      <c r="B16" s="1884"/>
      <c r="C16" s="1884"/>
      <c r="D16" s="1884"/>
      <c r="E16" s="1884"/>
      <c r="F16" s="1884"/>
      <c r="G16" s="1884"/>
      <c r="H16" s="1884"/>
      <c r="I16" s="1884"/>
      <c r="J16" s="1884"/>
      <c r="K16" s="1884"/>
      <c r="L16" s="1884"/>
      <c r="M16" s="1884"/>
      <c r="N16" s="1884"/>
      <c r="O16" s="1884"/>
      <c r="P16" s="1884"/>
      <c r="Q16" s="1884"/>
      <c r="R16" s="1884"/>
      <c r="S16" s="1884"/>
      <c r="T16" s="1884"/>
      <c r="U16" s="1884"/>
      <c r="V16" s="1884"/>
      <c r="W16" s="1884"/>
      <c r="X16" s="1884"/>
      <c r="Y16" s="1884"/>
      <c r="Z16" s="1884"/>
      <c r="AA16" s="1884"/>
      <c r="AB16" s="1884"/>
      <c r="AC16" s="1884"/>
      <c r="AD16" s="1884"/>
      <c r="AE16" s="1885"/>
    </row>
    <row r="17" spans="1:31" ht="12.75">
      <c r="A17" s="393"/>
      <c r="B17" s="1882" t="s">
        <v>3679</v>
      </c>
      <c r="C17" s="1136"/>
      <c r="D17" s="1136"/>
      <c r="E17" s="1136"/>
      <c r="F17" s="1136"/>
      <c r="G17" s="1136"/>
      <c r="H17" s="1136"/>
      <c r="I17" s="1136"/>
      <c r="J17" s="1136"/>
      <c r="K17" s="1136"/>
      <c r="L17" s="1136"/>
      <c r="M17" s="1136"/>
      <c r="N17" s="1136"/>
      <c r="O17" s="1136"/>
      <c r="P17" s="1136"/>
      <c r="Q17" s="1136"/>
      <c r="R17" s="1136"/>
      <c r="S17" s="1136"/>
      <c r="T17" s="1136"/>
      <c r="U17" s="1136"/>
      <c r="V17" s="1136"/>
      <c r="W17" s="1136"/>
      <c r="X17" s="1136"/>
      <c r="Y17" s="1136"/>
      <c r="Z17" s="1136"/>
      <c r="AA17" s="1136"/>
      <c r="AB17" s="1136"/>
      <c r="AC17" s="1136"/>
      <c r="AD17" s="1136"/>
      <c r="AE17" s="396"/>
    </row>
    <row r="18" spans="1:31" ht="18" customHeight="1">
      <c r="A18" s="393"/>
      <c r="B18" s="1907"/>
      <c r="C18" s="1673"/>
      <c r="D18" s="1673"/>
      <c r="E18" s="1673"/>
      <c r="F18" s="1673"/>
      <c r="G18" s="1673"/>
      <c r="H18" s="1673"/>
      <c r="I18" s="1673"/>
      <c r="J18" s="1673"/>
      <c r="K18" s="1673"/>
      <c r="L18" s="1673"/>
      <c r="M18" s="1673"/>
      <c r="N18" s="1673"/>
      <c r="O18" s="1673"/>
      <c r="P18" s="1673"/>
      <c r="Q18" s="1673"/>
      <c r="R18" s="1673"/>
      <c r="S18" s="1673"/>
      <c r="T18" s="1673"/>
      <c r="U18" s="1673"/>
      <c r="V18" s="1673"/>
      <c r="W18" s="1673"/>
      <c r="X18" s="1673"/>
      <c r="Y18" s="1673"/>
      <c r="Z18" s="1673"/>
      <c r="AA18" s="1673"/>
      <c r="AB18" s="1673"/>
      <c r="AC18" s="1673"/>
      <c r="AD18" s="1903"/>
      <c r="AE18" s="396"/>
    </row>
    <row r="19" spans="1:31" ht="5.1" customHeight="1">
      <c r="A19" s="393"/>
      <c r="B19" s="1882"/>
      <c r="C19" s="1136"/>
      <c r="D19" s="1136"/>
      <c r="E19" s="1136"/>
      <c r="F19" s="1136"/>
      <c r="G19" s="1136"/>
      <c r="H19" s="1136"/>
      <c r="I19" s="1136"/>
      <c r="J19" s="1136"/>
      <c r="K19" s="1136"/>
      <c r="L19" s="1136"/>
      <c r="M19" s="1136"/>
      <c r="N19" s="1136"/>
      <c r="O19" s="1136"/>
      <c r="P19" s="1136"/>
      <c r="Q19" s="1136"/>
      <c r="R19" s="1136"/>
      <c r="S19" s="1136"/>
      <c r="T19" s="1136"/>
      <c r="U19" s="1136"/>
      <c r="V19" s="1136"/>
      <c r="W19" s="1136"/>
      <c r="X19" s="1136"/>
      <c r="Y19" s="1136"/>
      <c r="Z19" s="1136"/>
      <c r="AA19" s="1136"/>
      <c r="AB19" s="1136"/>
      <c r="AC19" s="1136"/>
      <c r="AD19" s="1136"/>
      <c r="AE19" s="396"/>
    </row>
    <row r="20" spans="1:31" ht="18" customHeight="1">
      <c r="A20" s="393"/>
      <c r="B20" s="1882" t="s">
        <v>3680</v>
      </c>
      <c r="C20" s="1136"/>
      <c r="D20" s="1136"/>
      <c r="E20" s="1136"/>
      <c r="F20" s="1714"/>
      <c r="G20" s="1894">
        <f>+'DAP1'!F24</f>
        <v>2022</v>
      </c>
      <c r="H20" s="1895"/>
      <c r="I20" s="1895"/>
      <c r="J20" s="1896"/>
      <c r="K20" s="1873"/>
      <c r="L20" s="1136"/>
      <c r="M20" s="1136"/>
      <c r="N20" s="1136"/>
      <c r="O20" s="1136"/>
      <c r="P20" s="1136"/>
      <c r="Q20" s="1136"/>
      <c r="R20" s="1136"/>
      <c r="S20" s="1136"/>
      <c r="T20" s="1136"/>
      <c r="U20" s="1136"/>
      <c r="V20" s="1136"/>
      <c r="W20" s="1136"/>
      <c r="X20" s="1136"/>
      <c r="Y20" s="1136"/>
      <c r="Z20" s="1136"/>
      <c r="AA20" s="1136"/>
      <c r="AB20" s="1136"/>
      <c r="AC20" s="1136"/>
      <c r="AD20" s="1136"/>
      <c r="AE20" s="1714"/>
    </row>
    <row r="21" spans="1:31" ht="12.75">
      <c r="A21" s="393"/>
      <c r="B21" s="388"/>
      <c r="C21" s="388"/>
      <c r="D21" s="388"/>
      <c r="E21" s="400">
        <v>1</v>
      </c>
      <c r="F21" s="388"/>
      <c r="G21" s="400">
        <v>2</v>
      </c>
      <c r="H21" s="388"/>
      <c r="I21" s="400">
        <v>3</v>
      </c>
      <c r="J21" s="388"/>
      <c r="K21" s="400">
        <v>4</v>
      </c>
      <c r="L21" s="388"/>
      <c r="M21" s="400">
        <v>5</v>
      </c>
      <c r="N21" s="388"/>
      <c r="O21" s="400">
        <v>6</v>
      </c>
      <c r="P21" s="388"/>
      <c r="Q21" s="400">
        <v>7</v>
      </c>
      <c r="R21" s="388"/>
      <c r="S21" s="400">
        <v>8</v>
      </c>
      <c r="T21" s="388"/>
      <c r="U21" s="400">
        <v>9</v>
      </c>
      <c r="V21" s="388"/>
      <c r="W21" s="400">
        <v>10</v>
      </c>
      <c r="X21" s="388"/>
      <c r="Y21" s="400">
        <v>11</v>
      </c>
      <c r="Z21" s="388"/>
      <c r="AA21" s="400">
        <v>12</v>
      </c>
      <c r="AB21" s="1897" t="s">
        <v>3677</v>
      </c>
      <c r="AC21" s="1898"/>
      <c r="AD21" s="1898"/>
      <c r="AE21" s="396"/>
    </row>
    <row r="22" spans="1:31" ht="18" customHeight="1">
      <c r="A22" s="393"/>
      <c r="B22" s="401" t="s">
        <v>3676</v>
      </c>
      <c r="C22" s="388"/>
      <c r="D22" s="388"/>
      <c r="E22" s="402"/>
      <c r="F22" s="388"/>
      <c r="G22" s="402"/>
      <c r="H22" s="388"/>
      <c r="I22" s="402"/>
      <c r="J22" s="388"/>
      <c r="K22" s="402"/>
      <c r="L22" s="388"/>
      <c r="M22" s="402"/>
      <c r="N22" s="388"/>
      <c r="O22" s="402"/>
      <c r="P22" s="388"/>
      <c r="Q22" s="402"/>
      <c r="R22" s="388"/>
      <c r="S22" s="402"/>
      <c r="T22" s="388"/>
      <c r="U22" s="402"/>
      <c r="V22" s="388"/>
      <c r="W22" s="402"/>
      <c r="X22" s="388"/>
      <c r="Y22" s="402"/>
      <c r="Z22" s="388"/>
      <c r="AA22" s="402"/>
      <c r="AB22" s="388"/>
      <c r="AC22" s="402"/>
      <c r="AD22" s="388"/>
      <c r="AE22" s="396"/>
    </row>
    <row r="23" spans="1:31" ht="5.1" customHeight="1">
      <c r="A23" s="397"/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8"/>
      <c r="AE23" s="399"/>
    </row>
    <row r="24" spans="1:31" ht="18" customHeight="1">
      <c r="A24" s="1883" t="s">
        <v>3681</v>
      </c>
      <c r="B24" s="1884"/>
      <c r="C24" s="1884"/>
      <c r="D24" s="1884"/>
      <c r="E24" s="1884"/>
      <c r="F24" s="1884"/>
      <c r="G24" s="1884"/>
      <c r="H24" s="1884"/>
      <c r="I24" s="1884"/>
      <c r="J24" s="1884"/>
      <c r="K24" s="1884"/>
      <c r="L24" s="1884"/>
      <c r="M24" s="1884"/>
      <c r="N24" s="1884"/>
      <c r="O24" s="1884"/>
      <c r="P24" s="1884"/>
      <c r="Q24" s="1884"/>
      <c r="R24" s="1884"/>
      <c r="S24" s="1884"/>
      <c r="T24" s="1884"/>
      <c r="U24" s="1884"/>
      <c r="V24" s="1884"/>
      <c r="W24" s="1884"/>
      <c r="X24" s="1884"/>
      <c r="Y24" s="1884"/>
      <c r="Z24" s="1884"/>
      <c r="AA24" s="1884"/>
      <c r="AB24" s="1884"/>
      <c r="AC24" s="1884"/>
      <c r="AD24" s="1884"/>
      <c r="AE24" s="1885"/>
    </row>
    <row r="25" spans="1:31" ht="60" customHeight="1">
      <c r="A25" s="1893"/>
      <c r="B25" s="1136"/>
      <c r="C25" s="1136"/>
      <c r="D25" s="1136"/>
      <c r="E25" s="1136"/>
      <c r="F25" s="1136"/>
      <c r="G25" s="1136"/>
      <c r="H25" s="1136"/>
      <c r="I25" s="1136"/>
      <c r="J25" s="1136"/>
      <c r="K25" s="1136"/>
      <c r="L25" s="1136"/>
      <c r="M25" s="1136"/>
      <c r="N25" s="1136"/>
      <c r="O25" s="1136"/>
      <c r="P25" s="1136"/>
      <c r="Q25" s="1136"/>
      <c r="R25" s="1136"/>
      <c r="S25" s="1136"/>
      <c r="T25" s="1888"/>
      <c r="U25" s="1889"/>
      <c r="V25" s="1889"/>
      <c r="W25" s="1889"/>
      <c r="X25" s="1889"/>
      <c r="Y25" s="1889"/>
      <c r="Z25" s="1889"/>
      <c r="AA25" s="1889"/>
      <c r="AB25" s="1889"/>
      <c r="AC25" s="1889"/>
      <c r="AD25" s="1889"/>
      <c r="AE25" s="396"/>
    </row>
    <row r="26" spans="1:31" ht="18" customHeight="1">
      <c r="A26" s="393"/>
      <c r="B26" s="401" t="s">
        <v>360</v>
      </c>
      <c r="C26" s="1886">
        <f ca="1">+TODAY()</f>
        <v>44994</v>
      </c>
      <c r="D26" s="1887"/>
      <c r="E26" s="1887"/>
      <c r="F26" s="1887"/>
      <c r="G26" s="1718"/>
      <c r="H26" s="1136"/>
      <c r="I26" s="1136"/>
      <c r="J26" s="1136"/>
      <c r="K26" s="1136"/>
      <c r="L26" s="1136"/>
      <c r="M26" s="1136"/>
      <c r="N26" s="1136"/>
      <c r="O26" s="1136"/>
      <c r="P26" s="1136"/>
      <c r="Q26" s="1136"/>
      <c r="R26" s="1136"/>
      <c r="S26" s="1136"/>
      <c r="T26" s="1890"/>
      <c r="U26" s="1890"/>
      <c r="V26" s="1890"/>
      <c r="W26" s="1890"/>
      <c r="X26" s="1890"/>
      <c r="Y26" s="1890"/>
      <c r="Z26" s="1890"/>
      <c r="AA26" s="1890"/>
      <c r="AB26" s="1890"/>
      <c r="AC26" s="1890"/>
      <c r="AD26" s="1890"/>
      <c r="AE26" s="396"/>
    </row>
    <row r="27" spans="1:31" ht="12.75">
      <c r="A27" s="393"/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  <c r="S27" s="388"/>
      <c r="T27" s="1891" t="s">
        <v>361</v>
      </c>
      <c r="U27" s="1892"/>
      <c r="V27" s="1892"/>
      <c r="W27" s="1892"/>
      <c r="X27" s="1892"/>
      <c r="Y27" s="1892"/>
      <c r="Z27" s="1892"/>
      <c r="AA27" s="1892"/>
      <c r="AB27" s="1892"/>
      <c r="AC27" s="1892"/>
      <c r="AD27" s="1892"/>
      <c r="AE27" s="396"/>
    </row>
    <row r="28" spans="1:31" ht="5.1" customHeight="1">
      <c r="A28" s="397"/>
      <c r="B28" s="398"/>
      <c r="C28" s="398"/>
      <c r="D28" s="398"/>
      <c r="E28" s="398"/>
      <c r="F28" s="398"/>
      <c r="G28" s="398"/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9"/>
    </row>
    <row r="29" spans="1:31" ht="28.5" customHeight="1">
      <c r="A29" s="403"/>
      <c r="B29" s="1876" t="s">
        <v>3682</v>
      </c>
      <c r="C29" s="1877"/>
      <c r="D29" s="1877"/>
      <c r="E29" s="1877"/>
      <c r="F29" s="1877"/>
      <c r="G29" s="1877"/>
      <c r="H29" s="1877"/>
      <c r="I29" s="1877"/>
      <c r="J29" s="1877"/>
      <c r="K29" s="1877"/>
      <c r="L29" s="1877"/>
      <c r="M29" s="1877"/>
      <c r="N29" s="1877"/>
      <c r="O29" s="1877"/>
      <c r="P29" s="1877"/>
      <c r="Q29" s="1877"/>
      <c r="R29" s="1877"/>
      <c r="S29" s="1877"/>
      <c r="T29" s="1877"/>
      <c r="U29" s="1877"/>
      <c r="V29" s="1877"/>
      <c r="W29" s="1877"/>
      <c r="X29" s="1877"/>
      <c r="Y29" s="1877"/>
      <c r="Z29" s="1877"/>
      <c r="AA29" s="1877"/>
      <c r="AB29" s="1877"/>
      <c r="AC29" s="1877"/>
      <c r="AD29" s="1877"/>
      <c r="AE29" s="404"/>
    </row>
    <row r="30" spans="1:31" ht="12.75">
      <c r="A30" s="1878"/>
      <c r="B30" s="1665"/>
      <c r="C30" s="1665"/>
      <c r="D30" s="1665"/>
      <c r="E30" s="1665"/>
      <c r="F30" s="1665"/>
      <c r="G30" s="1665"/>
      <c r="H30" s="1665"/>
      <c r="I30" s="1665"/>
      <c r="J30" s="1665"/>
      <c r="K30" s="1665"/>
      <c r="L30" s="1665"/>
      <c r="M30" s="1665"/>
      <c r="N30" s="1665"/>
      <c r="O30" s="1665"/>
      <c r="P30" s="1665"/>
      <c r="Q30" s="1665"/>
      <c r="R30" s="1665"/>
      <c r="S30" s="1665"/>
      <c r="T30" s="1665"/>
      <c r="U30" s="1665"/>
      <c r="V30" s="1665"/>
      <c r="W30" s="1665"/>
      <c r="X30" s="1665"/>
      <c r="Y30" s="1665"/>
      <c r="Z30" s="1665"/>
      <c r="AA30" s="1879" t="s">
        <v>3683</v>
      </c>
      <c r="AB30" s="1880"/>
      <c r="AC30" s="1880"/>
      <c r="AD30" s="1880"/>
      <c r="AE30" s="1881"/>
    </row>
    <row r="31" spans="1:31" s="405" customFormat="1" ht="12.75">
      <c r="A31" s="407"/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</row>
    <row r="32" spans="1:31" s="405" customFormat="1" ht="12.75">
      <c r="A32" s="407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</row>
    <row r="33" spans="1:31" s="405" customFormat="1" ht="12.75">
      <c r="A33" s="407"/>
      <c r="B33" s="407"/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</row>
    <row r="34" spans="1:31" s="405" customFormat="1" ht="12.75">
      <c r="A34" s="407"/>
      <c r="B34" s="407"/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</row>
    <row r="35" spans="1:31" s="405" customFormat="1" ht="12.75">
      <c r="A35" s="407"/>
      <c r="B35" s="407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</row>
    <row r="36" spans="1:31" s="405" customFormat="1" ht="12.75">
      <c r="A36" s="407"/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</row>
    <row r="37" spans="1:31" s="405" customFormat="1" ht="12.75">
      <c r="A37" s="407"/>
      <c r="B37" s="407"/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</row>
    <row r="38" spans="1:31" s="405" customFormat="1" ht="12.75">
      <c r="A38" s="407"/>
      <c r="B38" s="407"/>
      <c r="C38" s="407"/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</row>
    <row r="39" spans="1:31" s="405" customFormat="1" ht="12.75">
      <c r="A39" s="407"/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</row>
    <row r="40" spans="1:31" s="405" customFormat="1" ht="12.75">
      <c r="A40" s="407"/>
      <c r="B40" s="407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  <c r="T40" s="407"/>
      <c r="U40" s="407"/>
      <c r="V40" s="407"/>
      <c r="W40" s="407"/>
      <c r="X40" s="407"/>
      <c r="Y40" s="407"/>
      <c r="Z40" s="407"/>
      <c r="AA40" s="407"/>
      <c r="AB40" s="407"/>
      <c r="AC40" s="407"/>
      <c r="AD40" s="407"/>
      <c r="AE40" s="407"/>
    </row>
    <row r="41" spans="1:31" s="405" customFormat="1" ht="12.75">
      <c r="A41" s="407"/>
      <c r="B41" s="407"/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</row>
    <row r="42" spans="1:31" s="405" customFormat="1" ht="12.75">
      <c r="A42" s="407"/>
      <c r="B42" s="407"/>
      <c r="C42" s="407"/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  <c r="T42" s="407"/>
      <c r="U42" s="407"/>
      <c r="V42" s="407"/>
      <c r="W42" s="407"/>
      <c r="X42" s="407"/>
      <c r="Y42" s="407"/>
      <c r="Z42" s="407"/>
      <c r="AA42" s="407"/>
      <c r="AB42" s="407"/>
      <c r="AC42" s="407"/>
      <c r="AD42" s="407"/>
      <c r="AE42" s="407"/>
    </row>
    <row r="43" spans="1:31" s="405" customFormat="1" ht="12.75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</row>
    <row r="44" spans="1:31" s="405" customFormat="1" ht="12.75">
      <c r="A44" s="407"/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</row>
    <row r="45" spans="1:31" s="405" customFormat="1" ht="12.75">
      <c r="A45" s="407"/>
      <c r="B45" s="407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</row>
    <row r="46" spans="1:31" s="405" customFormat="1" ht="12.75">
      <c r="A46" s="407"/>
      <c r="B46" s="407"/>
      <c r="C46" s="407"/>
      <c r="D46" s="407"/>
      <c r="E46" s="407"/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7"/>
      <c r="R46" s="407"/>
      <c r="S46" s="407"/>
      <c r="T46" s="407"/>
      <c r="U46" s="407"/>
      <c r="V46" s="407"/>
      <c r="W46" s="407"/>
      <c r="X46" s="407"/>
      <c r="Y46" s="407"/>
      <c r="Z46" s="407"/>
      <c r="AA46" s="407"/>
      <c r="AB46" s="407"/>
      <c r="AC46" s="407"/>
      <c r="AD46" s="407"/>
      <c r="AE46" s="407"/>
    </row>
    <row r="47" s="405" customFormat="1" ht="12.75"/>
    <row r="48" s="405" customFormat="1" ht="12.75"/>
    <row r="49" s="405" customFormat="1" ht="12.75"/>
    <row r="50" s="405" customFormat="1" ht="12.75"/>
    <row r="51" s="405" customFormat="1" ht="12.75"/>
    <row r="52" s="405" customFormat="1" ht="12.75"/>
    <row r="53" s="405" customFormat="1" ht="12.75"/>
    <row r="54" s="405" customFormat="1" ht="12.75"/>
    <row r="55" s="405" customFormat="1" ht="12.75"/>
    <row r="56" s="405" customFormat="1" ht="12.75"/>
    <row r="57" s="405" customFormat="1" ht="12.75"/>
    <row r="58" s="405" customFormat="1" ht="12.75"/>
    <row r="59" s="405" customFormat="1" ht="12.75"/>
    <row r="60" s="405" customFormat="1" ht="12.75"/>
    <row r="61" s="405" customFormat="1" ht="12.75"/>
    <row r="62" s="405" customFormat="1" ht="12.75"/>
    <row r="63" s="405" customFormat="1" ht="12.75"/>
    <row r="64" s="405" customFormat="1" ht="12.75"/>
    <row r="65" s="405" customFormat="1" ht="12.75"/>
    <row r="66" s="405" customFormat="1" ht="12.75"/>
    <row r="67" s="405" customFormat="1" ht="12.75"/>
    <row r="68" s="405" customFormat="1" ht="12.75"/>
    <row r="69" s="405" customFormat="1" ht="12.75"/>
    <row r="70" s="405" customFormat="1" ht="12.75"/>
    <row r="71" s="405" customFormat="1" ht="12.75"/>
    <row r="72" s="405" customFormat="1" ht="12.75"/>
    <row r="73" s="405" customFormat="1" ht="12.75"/>
    <row r="74" s="405" customFormat="1" ht="12.75"/>
    <row r="75" s="405" customFormat="1" ht="12.75"/>
    <row r="76" s="405" customFormat="1" ht="12.75"/>
    <row r="77" s="405" customFormat="1" ht="12.75"/>
    <row r="78" s="405" customFormat="1" ht="12.75"/>
    <row r="79" s="405" customFormat="1" ht="12.75"/>
    <row r="80" s="405" customFormat="1" ht="12.75"/>
    <row r="81" s="405" customFormat="1" ht="12.75"/>
    <row r="82" s="405" customFormat="1" ht="12.75"/>
    <row r="83" s="405" customFormat="1" ht="12.75"/>
    <row r="84" s="405" customFormat="1" ht="12.75"/>
    <row r="85" s="405" customFormat="1" ht="12.75"/>
    <row r="86" s="405" customFormat="1" ht="12.75"/>
    <row r="87" s="405" customFormat="1" ht="12.75"/>
    <row r="88" s="405" customFormat="1" ht="12.75"/>
    <row r="89" s="405" customFormat="1" ht="12.75"/>
    <row r="90" s="405" customFormat="1" ht="12.75"/>
    <row r="91" s="405" customFormat="1" ht="12.75"/>
    <row r="92" s="405" customFormat="1" ht="12.75"/>
    <row r="93" s="405" customFormat="1" ht="12.75"/>
    <row r="94" s="405" customFormat="1" ht="12.75"/>
    <row r="95" s="405" customFormat="1" ht="12.75"/>
    <row r="96" s="405" customFormat="1" ht="12.75"/>
    <row r="97" s="405" customFormat="1" ht="12.75"/>
    <row r="98" s="405" customFormat="1" ht="12.75"/>
    <row r="99" s="405" customFormat="1" ht="12.75"/>
    <row r="100" s="405" customFormat="1" ht="12.75"/>
    <row r="101" s="405" customFormat="1" ht="12.75"/>
    <row r="102" spans="1:31" ht="12.75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</row>
  </sheetData>
  <sheetProtection algorithmName="SHA-512" hashValue="q5Eopw2H2jpHNWjkqzt98wh6qxLHldMrMgVa1Wnle2qIF7kBMh4zr9ZR3SzF2WCKpJAjBuWNdE3+qZPbV/9bxA==" saltValue="RZQtp3CKUe9tNipIOd+pbg==" spinCount="100000" sheet="1" objects="1" scenarios="1"/>
  <mergeCells count="39">
    <mergeCell ref="A6:AE6"/>
    <mergeCell ref="A1:B1"/>
    <mergeCell ref="A2:AE2"/>
    <mergeCell ref="A3:AE3"/>
    <mergeCell ref="A4:AE4"/>
    <mergeCell ref="A5:AE5"/>
    <mergeCell ref="A7:B7"/>
    <mergeCell ref="A8:B8"/>
    <mergeCell ref="D8:P10"/>
    <mergeCell ref="D7:P7"/>
    <mergeCell ref="R8:AE8"/>
    <mergeCell ref="R7:AE7"/>
    <mergeCell ref="A11:AE11"/>
    <mergeCell ref="A12:AE12"/>
    <mergeCell ref="AB21:AD21"/>
    <mergeCell ref="D14:I14"/>
    <mergeCell ref="D13:I13"/>
    <mergeCell ref="K13:P13"/>
    <mergeCell ref="K14:P14"/>
    <mergeCell ref="R13:W13"/>
    <mergeCell ref="R14:W14"/>
    <mergeCell ref="Y13:AD13"/>
    <mergeCell ref="Y14:AD14"/>
    <mergeCell ref="A16:AE16"/>
    <mergeCell ref="B17:AD17"/>
    <mergeCell ref="B18:AD18"/>
    <mergeCell ref="B19:AD19"/>
    <mergeCell ref="B29:AD29"/>
    <mergeCell ref="A30:Z30"/>
    <mergeCell ref="AA30:AE30"/>
    <mergeCell ref="B20:F20"/>
    <mergeCell ref="A24:AE24"/>
    <mergeCell ref="C26:F26"/>
    <mergeCell ref="G26:S26"/>
    <mergeCell ref="T25:AD26"/>
    <mergeCell ref="T27:AD27"/>
    <mergeCell ref="A25:S25"/>
    <mergeCell ref="G20:J20"/>
    <mergeCell ref="K20:AE20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A1:BS101"/>
  <sheetViews>
    <sheetView workbookViewId="0" topLeftCell="A1">
      <selection pane="topLeft" activeCell="R14" sqref="R14"/>
    </sheetView>
  </sheetViews>
  <sheetFormatPr defaultRowHeight="12.75"/>
  <cols>
    <col min="1" max="1" width="3.71428571428571" customWidth="1"/>
    <col min="2" max="2" width="25.4285714285714" customWidth="1"/>
    <col min="3" max="3" width="3.28571428571429" customWidth="1"/>
    <col min="5" max="31" width="3.14285714285714" customWidth="1"/>
    <col min="32" max="71" width="9.14285714285714" style="405"/>
  </cols>
  <sheetData>
    <row r="1" spans="1:31" ht="45.75" customHeight="1">
      <c r="A1" s="1919" t="s">
        <v>3702</v>
      </c>
      <c r="B1" s="1920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  <c r="T1" s="388"/>
      <c r="U1" s="388"/>
      <c r="V1" s="388"/>
      <c r="W1" s="388"/>
      <c r="X1" s="388"/>
      <c r="Y1" s="388"/>
      <c r="Z1" s="388"/>
      <c r="AA1" s="388"/>
      <c r="AB1" s="388"/>
      <c r="AC1" s="388"/>
      <c r="AD1" s="388"/>
      <c r="AE1" s="388"/>
    </row>
    <row r="2" spans="1:31" ht="12.75">
      <c r="A2" s="1718"/>
      <c r="B2" s="1136"/>
      <c r="C2" s="1136"/>
      <c r="D2" s="1136"/>
      <c r="E2" s="1136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</row>
    <row r="3" spans="1:31" ht="18">
      <c r="A3" s="1921" t="s">
        <v>3684</v>
      </c>
      <c r="B3" s="1922"/>
      <c r="C3" s="1922"/>
      <c r="D3" s="1922"/>
      <c r="E3" s="1922"/>
      <c r="F3" s="1922"/>
      <c r="G3" s="1922"/>
      <c r="H3" s="1922"/>
      <c r="I3" s="1922"/>
      <c r="J3" s="1922"/>
      <c r="K3" s="1922"/>
      <c r="L3" s="1922"/>
      <c r="M3" s="1922"/>
      <c r="N3" s="1922"/>
      <c r="O3" s="1922"/>
      <c r="P3" s="1922"/>
      <c r="Q3" s="1922"/>
      <c r="R3" s="1922"/>
      <c r="S3" s="1922"/>
      <c r="T3" s="1922"/>
      <c r="U3" s="1922"/>
      <c r="V3" s="1922"/>
      <c r="W3" s="1922"/>
      <c r="X3" s="1922"/>
      <c r="Y3" s="1922"/>
      <c r="Z3" s="1922"/>
      <c r="AA3" s="1922"/>
      <c r="AB3" s="1922"/>
      <c r="AC3" s="1922"/>
      <c r="AD3" s="1922"/>
      <c r="AE3" s="1922"/>
    </row>
    <row r="4" spans="1:71" s="273" customFormat="1" ht="15">
      <c r="A4" s="1929" t="s">
        <v>3671</v>
      </c>
      <c r="B4" s="1930"/>
      <c r="C4" s="1930"/>
      <c r="D4" s="1930"/>
      <c r="E4" s="1930"/>
      <c r="F4" s="1930"/>
      <c r="G4" s="1930"/>
      <c r="H4" s="1930"/>
      <c r="I4" s="1930"/>
      <c r="J4" s="1930"/>
      <c r="K4" s="1930"/>
      <c r="L4" s="1930"/>
      <c r="M4" s="1930"/>
      <c r="N4" s="1930"/>
      <c r="O4" s="1930"/>
      <c r="P4" s="1930"/>
      <c r="Q4" s="1930"/>
      <c r="R4" s="1930"/>
      <c r="S4" s="1930"/>
      <c r="T4" s="1930"/>
      <c r="U4" s="1930"/>
      <c r="V4" s="1930"/>
      <c r="W4" s="1930"/>
      <c r="X4" s="1930"/>
      <c r="Y4" s="1930"/>
      <c r="Z4" s="1930"/>
      <c r="AA4" s="1930"/>
      <c r="AB4" s="1930"/>
      <c r="AC4" s="1930"/>
      <c r="AD4" s="1930"/>
      <c r="AE4" s="1930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08"/>
      <c r="AU4" s="408"/>
      <c r="AV4" s="408"/>
      <c r="AW4" s="408"/>
      <c r="AX4" s="408"/>
      <c r="AY4" s="408"/>
      <c r="AZ4" s="408"/>
      <c r="BA4" s="408"/>
      <c r="BB4" s="408"/>
      <c r="BC4" s="408"/>
      <c r="BD4" s="408"/>
      <c r="BE4" s="408"/>
      <c r="BF4" s="408"/>
      <c r="BG4" s="408"/>
      <c r="BH4" s="408"/>
      <c r="BI4" s="408"/>
      <c r="BJ4" s="408"/>
      <c r="BK4" s="408"/>
      <c r="BL4" s="408"/>
      <c r="BM4" s="408"/>
      <c r="BN4" s="408"/>
      <c r="BO4" s="408"/>
      <c r="BP4" s="408"/>
      <c r="BQ4" s="408"/>
      <c r="BR4" s="408"/>
      <c r="BS4" s="408"/>
    </row>
    <row r="5" spans="1:31" ht="12.75">
      <c r="A5" s="1718"/>
      <c r="B5" s="1136"/>
      <c r="C5" s="1136"/>
      <c r="D5" s="1136"/>
      <c r="E5" s="1136"/>
      <c r="F5" s="1136"/>
      <c r="G5" s="1136"/>
      <c r="H5" s="1136"/>
      <c r="I5" s="1136"/>
      <c r="J5" s="1136"/>
      <c r="K5" s="1136"/>
      <c r="L5" s="1136"/>
      <c r="M5" s="1136"/>
      <c r="N5" s="1136"/>
      <c r="O5" s="1136"/>
      <c r="P5" s="1136"/>
      <c r="Q5" s="1136"/>
      <c r="R5" s="1136"/>
      <c r="S5" s="1136"/>
      <c r="T5" s="1136"/>
      <c r="U5" s="1136"/>
      <c r="V5" s="1136"/>
      <c r="W5" s="1136"/>
      <c r="X5" s="1136"/>
      <c r="Y5" s="1136"/>
      <c r="Z5" s="1136"/>
      <c r="AA5" s="1136"/>
      <c r="AB5" s="1136"/>
      <c r="AC5" s="1136"/>
      <c r="AD5" s="1136"/>
      <c r="AE5" s="1136"/>
    </row>
    <row r="6" spans="1:31" ht="27" customHeight="1">
      <c r="A6" s="1908" t="s">
        <v>3672</v>
      </c>
      <c r="B6" s="1909"/>
      <c r="C6" s="392"/>
      <c r="D6" s="1914" t="s">
        <v>3673</v>
      </c>
      <c r="E6" s="1915"/>
      <c r="F6" s="1915"/>
      <c r="G6" s="1915"/>
      <c r="H6" s="1915"/>
      <c r="I6" s="1915"/>
      <c r="J6" s="1915"/>
      <c r="K6" s="1915"/>
      <c r="L6" s="1915"/>
      <c r="M6" s="1915"/>
      <c r="N6" s="1915"/>
      <c r="O6" s="1915"/>
      <c r="P6" s="1915"/>
      <c r="Q6" s="392"/>
      <c r="R6" s="1917" t="s">
        <v>3674</v>
      </c>
      <c r="S6" s="1918"/>
      <c r="T6" s="1918"/>
      <c r="U6" s="1918"/>
      <c r="V6" s="1918"/>
      <c r="W6" s="1918"/>
      <c r="X6" s="1918"/>
      <c r="Y6" s="1918"/>
      <c r="Z6" s="1918"/>
      <c r="AA6" s="1918"/>
      <c r="AB6" s="1918"/>
      <c r="AC6" s="1918"/>
      <c r="AD6" s="1918"/>
      <c r="AE6" s="1918"/>
    </row>
    <row r="7" spans="1:31" ht="18" customHeight="1">
      <c r="A7" s="1910" t="str">
        <f>+'SP1'!$A$6:$F$6</f>
        <v/>
      </c>
      <c r="B7" s="1911"/>
      <c r="C7" s="388"/>
      <c r="D7" s="1912"/>
      <c r="E7" s="1600"/>
      <c r="F7" s="1600"/>
      <c r="G7" s="1600"/>
      <c r="H7" s="1600"/>
      <c r="I7" s="1600"/>
      <c r="J7" s="1600"/>
      <c r="K7" s="1600"/>
      <c r="L7" s="1600"/>
      <c r="M7" s="1600"/>
      <c r="N7" s="1600"/>
      <c r="O7" s="1600"/>
      <c r="P7" s="1678"/>
      <c r="Q7" s="388"/>
      <c r="R7" s="1916" t="str">
        <f>+'SP1'!$U$6</f>
        <v/>
      </c>
      <c r="S7" s="1726"/>
      <c r="T7" s="1726"/>
      <c r="U7" s="1726"/>
      <c r="V7" s="1726"/>
      <c r="W7" s="1726"/>
      <c r="X7" s="1726"/>
      <c r="Y7" s="1726"/>
      <c r="Z7" s="1726"/>
      <c r="AA7" s="1726"/>
      <c r="AB7" s="1726"/>
      <c r="AC7" s="1726"/>
      <c r="AD7" s="1726"/>
      <c r="AE7" s="975"/>
    </row>
    <row r="8" spans="1:31" ht="15" customHeight="1">
      <c r="A8" s="388"/>
      <c r="B8" s="388"/>
      <c r="C8" s="388"/>
      <c r="D8" s="1873"/>
      <c r="E8" s="1136"/>
      <c r="F8" s="1136"/>
      <c r="G8" s="1136"/>
      <c r="H8" s="1136"/>
      <c r="I8" s="1136"/>
      <c r="J8" s="1136"/>
      <c r="K8" s="1136"/>
      <c r="L8" s="1136"/>
      <c r="M8" s="1136"/>
      <c r="N8" s="1136"/>
      <c r="O8" s="1136"/>
      <c r="P8" s="1714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388"/>
      <c r="AE8" s="388"/>
    </row>
    <row r="9" spans="1:31" ht="15" customHeight="1">
      <c r="A9" s="388"/>
      <c r="B9" s="388"/>
      <c r="C9" s="388"/>
      <c r="D9" s="1913"/>
      <c r="E9" s="1665"/>
      <c r="F9" s="1665"/>
      <c r="G9" s="1665"/>
      <c r="H9" s="1665"/>
      <c r="I9" s="1665"/>
      <c r="J9" s="1665"/>
      <c r="K9" s="1665"/>
      <c r="L9" s="1665"/>
      <c r="M9" s="1665"/>
      <c r="N9" s="1665"/>
      <c r="O9" s="1665"/>
      <c r="P9" s="1676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388"/>
      <c r="AE9" s="388"/>
    </row>
    <row r="10" spans="1:31" ht="12.75">
      <c r="A10" s="1718"/>
      <c r="B10" s="1136"/>
      <c r="C10" s="1136"/>
      <c r="D10" s="1136"/>
      <c r="E10" s="1136"/>
      <c r="F10" s="1136"/>
      <c r="G10" s="1136"/>
      <c r="H10" s="1136"/>
      <c r="I10" s="1136"/>
      <c r="J10" s="1136"/>
      <c r="K10" s="1136"/>
      <c r="L10" s="1136"/>
      <c r="M10" s="1136"/>
      <c r="N10" s="1136"/>
      <c r="O10" s="1136"/>
      <c r="P10" s="1136"/>
      <c r="Q10" s="1136"/>
      <c r="R10" s="1136"/>
      <c r="S10" s="1136"/>
      <c r="T10" s="1136"/>
      <c r="U10" s="1136"/>
      <c r="V10" s="1136"/>
      <c r="W10" s="1136"/>
      <c r="X10" s="1136"/>
      <c r="Y10" s="1136"/>
      <c r="Z10" s="1136"/>
      <c r="AA10" s="1136"/>
      <c r="AB10" s="1136"/>
      <c r="AC10" s="1136"/>
      <c r="AD10" s="1136"/>
      <c r="AE10" s="1136"/>
    </row>
    <row r="11" spans="1:71" s="321" customFormat="1" ht="18" customHeight="1">
      <c r="A11" s="1883" t="s">
        <v>3675</v>
      </c>
      <c r="B11" s="1884"/>
      <c r="C11" s="1884"/>
      <c r="D11" s="1884"/>
      <c r="E11" s="1884"/>
      <c r="F11" s="1884"/>
      <c r="G11" s="1884"/>
      <c r="H11" s="1884"/>
      <c r="I11" s="1884"/>
      <c r="J11" s="1884"/>
      <c r="K11" s="1884"/>
      <c r="L11" s="1884"/>
      <c r="M11" s="1884"/>
      <c r="N11" s="1884"/>
      <c r="O11" s="1884"/>
      <c r="P11" s="1884"/>
      <c r="Q11" s="1884"/>
      <c r="R11" s="1884"/>
      <c r="S11" s="1884"/>
      <c r="T11" s="1884"/>
      <c r="U11" s="1884"/>
      <c r="V11" s="1884"/>
      <c r="W11" s="1884"/>
      <c r="X11" s="1884"/>
      <c r="Y11" s="1884"/>
      <c r="Z11" s="1884"/>
      <c r="AA11" s="1884"/>
      <c r="AB11" s="1884"/>
      <c r="AC11" s="1884"/>
      <c r="AD11" s="1884"/>
      <c r="AE11" s="1885"/>
      <c r="AF11" s="406"/>
      <c r="AG11" s="406"/>
      <c r="AH11" s="406"/>
      <c r="AI11" s="406"/>
      <c r="AJ11" s="406"/>
      <c r="AK11" s="406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  <c r="AV11" s="406"/>
      <c r="AW11" s="406"/>
      <c r="AX11" s="406"/>
      <c r="AY11" s="406"/>
      <c r="AZ11" s="406"/>
      <c r="BA11" s="406"/>
      <c r="BB11" s="406"/>
      <c r="BC11" s="406"/>
      <c r="BD11" s="406"/>
      <c r="BE11" s="406"/>
      <c r="BF11" s="406"/>
      <c r="BG11" s="406"/>
      <c r="BH11" s="406"/>
      <c r="BI11" s="406"/>
      <c r="BJ11" s="406"/>
      <c r="BK11" s="406"/>
      <c r="BL11" s="406"/>
      <c r="BM11" s="406"/>
      <c r="BN11" s="406"/>
      <c r="BO11" s="406"/>
      <c r="BP11" s="406"/>
      <c r="BQ11" s="406"/>
      <c r="BR11" s="406"/>
      <c r="BS11" s="406"/>
    </row>
    <row r="12" spans="1:31" ht="12.75">
      <c r="A12" s="393"/>
      <c r="B12" s="394" t="s">
        <v>98</v>
      </c>
      <c r="C12" s="394"/>
      <c r="D12" s="1900" t="s">
        <v>97</v>
      </c>
      <c r="E12" s="1901"/>
      <c r="F12" s="1901"/>
      <c r="G12" s="1901"/>
      <c r="H12" s="1901"/>
      <c r="I12" s="1901"/>
      <c r="J12" s="394"/>
      <c r="K12" s="1900" t="s">
        <v>116</v>
      </c>
      <c r="L12" s="1901"/>
      <c r="M12" s="1901"/>
      <c r="N12" s="1901"/>
      <c r="O12" s="1901"/>
      <c r="P12" s="1901"/>
      <c r="Q12" s="394"/>
      <c r="R12" s="1900" t="s">
        <v>275</v>
      </c>
      <c r="S12" s="1901"/>
      <c r="T12" s="1901"/>
      <c r="U12" s="1901"/>
      <c r="V12" s="1901"/>
      <c r="W12" s="1901"/>
      <c r="X12" s="394"/>
      <c r="Y12" s="1900" t="s">
        <v>148</v>
      </c>
      <c r="Z12" s="1901"/>
      <c r="AA12" s="1901"/>
      <c r="AB12" s="1901"/>
      <c r="AC12" s="1901"/>
      <c r="AD12" s="1901"/>
      <c r="AE12" s="395"/>
    </row>
    <row r="13" spans="1:31" ht="18" customHeight="1">
      <c r="A13" s="393"/>
      <c r="B13" s="580" t="str">
        <f>+CONCATENATE('SP1'!$A$10)</f>
        <v>0</v>
      </c>
      <c r="C13" s="388"/>
      <c r="D13" s="1899" t="str">
        <f>+CONCATENATE('SP1'!$H$10)</f>
        <v>0</v>
      </c>
      <c r="E13" s="1635"/>
      <c r="F13" s="1635"/>
      <c r="G13" s="1635"/>
      <c r="H13" s="1635"/>
      <c r="I13" s="1752"/>
      <c r="J13" s="388"/>
      <c r="K13" s="1902" t="str">
        <f>+CONCATENATE('SP1'!$Q$10)</f>
        <v/>
      </c>
      <c r="L13" s="1673"/>
      <c r="M13" s="1673"/>
      <c r="N13" s="1673"/>
      <c r="O13" s="1673"/>
      <c r="P13" s="1903"/>
      <c r="Q13" s="388"/>
      <c r="R13" s="1904">
        <f>+'SP1'!$A$12</f>
        <v>0</v>
      </c>
      <c r="S13" s="1048"/>
      <c r="T13" s="1048"/>
      <c r="U13" s="1048"/>
      <c r="V13" s="1048"/>
      <c r="W13" s="1905"/>
      <c r="X13" s="388"/>
      <c r="Y13" s="1906" t="str">
        <f>+'SP1'!$Y$10</f>
        <v/>
      </c>
      <c r="Z13" s="1726"/>
      <c r="AA13" s="1726"/>
      <c r="AB13" s="1726"/>
      <c r="AC13" s="1726"/>
      <c r="AD13" s="975"/>
      <c r="AE13" s="396"/>
    </row>
    <row r="14" spans="1:31" ht="5.1" customHeight="1">
      <c r="A14" s="397"/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98"/>
      <c r="X14" s="398"/>
      <c r="Y14" s="398"/>
      <c r="Z14" s="398"/>
      <c r="AA14" s="398"/>
      <c r="AB14" s="398"/>
      <c r="AC14" s="398"/>
      <c r="AD14" s="398"/>
      <c r="AE14" s="399"/>
    </row>
    <row r="15" spans="1:31" ht="18" customHeight="1">
      <c r="A15" s="1883" t="s">
        <v>3685</v>
      </c>
      <c r="B15" s="1884"/>
      <c r="C15" s="1884"/>
      <c r="D15" s="1884"/>
      <c r="E15" s="1884"/>
      <c r="F15" s="1884"/>
      <c r="G15" s="1884"/>
      <c r="H15" s="1884"/>
      <c r="I15" s="1884"/>
      <c r="J15" s="1884"/>
      <c r="K15" s="1884"/>
      <c r="L15" s="1884"/>
      <c r="M15" s="1884"/>
      <c r="N15" s="1884"/>
      <c r="O15" s="1884"/>
      <c r="P15" s="1884"/>
      <c r="Q15" s="1884"/>
      <c r="R15" s="1884"/>
      <c r="S15" s="1884"/>
      <c r="T15" s="1884"/>
      <c r="U15" s="1884"/>
      <c r="V15" s="1884"/>
      <c r="W15" s="1884"/>
      <c r="X15" s="1884"/>
      <c r="Y15" s="1884"/>
      <c r="Z15" s="1884"/>
      <c r="AA15" s="1884"/>
      <c r="AB15" s="1884"/>
      <c r="AC15" s="1884"/>
      <c r="AD15" s="1884"/>
      <c r="AE15" s="1885"/>
    </row>
    <row r="16" spans="1:31" s="405" customFormat="1" ht="12.75">
      <c r="A16" s="393"/>
      <c r="B16" s="1882" t="s">
        <v>3686</v>
      </c>
      <c r="C16" s="1136"/>
      <c r="D16" s="1136"/>
      <c r="E16" s="1136"/>
      <c r="F16" s="1136"/>
      <c r="G16" s="1136"/>
      <c r="H16" s="1136"/>
      <c r="I16" s="1136"/>
      <c r="J16" s="1136"/>
      <c r="K16" s="1136"/>
      <c r="L16" s="1136"/>
      <c r="M16" s="1136"/>
      <c r="N16" s="1136"/>
      <c r="O16" s="1136"/>
      <c r="P16" s="1136"/>
      <c r="Q16" s="1136"/>
      <c r="R16" s="1136"/>
      <c r="S16" s="1136"/>
      <c r="T16" s="1136"/>
      <c r="U16" s="1136"/>
      <c r="V16" s="1136"/>
      <c r="W16" s="1136"/>
      <c r="X16" s="1136"/>
      <c r="Y16" s="1136"/>
      <c r="Z16" s="1136"/>
      <c r="AA16" s="1136"/>
      <c r="AB16" s="1136"/>
      <c r="AC16" s="1136"/>
      <c r="AD16" s="1136"/>
      <c r="AE16" s="396"/>
    </row>
    <row r="17" spans="1:31" s="405" customFormat="1" ht="18" customHeight="1">
      <c r="A17" s="393"/>
      <c r="B17" s="1907"/>
      <c r="C17" s="1673"/>
      <c r="D17" s="1673"/>
      <c r="E17" s="1673"/>
      <c r="F17" s="1673"/>
      <c r="G17" s="1673"/>
      <c r="H17" s="1673"/>
      <c r="I17" s="1673"/>
      <c r="J17" s="1673"/>
      <c r="K17" s="1673"/>
      <c r="L17" s="1673"/>
      <c r="M17" s="1673"/>
      <c r="N17" s="1673"/>
      <c r="O17" s="1673"/>
      <c r="P17" s="1673"/>
      <c r="Q17" s="1673"/>
      <c r="R17" s="1673"/>
      <c r="S17" s="1673"/>
      <c r="T17" s="1673"/>
      <c r="U17" s="1673"/>
      <c r="V17" s="1673"/>
      <c r="W17" s="1673"/>
      <c r="X17" s="1673"/>
      <c r="Y17" s="1673"/>
      <c r="Z17" s="1673"/>
      <c r="AA17" s="1673"/>
      <c r="AB17" s="1673"/>
      <c r="AC17" s="1673"/>
      <c r="AD17" s="1903"/>
      <c r="AE17" s="396"/>
    </row>
    <row r="18" spans="1:31" s="405" customFormat="1" ht="5.1" customHeight="1">
      <c r="A18" s="393"/>
      <c r="B18" s="1882"/>
      <c r="C18" s="1136"/>
      <c r="D18" s="1136"/>
      <c r="E18" s="1136"/>
      <c r="F18" s="1136"/>
      <c r="G18" s="1136"/>
      <c r="H18" s="1136"/>
      <c r="I18" s="1136"/>
      <c r="J18" s="1136"/>
      <c r="K18" s="1136"/>
      <c r="L18" s="1136"/>
      <c r="M18" s="1136"/>
      <c r="N18" s="1136"/>
      <c r="O18" s="1136"/>
      <c r="P18" s="1136"/>
      <c r="Q18" s="1136"/>
      <c r="R18" s="1136"/>
      <c r="S18" s="1136"/>
      <c r="T18" s="1136"/>
      <c r="U18" s="1136"/>
      <c r="V18" s="1136"/>
      <c r="W18" s="1136"/>
      <c r="X18" s="1136"/>
      <c r="Y18" s="1136"/>
      <c r="Z18" s="1136"/>
      <c r="AA18" s="1136"/>
      <c r="AB18" s="1136"/>
      <c r="AC18" s="1136"/>
      <c r="AD18" s="1136"/>
      <c r="AE18" s="396"/>
    </row>
    <row r="19" spans="1:31" s="405" customFormat="1" ht="18" customHeight="1">
      <c r="A19" s="393"/>
      <c r="B19" s="394" t="s">
        <v>3687</v>
      </c>
      <c r="C19" s="103"/>
      <c r="D19" s="1894">
        <f>+'DAP1'!F24</f>
        <v>2022</v>
      </c>
      <c r="E19" s="1896"/>
      <c r="F19" s="1925" t="s">
        <v>3743</v>
      </c>
      <c r="G19" s="1111"/>
      <c r="H19" s="1111"/>
      <c r="I19" s="1111"/>
      <c r="J19" s="1111"/>
      <c r="K19" s="1111"/>
      <c r="L19" s="1136"/>
      <c r="M19" s="1714"/>
      <c r="N19" s="1926"/>
      <c r="O19" s="1927"/>
      <c r="P19" s="1635"/>
      <c r="Q19" s="1752"/>
      <c r="R19" s="1928" t="s">
        <v>3688</v>
      </c>
      <c r="S19" s="1136"/>
      <c r="T19" s="1136"/>
      <c r="U19" s="1136"/>
      <c r="V19" s="1136"/>
      <c r="W19" s="1136"/>
      <c r="X19" s="1136"/>
      <c r="Y19" s="1136"/>
      <c r="Z19" s="1136"/>
      <c r="AA19" s="1136"/>
      <c r="AB19" s="1136"/>
      <c r="AC19" s="1136"/>
      <c r="AD19" s="1136"/>
      <c r="AE19" s="1714"/>
    </row>
    <row r="20" spans="1:31" s="405" customFormat="1" ht="5.1" customHeight="1">
      <c r="A20" s="393"/>
      <c r="B20" s="1882"/>
      <c r="C20" s="1136"/>
      <c r="D20" s="1136"/>
      <c r="E20" s="1136"/>
      <c r="F20" s="1136"/>
      <c r="G20" s="1136"/>
      <c r="H20" s="1136"/>
      <c r="I20" s="1136"/>
      <c r="J20" s="1136"/>
      <c r="K20" s="1136"/>
      <c r="L20" s="1136"/>
      <c r="M20" s="1136"/>
      <c r="N20" s="1136"/>
      <c r="O20" s="1136"/>
      <c r="P20" s="1136"/>
      <c r="Q20" s="1136"/>
      <c r="R20" s="1136"/>
      <c r="S20" s="1136"/>
      <c r="T20" s="1136"/>
      <c r="U20" s="1136"/>
      <c r="V20" s="1136"/>
      <c r="W20" s="1136"/>
      <c r="X20" s="1136"/>
      <c r="Y20" s="1136"/>
      <c r="Z20" s="1136"/>
      <c r="AA20" s="1136"/>
      <c r="AB20" s="1136"/>
      <c r="AC20" s="1136"/>
      <c r="AD20" s="1136"/>
      <c r="AE20" s="1714"/>
    </row>
    <row r="21" spans="1:31" s="405" customFormat="1" ht="18" customHeight="1">
      <c r="A21" s="393"/>
      <c r="B21" s="1882"/>
      <c r="C21" s="1136"/>
      <c r="D21" s="1136"/>
      <c r="E21" s="1136"/>
      <c r="F21" s="1111" t="s">
        <v>3744</v>
      </c>
      <c r="G21" s="1111"/>
      <c r="H21" s="1111"/>
      <c r="I21" s="1111"/>
      <c r="J21" s="1111"/>
      <c r="K21" s="1111"/>
      <c r="L21" s="1136"/>
      <c r="M21" s="1714"/>
      <c r="N21" s="1926"/>
      <c r="O21" s="1927"/>
      <c r="P21" s="1635"/>
      <c r="Q21" s="1752"/>
      <c r="R21" s="1111" t="s">
        <v>3745</v>
      </c>
      <c r="S21" s="1111"/>
      <c r="T21" s="1111"/>
      <c r="U21" s="1111"/>
      <c r="V21" s="1111"/>
      <c r="W21" s="1111"/>
      <c r="X21" s="1136"/>
      <c r="Y21" s="1714"/>
      <c r="Z21" s="1926"/>
      <c r="AA21" s="1927"/>
      <c r="AB21" s="1635"/>
      <c r="AC21" s="1752"/>
      <c r="AD21" s="1873"/>
      <c r="AE21" s="1714"/>
    </row>
    <row r="22" spans="1:31" s="405" customFormat="1" ht="4.5" customHeight="1">
      <c r="A22" s="397"/>
      <c r="B22" s="398"/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9"/>
    </row>
    <row r="23" spans="1:31" s="405" customFormat="1" ht="18" customHeight="1">
      <c r="A23" s="1883" t="s">
        <v>3681</v>
      </c>
      <c r="B23" s="1884"/>
      <c r="C23" s="1884"/>
      <c r="D23" s="1884"/>
      <c r="E23" s="1884"/>
      <c r="F23" s="1884"/>
      <c r="G23" s="1884"/>
      <c r="H23" s="1884"/>
      <c r="I23" s="1884"/>
      <c r="J23" s="1884"/>
      <c r="K23" s="1884"/>
      <c r="L23" s="1884"/>
      <c r="M23" s="1884"/>
      <c r="N23" s="1884"/>
      <c r="O23" s="1884"/>
      <c r="P23" s="1884"/>
      <c r="Q23" s="1884"/>
      <c r="R23" s="1884"/>
      <c r="S23" s="1884"/>
      <c r="T23" s="1884"/>
      <c r="U23" s="1884"/>
      <c r="V23" s="1884"/>
      <c r="W23" s="1884"/>
      <c r="X23" s="1884"/>
      <c r="Y23" s="1884"/>
      <c r="Z23" s="1884"/>
      <c r="AA23" s="1884"/>
      <c r="AB23" s="1884"/>
      <c r="AC23" s="1884"/>
      <c r="AD23" s="1884"/>
      <c r="AE23" s="1885"/>
    </row>
    <row r="24" spans="1:31" s="405" customFormat="1" ht="60" customHeight="1">
      <c r="A24" s="1893"/>
      <c r="B24" s="1136"/>
      <c r="C24" s="1136"/>
      <c r="D24" s="1136"/>
      <c r="E24" s="1136"/>
      <c r="F24" s="1136"/>
      <c r="G24" s="1136"/>
      <c r="H24" s="1136"/>
      <c r="I24" s="1136"/>
      <c r="J24" s="1136"/>
      <c r="K24" s="1136"/>
      <c r="L24" s="1136"/>
      <c r="M24" s="1136"/>
      <c r="N24" s="1136"/>
      <c r="O24" s="1136"/>
      <c r="P24" s="1136"/>
      <c r="Q24" s="1136"/>
      <c r="R24" s="1136"/>
      <c r="S24" s="1136"/>
      <c r="T24" s="1888"/>
      <c r="U24" s="1889"/>
      <c r="V24" s="1889"/>
      <c r="W24" s="1889"/>
      <c r="X24" s="1889"/>
      <c r="Y24" s="1889"/>
      <c r="Z24" s="1889"/>
      <c r="AA24" s="1889"/>
      <c r="AB24" s="1889"/>
      <c r="AC24" s="1889"/>
      <c r="AD24" s="1889"/>
      <c r="AE24" s="396"/>
    </row>
    <row r="25" spans="1:31" s="405" customFormat="1" ht="18" customHeight="1">
      <c r="A25" s="393"/>
      <c r="B25" s="401" t="s">
        <v>360</v>
      </c>
      <c r="C25" s="1886">
        <f ca="1">+TODAY()</f>
        <v>44994</v>
      </c>
      <c r="D25" s="1887"/>
      <c r="E25" s="1887"/>
      <c r="F25" s="1887"/>
      <c r="G25" s="1718"/>
      <c r="H25" s="1136"/>
      <c r="I25" s="1136"/>
      <c r="J25" s="1136"/>
      <c r="K25" s="1136"/>
      <c r="L25" s="1136"/>
      <c r="M25" s="1136"/>
      <c r="N25" s="1136"/>
      <c r="O25" s="1136"/>
      <c r="P25" s="1136"/>
      <c r="Q25" s="1136"/>
      <c r="R25" s="1136"/>
      <c r="S25" s="1136"/>
      <c r="T25" s="1890"/>
      <c r="U25" s="1890"/>
      <c r="V25" s="1890"/>
      <c r="W25" s="1890"/>
      <c r="X25" s="1890"/>
      <c r="Y25" s="1890"/>
      <c r="Z25" s="1890"/>
      <c r="AA25" s="1890"/>
      <c r="AB25" s="1890"/>
      <c r="AC25" s="1890"/>
      <c r="AD25" s="1890"/>
      <c r="AE25" s="396"/>
    </row>
    <row r="26" spans="1:31" s="405" customFormat="1" ht="12.75">
      <c r="A26" s="393"/>
      <c r="B26" s="388"/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1891" t="s">
        <v>362</v>
      </c>
      <c r="U26" s="1892"/>
      <c r="V26" s="1892"/>
      <c r="W26" s="1892"/>
      <c r="X26" s="1892"/>
      <c r="Y26" s="1892"/>
      <c r="Z26" s="1892"/>
      <c r="AA26" s="1892"/>
      <c r="AB26" s="1892"/>
      <c r="AC26" s="1892"/>
      <c r="AD26" s="1892"/>
      <c r="AE26" s="396"/>
    </row>
    <row r="27" spans="1:31" s="405" customFormat="1" ht="5.1" customHeight="1">
      <c r="A27" s="397"/>
      <c r="B27" s="398"/>
      <c r="C27" s="398"/>
      <c r="D27" s="398"/>
      <c r="E27" s="398"/>
      <c r="F27" s="398"/>
      <c r="G27" s="398"/>
      <c r="H27" s="398"/>
      <c r="I27" s="398"/>
      <c r="J27" s="398"/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9"/>
    </row>
    <row r="28" spans="1:31" s="405" customFormat="1" ht="28.5" customHeight="1">
      <c r="A28" s="403"/>
      <c r="B28" s="1876" t="s">
        <v>3682</v>
      </c>
      <c r="C28" s="1877"/>
      <c r="D28" s="1877"/>
      <c r="E28" s="1877"/>
      <c r="F28" s="1877"/>
      <c r="G28" s="1877"/>
      <c r="H28" s="1877"/>
      <c r="I28" s="1877"/>
      <c r="J28" s="1877"/>
      <c r="K28" s="1877"/>
      <c r="L28" s="1877"/>
      <c r="M28" s="1877"/>
      <c r="N28" s="1877"/>
      <c r="O28" s="1877"/>
      <c r="P28" s="1877"/>
      <c r="Q28" s="1877"/>
      <c r="R28" s="1877"/>
      <c r="S28" s="1877"/>
      <c r="T28" s="1877"/>
      <c r="U28" s="1877"/>
      <c r="V28" s="1877"/>
      <c r="W28" s="1877"/>
      <c r="X28" s="1877"/>
      <c r="Y28" s="1877"/>
      <c r="Z28" s="1877"/>
      <c r="AA28" s="1877"/>
      <c r="AB28" s="1877"/>
      <c r="AC28" s="1877"/>
      <c r="AD28" s="1877"/>
      <c r="AE28" s="404"/>
    </row>
    <row r="29" spans="1:31" s="405" customFormat="1" ht="12.75">
      <c r="A29" s="1878"/>
      <c r="B29" s="1665"/>
      <c r="C29" s="1665"/>
      <c r="D29" s="1665"/>
      <c r="E29" s="1665"/>
      <c r="F29" s="1665"/>
      <c r="G29" s="1665"/>
      <c r="H29" s="1665"/>
      <c r="I29" s="1665"/>
      <c r="J29" s="1665"/>
      <c r="K29" s="1665"/>
      <c r="L29" s="1665"/>
      <c r="M29" s="1665"/>
      <c r="N29" s="1665"/>
      <c r="O29" s="1665"/>
      <c r="P29" s="1665"/>
      <c r="Q29" s="1665"/>
      <c r="R29" s="1665"/>
      <c r="S29" s="1665"/>
      <c r="T29" s="1665"/>
      <c r="U29" s="1665"/>
      <c r="V29" s="1665"/>
      <c r="W29" s="1665"/>
      <c r="X29" s="1665"/>
      <c r="Y29" s="1665"/>
      <c r="Z29" s="1665"/>
      <c r="AA29" s="1879" t="s">
        <v>3689</v>
      </c>
      <c r="AB29" s="1880"/>
      <c r="AC29" s="1880"/>
      <c r="AD29" s="1880"/>
      <c r="AE29" s="1881"/>
    </row>
    <row r="30" spans="1:31" s="405" customFormat="1" ht="12.75">
      <c r="A30" s="407"/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7"/>
      <c r="R30" s="407"/>
      <c r="S30" s="407"/>
      <c r="T30" s="407"/>
      <c r="U30" s="407"/>
      <c r="V30" s="407"/>
      <c r="W30" s="407"/>
      <c r="X30" s="407"/>
      <c r="Y30" s="407"/>
      <c r="Z30" s="407"/>
      <c r="AA30" s="407"/>
      <c r="AB30" s="407"/>
      <c r="AC30" s="407"/>
      <c r="AD30" s="407"/>
      <c r="AE30" s="407"/>
    </row>
    <row r="31" spans="1:31" s="405" customFormat="1" ht="12.75">
      <c r="A31" s="407"/>
      <c r="B31" s="407"/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407"/>
      <c r="Y31" s="407"/>
      <c r="Z31" s="407"/>
      <c r="AA31" s="407"/>
      <c r="AB31" s="407"/>
      <c r="AC31" s="407"/>
      <c r="AD31" s="407"/>
      <c r="AE31" s="407"/>
    </row>
    <row r="32" spans="1:31" s="405" customFormat="1" ht="12.75">
      <c r="A32" s="407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  <c r="AD32" s="407"/>
      <c r="AE32" s="407"/>
    </row>
    <row r="33" spans="1:31" s="405" customFormat="1" ht="12.75">
      <c r="A33" s="407"/>
      <c r="B33" s="407"/>
      <c r="C33" s="407"/>
      <c r="D33" s="407"/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</row>
    <row r="34" spans="1:31" s="405" customFormat="1" ht="12.75">
      <c r="A34" s="407"/>
      <c r="B34" s="407"/>
      <c r="C34" s="407"/>
      <c r="D34" s="407"/>
      <c r="E34" s="407"/>
      <c r="F34" s="407"/>
      <c r="G34" s="407"/>
      <c r="H34" s="407"/>
      <c r="I34" s="407"/>
      <c r="J34" s="407"/>
      <c r="K34" s="407"/>
      <c r="L34" s="407"/>
      <c r="M34" s="407"/>
      <c r="N34" s="407"/>
      <c r="O34" s="407"/>
      <c r="P34" s="407"/>
      <c r="Q34" s="407"/>
      <c r="R34" s="407"/>
      <c r="S34" s="407"/>
      <c r="T34" s="407"/>
      <c r="U34" s="407"/>
      <c r="V34" s="407"/>
      <c r="W34" s="407"/>
      <c r="X34" s="407"/>
      <c r="Y34" s="407"/>
      <c r="Z34" s="407"/>
      <c r="AA34" s="407"/>
      <c r="AB34" s="407"/>
      <c r="AC34" s="407"/>
      <c r="AD34" s="407"/>
      <c r="AE34" s="407"/>
    </row>
    <row r="35" spans="1:31" s="405" customFormat="1" ht="12.75">
      <c r="A35" s="407"/>
      <c r="B35" s="407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7"/>
      <c r="X35" s="407"/>
      <c r="Y35" s="407"/>
      <c r="Z35" s="407"/>
      <c r="AA35" s="407"/>
      <c r="AB35" s="407"/>
      <c r="AC35" s="407"/>
      <c r="AD35" s="407"/>
      <c r="AE35" s="407"/>
    </row>
    <row r="36" spans="1:31" s="405" customFormat="1" ht="12.75">
      <c r="A36" s="407"/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7"/>
      <c r="Q36" s="407"/>
      <c r="R36" s="407"/>
      <c r="S36" s="407"/>
      <c r="T36" s="407"/>
      <c r="U36" s="407"/>
      <c r="V36" s="407"/>
      <c r="W36" s="407"/>
      <c r="X36" s="407"/>
      <c r="Y36" s="407"/>
      <c r="Z36" s="407"/>
      <c r="AA36" s="407"/>
      <c r="AB36" s="407"/>
      <c r="AC36" s="407"/>
      <c r="AD36" s="407"/>
      <c r="AE36" s="407"/>
    </row>
    <row r="37" spans="1:31" s="405" customFormat="1" ht="12.75">
      <c r="A37" s="407"/>
      <c r="B37" s="407"/>
      <c r="C37" s="407"/>
      <c r="D37" s="407"/>
      <c r="E37" s="407"/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7"/>
      <c r="Q37" s="407"/>
      <c r="R37" s="407"/>
      <c r="S37" s="407"/>
      <c r="T37" s="407"/>
      <c r="U37" s="407"/>
      <c r="V37" s="407"/>
      <c r="W37" s="407"/>
      <c r="X37" s="407"/>
      <c r="Y37" s="407"/>
      <c r="Z37" s="407"/>
      <c r="AA37" s="407"/>
      <c r="AB37" s="407"/>
      <c r="AC37" s="407"/>
      <c r="AD37" s="407"/>
      <c r="AE37" s="407"/>
    </row>
    <row r="38" spans="1:31" s="405" customFormat="1" ht="12.75">
      <c r="A38" s="407"/>
      <c r="B38" s="407"/>
      <c r="C38" s="407"/>
      <c r="D38" s="407"/>
      <c r="E38" s="407"/>
      <c r="F38" s="407"/>
      <c r="G38" s="407"/>
      <c r="H38" s="407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7"/>
      <c r="X38" s="407"/>
      <c r="Y38" s="407"/>
      <c r="Z38" s="407"/>
      <c r="AA38" s="407"/>
      <c r="AB38" s="407"/>
      <c r="AC38" s="407"/>
      <c r="AD38" s="407"/>
      <c r="AE38" s="407"/>
    </row>
    <row r="39" spans="1:31" s="405" customFormat="1" ht="12.75">
      <c r="A39" s="407"/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</row>
    <row r="40" spans="1:31" s="405" customFormat="1" ht="12.75">
      <c r="A40" s="407"/>
      <c r="B40" s="407"/>
      <c r="C40" s="407"/>
      <c r="D40" s="407"/>
      <c r="E40" s="407"/>
      <c r="F40" s="407"/>
      <c r="G40" s="407"/>
      <c r="H40" s="407"/>
      <c r="I40" s="407"/>
      <c r="J40" s="407"/>
      <c r="K40" s="407"/>
      <c r="L40" s="407"/>
      <c r="M40" s="407"/>
      <c r="N40" s="407"/>
      <c r="O40" s="407"/>
      <c r="P40" s="407"/>
      <c r="Q40" s="407"/>
      <c r="R40" s="407"/>
      <c r="S40" s="407"/>
      <c r="T40" s="407"/>
      <c r="U40" s="407"/>
      <c r="V40" s="407"/>
      <c r="W40" s="407"/>
      <c r="X40" s="407"/>
      <c r="Y40" s="407"/>
      <c r="Z40" s="407"/>
      <c r="AA40" s="407"/>
      <c r="AB40" s="407"/>
      <c r="AC40" s="407"/>
      <c r="AD40" s="407"/>
      <c r="AE40" s="407"/>
    </row>
    <row r="41" spans="1:31" s="405" customFormat="1" ht="12.75">
      <c r="A41" s="407"/>
      <c r="B41" s="407"/>
      <c r="C41" s="407"/>
      <c r="D41" s="407"/>
      <c r="E41" s="407"/>
      <c r="F41" s="407"/>
      <c r="G41" s="407"/>
      <c r="H41" s="407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7"/>
      <c r="X41" s="407"/>
      <c r="Y41" s="407"/>
      <c r="Z41" s="407"/>
      <c r="AA41" s="407"/>
      <c r="AB41" s="407"/>
      <c r="AC41" s="407"/>
      <c r="AD41" s="407"/>
      <c r="AE41" s="407"/>
    </row>
    <row r="42" spans="1:31" s="405" customFormat="1" ht="12.75">
      <c r="A42" s="407"/>
      <c r="B42" s="407"/>
      <c r="C42" s="407"/>
      <c r="D42" s="407"/>
      <c r="E42" s="407"/>
      <c r="F42" s="407"/>
      <c r="G42" s="407"/>
      <c r="H42" s="407"/>
      <c r="I42" s="407"/>
      <c r="J42" s="407"/>
      <c r="K42" s="407"/>
      <c r="L42" s="407"/>
      <c r="M42" s="407"/>
      <c r="N42" s="407"/>
      <c r="O42" s="407"/>
      <c r="P42" s="407"/>
      <c r="Q42" s="407"/>
      <c r="R42" s="407"/>
      <c r="S42" s="407"/>
      <c r="T42" s="407"/>
      <c r="U42" s="407"/>
      <c r="V42" s="407"/>
      <c r="W42" s="407"/>
      <c r="X42" s="407"/>
      <c r="Y42" s="407"/>
      <c r="Z42" s="407"/>
      <c r="AA42" s="407"/>
      <c r="AB42" s="407"/>
      <c r="AC42" s="407"/>
      <c r="AD42" s="407"/>
      <c r="AE42" s="407"/>
    </row>
    <row r="43" spans="1:31" s="405" customFormat="1" ht="12.75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  <c r="R43" s="407"/>
      <c r="S43" s="407"/>
      <c r="T43" s="407"/>
      <c r="U43" s="407"/>
      <c r="V43" s="407"/>
      <c r="W43" s="407"/>
      <c r="X43" s="407"/>
      <c r="Y43" s="407"/>
      <c r="Z43" s="407"/>
      <c r="AA43" s="407"/>
      <c r="AB43" s="407"/>
      <c r="AC43" s="407"/>
      <c r="AD43" s="407"/>
      <c r="AE43" s="407"/>
    </row>
    <row r="44" spans="1:31" s="405" customFormat="1" ht="12.75">
      <c r="A44" s="407"/>
      <c r="B44" s="407"/>
      <c r="C44" s="407"/>
      <c r="D44" s="407"/>
      <c r="E44" s="407"/>
      <c r="F44" s="407"/>
      <c r="G44" s="407"/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</row>
    <row r="45" spans="1:31" s="405" customFormat="1" ht="12.75">
      <c r="A45" s="407"/>
      <c r="B45" s="407"/>
      <c r="C45" s="407"/>
      <c r="D45" s="407"/>
      <c r="E45" s="407"/>
      <c r="F45" s="407"/>
      <c r="G45" s="407"/>
      <c r="H45" s="407"/>
      <c r="I45" s="407"/>
      <c r="J45" s="407"/>
      <c r="K45" s="407"/>
      <c r="L45" s="407"/>
      <c r="M45" s="407"/>
      <c r="N45" s="407"/>
      <c r="O45" s="407"/>
      <c r="P45" s="407"/>
      <c r="Q45" s="407"/>
      <c r="R45" s="407"/>
      <c r="S45" s="407"/>
      <c r="T45" s="407"/>
      <c r="U45" s="407"/>
      <c r="V45" s="407"/>
      <c r="W45" s="407"/>
      <c r="X45" s="407"/>
      <c r="Y45" s="407"/>
      <c r="Z45" s="407"/>
      <c r="AA45" s="407"/>
      <c r="AB45" s="407"/>
      <c r="AC45" s="407"/>
      <c r="AD45" s="407"/>
      <c r="AE45" s="407"/>
    </row>
    <row r="46" s="405" customFormat="1" ht="12.75"/>
    <row r="47" s="405" customFormat="1" ht="12.75"/>
    <row r="48" s="405" customFormat="1" ht="12.75"/>
    <row r="49" s="405" customFormat="1" ht="12.75"/>
    <row r="50" s="405" customFormat="1" ht="12.75"/>
    <row r="51" s="405" customFormat="1" ht="12.75"/>
    <row r="52" s="405" customFormat="1" ht="12.75"/>
    <row r="53" s="405" customFormat="1" ht="12.75"/>
    <row r="54" s="405" customFormat="1" ht="12.75"/>
    <row r="55" s="405" customFormat="1" ht="12.75"/>
    <row r="56" s="405" customFormat="1" ht="12.75"/>
    <row r="57" s="405" customFormat="1" ht="12.75"/>
    <row r="58" s="405" customFormat="1" ht="12.75"/>
    <row r="59" s="405" customFormat="1" ht="12.75"/>
    <row r="60" s="405" customFormat="1" ht="12.75"/>
    <row r="61" s="405" customFormat="1" ht="12.75"/>
    <row r="62" s="405" customFormat="1" ht="12.75"/>
    <row r="63" s="405" customFormat="1" ht="12.75"/>
    <row r="64" s="405" customFormat="1" ht="12.75"/>
    <row r="65" s="405" customFormat="1" ht="12.75"/>
    <row r="66" s="405" customFormat="1" ht="12.75"/>
    <row r="67" s="405" customFormat="1" ht="12.75"/>
    <row r="68" s="405" customFormat="1" ht="12.75"/>
    <row r="69" s="405" customFormat="1" ht="12.75"/>
    <row r="70" s="405" customFormat="1" ht="12.75"/>
    <row r="71" s="405" customFormat="1" ht="12.75"/>
    <row r="72" s="405" customFormat="1" ht="12.75"/>
    <row r="73" s="405" customFormat="1" ht="12.75"/>
    <row r="74" s="405" customFormat="1" ht="12.75"/>
    <row r="75" s="405" customFormat="1" ht="12.75"/>
    <row r="76" s="405" customFormat="1" ht="12.75"/>
    <row r="77" s="405" customFormat="1" ht="12.75"/>
    <row r="78" s="405" customFormat="1" ht="12.75"/>
    <row r="79" s="405" customFormat="1" ht="12.75"/>
    <row r="80" s="405" customFormat="1" ht="12.75"/>
    <row r="81" s="405" customFormat="1" ht="12.75"/>
    <row r="82" s="405" customFormat="1" ht="12.75"/>
    <row r="83" s="405" customFormat="1" ht="12.75"/>
    <row r="84" s="405" customFormat="1" ht="12.75"/>
    <row r="85" s="405" customFormat="1" ht="12.75"/>
    <row r="86" s="405" customFormat="1" ht="12.75"/>
    <row r="87" s="405" customFormat="1" ht="12.75"/>
    <row r="88" s="405" customFormat="1" ht="12.75"/>
    <row r="89" s="405" customFormat="1" ht="12.75"/>
    <row r="90" s="405" customFormat="1" ht="12.75"/>
    <row r="91" s="405" customFormat="1" ht="12.75"/>
    <row r="92" s="405" customFormat="1" ht="12.75"/>
    <row r="93" s="405" customFormat="1" ht="12.75"/>
    <row r="94" s="405" customFormat="1" ht="12.75"/>
    <row r="95" s="405" customFormat="1" ht="12.75"/>
    <row r="96" s="405" customFormat="1" ht="12.75"/>
    <row r="97" s="405" customFormat="1" ht="12.75"/>
    <row r="98" s="405" customFormat="1" ht="12.75"/>
    <row r="99" s="405" customFormat="1" ht="12.75"/>
    <row r="100" s="405" customFormat="1" ht="12.75"/>
    <row r="101" spans="1:31" s="405" customFormat="1" ht="12.75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</row>
  </sheetData>
  <sheetProtection algorithmName="SHA-512" hashValue="CAxNbZL3HjbbCGkuIvMTSJx69zZlfRws1Nmh+0NykspTEOGS1gk9iILYenAq/DKlvWAM2IutY0f+5KF88JIQmw==" saltValue="M41JKetV+WoAeoQxYuzKbA==" spinCount="100000" sheet="1" objects="1" scenarios="1"/>
  <mergeCells count="45">
    <mergeCell ref="N21:Q21"/>
    <mergeCell ref="R21:Y21"/>
    <mergeCell ref="Z21:AC21"/>
    <mergeCell ref="AD21:AE21"/>
    <mergeCell ref="A1:B1"/>
    <mergeCell ref="A2:AE2"/>
    <mergeCell ref="A3:AE3"/>
    <mergeCell ref="A4:AE4"/>
    <mergeCell ref="A5:AE5"/>
    <mergeCell ref="A6:B6"/>
    <mergeCell ref="D6:P6"/>
    <mergeCell ref="R6:AE6"/>
    <mergeCell ref="A7:B7"/>
    <mergeCell ref="D7:P9"/>
    <mergeCell ref="R7:AE7"/>
    <mergeCell ref="A10:AE10"/>
    <mergeCell ref="A11:AE11"/>
    <mergeCell ref="D12:I12"/>
    <mergeCell ref="K12:P12"/>
    <mergeCell ref="R12:W12"/>
    <mergeCell ref="Y12:AD12"/>
    <mergeCell ref="B17:AD17"/>
    <mergeCell ref="B18:AD18"/>
    <mergeCell ref="D13:I13"/>
    <mergeCell ref="K13:P13"/>
    <mergeCell ref="R13:W13"/>
    <mergeCell ref="Y13:AD13"/>
    <mergeCell ref="A15:AE15"/>
    <mergeCell ref="B16:AD16"/>
    <mergeCell ref="B28:AD28"/>
    <mergeCell ref="A29:Z29"/>
    <mergeCell ref="AA29:AE29"/>
    <mergeCell ref="D19:E19"/>
    <mergeCell ref="A23:AE23"/>
    <mergeCell ref="A24:S24"/>
    <mergeCell ref="T24:AD25"/>
    <mergeCell ref="C25:F25"/>
    <mergeCell ref="G25:S25"/>
    <mergeCell ref="T26:AD26"/>
    <mergeCell ref="F19:M19"/>
    <mergeCell ref="N19:Q19"/>
    <mergeCell ref="R19:AE19"/>
    <mergeCell ref="B20:AE20"/>
    <mergeCell ref="B21:E21"/>
    <mergeCell ref="F21:M21"/>
  </mergeCells>
  <pageMargins left="0.196850393700787" right="0.196850393700787" top="0.393700787401575" bottom="0.393700787401575" header="0.31496062992126" footer="0.31496062992126"/>
  <pageSetup orientation="portrait" paperSize="9" scale="7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  <pageSetUpPr fitToPage="1"/>
  </sheetPr>
  <dimension ref="A1:BA53"/>
  <sheetViews>
    <sheetView workbookViewId="0" topLeftCell="A1">
      <selection pane="topLeft" activeCell="A4" sqref="A4:I4"/>
    </sheetView>
  </sheetViews>
  <sheetFormatPr defaultRowHeight="12"/>
  <cols>
    <col min="1" max="6" width="9.14285714285714" style="442"/>
    <col min="7" max="7" width="9.85714285714286" style="442" customWidth="1"/>
    <col min="8" max="8" width="9.14285714285714" style="442"/>
    <col min="9" max="9" width="12.2857142857143" style="442" customWidth="1"/>
    <col min="10" max="53" width="9.14285714285714" style="441"/>
    <col min="54" max="16384" width="9.14285714285714" style="442"/>
  </cols>
  <sheetData>
    <row r="1" spans="1:9" ht="15.75" customHeight="1">
      <c r="A1" s="1931" t="s">
        <v>3723</v>
      </c>
      <c r="B1" s="1931"/>
      <c r="C1" s="1931"/>
      <c r="D1" s="1931"/>
      <c r="E1" s="1931"/>
      <c r="F1" s="1931"/>
      <c r="G1" s="1931"/>
      <c r="H1" s="1931"/>
      <c r="I1" s="1931"/>
    </row>
    <row r="2" spans="1:9" ht="12">
      <c r="A2" s="1931"/>
      <c r="B2" s="1931"/>
      <c r="C2" s="1931"/>
      <c r="D2" s="1931"/>
      <c r="E2" s="1931"/>
      <c r="F2" s="1931"/>
      <c r="G2" s="1931"/>
      <c r="H2" s="1931"/>
      <c r="I2" s="1931"/>
    </row>
    <row r="3" spans="1:9" ht="15" customHeight="1">
      <c r="A3" s="1932" t="s">
        <v>3724</v>
      </c>
      <c r="B3" s="1932"/>
      <c r="C3" s="1932"/>
      <c r="D3" s="1932"/>
      <c r="E3" s="1932"/>
      <c r="F3" s="1932"/>
      <c r="G3" s="1932"/>
      <c r="H3" s="1932"/>
      <c r="I3" s="1932"/>
    </row>
    <row r="4" spans="1:9" ht="18" customHeight="1">
      <c r="A4" s="1933"/>
      <c r="B4" s="1934"/>
      <c r="C4" s="1934"/>
      <c r="D4" s="1934"/>
      <c r="E4" s="1934"/>
      <c r="F4" s="1934"/>
      <c r="G4" s="1934"/>
      <c r="H4" s="1934"/>
      <c r="I4" s="1934"/>
    </row>
    <row r="5" spans="1:9" ht="15" customHeight="1">
      <c r="A5" s="1935" t="s">
        <v>3725</v>
      </c>
      <c r="B5" s="1935"/>
      <c r="C5" s="1935"/>
      <c r="D5" s="1935"/>
      <c r="E5" s="1935"/>
      <c r="F5" s="1935"/>
      <c r="G5" s="1935"/>
      <c r="H5" s="1935"/>
      <c r="I5" s="1935"/>
    </row>
    <row r="6" spans="1:9" ht="18" customHeight="1">
      <c r="A6" s="1936"/>
      <c r="B6" s="1937"/>
      <c r="C6" s="1937"/>
      <c r="D6" s="1937"/>
      <c r="E6" s="1937"/>
      <c r="F6" s="1932" t="s">
        <v>3726</v>
      </c>
      <c r="G6" s="1938"/>
      <c r="H6" s="1939"/>
      <c r="I6" s="1940"/>
    </row>
    <row r="7" spans="1:9" ht="15" customHeight="1">
      <c r="A7" s="1932"/>
      <c r="B7" s="1932"/>
      <c r="C7" s="1932"/>
      <c r="D7" s="1932"/>
      <c r="E7" s="1932"/>
      <c r="F7" s="1932"/>
      <c r="G7" s="1932"/>
      <c r="H7" s="1932"/>
      <c r="I7" s="1932"/>
    </row>
    <row r="8" spans="1:9" ht="18" customHeight="1">
      <c r="A8" s="1943" t="s">
        <v>3727</v>
      </c>
      <c r="B8" s="1943"/>
      <c r="C8" s="1944" t="str">
        <f>+CONCATENATE(ZAKL_DATA!B4," ",ZAKL_DATA!B5)</f>
        <v xml:space="preserve"> </v>
      </c>
      <c r="D8" s="1944"/>
      <c r="E8" s="1944"/>
      <c r="F8" s="1945"/>
      <c r="G8" s="443" t="s">
        <v>3728</v>
      </c>
      <c r="H8" s="1946" t="str">
        <f>+'DAP1'!A9</f>
        <v/>
      </c>
      <c r="I8" s="1947"/>
    </row>
    <row r="9" spans="1:9" ht="15" customHeight="1">
      <c r="A9" s="1932"/>
      <c r="B9" s="1932"/>
      <c r="C9" s="1948" t="s">
        <v>3729</v>
      </c>
      <c r="D9" s="1948"/>
      <c r="E9" s="1948"/>
      <c r="F9" s="1949"/>
      <c r="G9" s="1932"/>
      <c r="H9" s="1950"/>
      <c r="I9" s="1950"/>
    </row>
    <row r="10" spans="1:53" s="446" customFormat="1" ht="18" customHeight="1">
      <c r="A10" s="444" t="s">
        <v>3730</v>
      </c>
      <c r="B10" s="1951" t="str">
        <f>+Prohl_manž!B7</f>
        <v xml:space="preserve"> , , PSČ </v>
      </c>
      <c r="C10" s="1951"/>
      <c r="D10" s="1951"/>
      <c r="E10" s="1951"/>
      <c r="F10" s="1951"/>
      <c r="G10" s="1951"/>
      <c r="H10" s="1951"/>
      <c r="I10" s="1951"/>
      <c r="J10" s="445"/>
      <c r="K10" s="445"/>
      <c r="L10" s="445"/>
      <c r="M10" s="445"/>
      <c r="N10" s="445"/>
      <c r="O10" s="445"/>
      <c r="P10" s="445"/>
      <c r="Q10" s="445"/>
      <c r="R10" s="445"/>
      <c r="S10" s="445"/>
      <c r="T10" s="445"/>
      <c r="U10" s="445"/>
      <c r="V10" s="445"/>
      <c r="W10" s="445"/>
      <c r="X10" s="445"/>
      <c r="Y10" s="445"/>
      <c r="Z10" s="445"/>
      <c r="AA10" s="445"/>
      <c r="AB10" s="445"/>
      <c r="AC10" s="445"/>
      <c r="AD10" s="445"/>
      <c r="AE10" s="445"/>
      <c r="AF10" s="445"/>
      <c r="AG10" s="445"/>
      <c r="AH10" s="445"/>
      <c r="AI10" s="445"/>
      <c r="AJ10" s="445"/>
      <c r="AK10" s="445"/>
      <c r="AL10" s="445"/>
      <c r="AM10" s="445"/>
      <c r="AN10" s="445"/>
      <c r="AO10" s="445"/>
      <c r="AP10" s="445"/>
      <c r="AQ10" s="445"/>
      <c r="AR10" s="445"/>
      <c r="AS10" s="445"/>
      <c r="AT10" s="445"/>
      <c r="AU10" s="445"/>
      <c r="AV10" s="445"/>
      <c r="AW10" s="445"/>
      <c r="AX10" s="445"/>
      <c r="AY10" s="445"/>
      <c r="AZ10" s="445"/>
      <c r="BA10" s="445"/>
    </row>
    <row r="11" spans="1:9" ht="15" customHeight="1">
      <c r="A11" s="1932"/>
      <c r="B11" s="1932"/>
      <c r="C11" s="1932"/>
      <c r="D11" s="1932"/>
      <c r="E11" s="1932"/>
      <c r="F11" s="1932"/>
      <c r="G11" s="1932"/>
      <c r="H11" s="1932"/>
      <c r="I11" s="1932"/>
    </row>
    <row r="12" spans="1:53" s="446" customFormat="1" ht="18" customHeight="1">
      <c r="A12" s="1943" t="s">
        <v>3731</v>
      </c>
      <c r="B12" s="1943"/>
      <c r="C12" s="1943"/>
      <c r="D12" s="1952">
        <f>+'DAP1'!F24</f>
        <v>2022</v>
      </c>
      <c r="E12" s="1952"/>
      <c r="F12" s="1943" t="s">
        <v>3732</v>
      </c>
      <c r="G12" s="1943"/>
      <c r="H12" s="1943"/>
      <c r="I12" s="1943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/>
      <c r="AD12" s="445"/>
      <c r="AE12" s="445"/>
      <c r="AF12" s="445"/>
      <c r="AG12" s="445"/>
      <c r="AH12" s="445"/>
      <c r="AI12" s="445"/>
      <c r="AJ12" s="445"/>
      <c r="AK12" s="445"/>
      <c r="AL12" s="445"/>
      <c r="AM12" s="445"/>
      <c r="AN12" s="445"/>
      <c r="AO12" s="445"/>
      <c r="AP12" s="445"/>
      <c r="AQ12" s="445"/>
      <c r="AR12" s="445"/>
      <c r="AS12" s="445"/>
      <c r="AT12" s="445"/>
      <c r="AU12" s="445"/>
      <c r="AV12" s="445"/>
      <c r="AW12" s="445"/>
      <c r="AX12" s="445"/>
      <c r="AY12" s="445"/>
      <c r="AZ12" s="445"/>
      <c r="BA12" s="445"/>
    </row>
    <row r="13" spans="1:53" s="446" customFormat="1" ht="18" customHeight="1">
      <c r="A13" s="1941" t="s">
        <v>3733</v>
      </c>
      <c r="B13" s="1941"/>
      <c r="C13" s="1941"/>
      <c r="D13" s="1941"/>
      <c r="E13" s="1941"/>
      <c r="F13" s="1941"/>
      <c r="G13" s="1942" t="s">
        <v>3734</v>
      </c>
      <c r="H13" s="1942"/>
      <c r="I13" s="1942"/>
      <c r="J13" s="445"/>
      <c r="K13" s="445"/>
      <c r="L13" s="445"/>
      <c r="M13" s="445"/>
      <c r="N13" s="445"/>
      <c r="O13" s="445"/>
      <c r="P13" s="445"/>
      <c r="Q13" s="445"/>
      <c r="R13" s="445"/>
      <c r="S13" s="445"/>
      <c r="T13" s="445"/>
      <c r="U13" s="445"/>
      <c r="V13" s="445"/>
      <c r="W13" s="445"/>
      <c r="X13" s="445"/>
      <c r="Y13" s="445"/>
      <c r="Z13" s="445"/>
      <c r="AA13" s="445"/>
      <c r="AB13" s="445"/>
      <c r="AC13" s="445"/>
      <c r="AD13" s="445"/>
      <c r="AE13" s="445"/>
      <c r="AF13" s="445"/>
      <c r="AG13" s="445"/>
      <c r="AH13" s="445"/>
      <c r="AI13" s="445"/>
      <c r="AJ13" s="445"/>
      <c r="AK13" s="445"/>
      <c r="AL13" s="445"/>
      <c r="AM13" s="445"/>
      <c r="AN13" s="445"/>
      <c r="AO13" s="445"/>
      <c r="AP13" s="445"/>
      <c r="AQ13" s="445"/>
      <c r="AR13" s="445"/>
      <c r="AS13" s="445"/>
      <c r="AT13" s="445"/>
      <c r="AU13" s="445"/>
      <c r="AV13" s="445"/>
      <c r="AW13" s="445"/>
      <c r="AX13" s="445"/>
      <c r="AY13" s="445"/>
      <c r="AZ13" s="445"/>
      <c r="BA13" s="445"/>
    </row>
    <row r="14" spans="1:53" s="446" customFormat="1" ht="18" customHeight="1">
      <c r="A14" s="1943" t="s">
        <v>3735</v>
      </c>
      <c r="B14" s="1943"/>
      <c r="C14" s="1943"/>
      <c r="D14" s="1943"/>
      <c r="E14" s="1943"/>
      <c r="F14" s="1943"/>
      <c r="G14" s="1943"/>
      <c r="H14" s="1943"/>
      <c r="I14" s="1943"/>
      <c r="J14" s="445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5"/>
      <c r="AL14" s="445"/>
      <c r="AM14" s="445"/>
      <c r="AN14" s="445"/>
      <c r="AO14" s="445"/>
      <c r="AP14" s="445"/>
      <c r="AQ14" s="445"/>
      <c r="AR14" s="445"/>
      <c r="AS14" s="445"/>
      <c r="AT14" s="445"/>
      <c r="AU14" s="445"/>
      <c r="AV14" s="445"/>
      <c r="AW14" s="445"/>
      <c r="AX14" s="445"/>
      <c r="AY14" s="445"/>
      <c r="AZ14" s="445"/>
      <c r="BA14" s="445"/>
    </row>
    <row r="15" spans="1:53" s="449" customFormat="1" ht="18" customHeight="1">
      <c r="A15" s="1953">
        <f>+'DAP2'!E4</f>
        <v>0</v>
      </c>
      <c r="B15" s="1953"/>
      <c r="C15" s="1953"/>
      <c r="D15" s="447" t="s">
        <v>3736</v>
      </c>
      <c r="E15" s="1954"/>
      <c r="F15" s="1954"/>
      <c r="G15" s="1954"/>
      <c r="H15" s="1954"/>
      <c r="I15" s="1954"/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448"/>
      <c r="AO15" s="448"/>
      <c r="AP15" s="448"/>
      <c r="AQ15" s="448"/>
      <c r="AR15" s="448"/>
      <c r="AS15" s="448"/>
      <c r="AT15" s="448"/>
      <c r="AU15" s="448"/>
      <c r="AV15" s="448"/>
      <c r="AW15" s="448"/>
      <c r="AX15" s="448"/>
      <c r="AY15" s="448"/>
      <c r="AZ15" s="448"/>
      <c r="BA15" s="448"/>
    </row>
    <row r="16" spans="1:9" ht="15" customHeight="1">
      <c r="A16" s="1955"/>
      <c r="B16" s="1955"/>
      <c r="C16" s="1955"/>
      <c r="D16" s="1955"/>
      <c r="E16" s="1955"/>
      <c r="F16" s="1955"/>
      <c r="G16" s="1955"/>
      <c r="H16" s="1955"/>
      <c r="I16" s="1955"/>
    </row>
    <row r="17" spans="1:9" ht="15" customHeight="1">
      <c r="A17" s="1955"/>
      <c r="B17" s="1955"/>
      <c r="C17" s="1955"/>
      <c r="D17" s="1955"/>
      <c r="E17" s="1955"/>
      <c r="F17" s="1955"/>
      <c r="G17" s="1955"/>
      <c r="H17" s="1955"/>
      <c r="I17" s="1955"/>
    </row>
    <row r="18" spans="1:9" ht="15" customHeight="1">
      <c r="A18" s="1955"/>
      <c r="B18" s="1955"/>
      <c r="C18" s="1955"/>
      <c r="D18" s="1955"/>
      <c r="E18" s="1955"/>
      <c r="F18" s="1955"/>
      <c r="G18" s="1955"/>
      <c r="H18" s="1955"/>
      <c r="I18" s="1955"/>
    </row>
    <row r="19" spans="1:9" ht="15" customHeight="1">
      <c r="A19" s="1955"/>
      <c r="B19" s="1955"/>
      <c r="C19" s="1955"/>
      <c r="D19" s="1955"/>
      <c r="E19" s="1955"/>
      <c r="F19" s="1955"/>
      <c r="G19" s="1955"/>
      <c r="H19" s="1955"/>
      <c r="I19" s="1955"/>
    </row>
    <row r="20" spans="1:53" s="446" customFormat="1" ht="15" customHeight="1">
      <c r="A20" s="444" t="s">
        <v>3737</v>
      </c>
      <c r="B20" s="1956">
        <f ca="1">TODAY()</f>
        <v>44994</v>
      </c>
      <c r="C20" s="1956"/>
      <c r="D20" s="1957"/>
      <c r="E20" s="1957"/>
      <c r="F20" s="1957"/>
      <c r="G20" s="1957"/>
      <c r="H20" s="1957"/>
      <c r="I20" s="1957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</row>
    <row r="21" spans="1:9" ht="15" customHeight="1">
      <c r="A21" s="1959" t="s">
        <v>3738</v>
      </c>
      <c r="B21" s="1959"/>
      <c r="C21" s="1959"/>
      <c r="D21" s="1959"/>
      <c r="E21" s="1959"/>
      <c r="F21" s="1959"/>
      <c r="G21" s="1959"/>
      <c r="H21" s="1959"/>
      <c r="I21" s="1959"/>
    </row>
    <row r="22" spans="1:9" ht="15" customHeight="1">
      <c r="A22" s="1932"/>
      <c r="B22" s="1932"/>
      <c r="C22" s="1932"/>
      <c r="D22" s="1932"/>
      <c r="E22" s="1932"/>
      <c r="F22" s="1932"/>
      <c r="G22" s="1932"/>
      <c r="H22" s="1932"/>
      <c r="I22" s="1932"/>
    </row>
    <row r="23" spans="1:53" s="446" customFormat="1" ht="15" customHeight="1">
      <c r="A23" s="1943" t="s">
        <v>3739</v>
      </c>
      <c r="B23" s="1943"/>
      <c r="C23" s="1943"/>
      <c r="D23" s="1960"/>
      <c r="E23" s="1960"/>
      <c r="F23" s="1960"/>
      <c r="G23" s="451" t="s">
        <v>3740</v>
      </c>
      <c r="H23" s="1961"/>
      <c r="I23" s="1961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</row>
    <row r="24" spans="1:9" ht="15" customHeight="1">
      <c r="A24" s="1932"/>
      <c r="B24" s="1932"/>
      <c r="C24" s="1932"/>
      <c r="D24" s="1948" t="s">
        <v>3729</v>
      </c>
      <c r="E24" s="1948"/>
      <c r="F24" s="1948"/>
      <c r="G24" s="1932"/>
      <c r="H24" s="1932"/>
      <c r="I24" s="1932"/>
    </row>
    <row r="25" spans="1:9" ht="12">
      <c r="A25" s="1932"/>
      <c r="B25" s="1932"/>
      <c r="C25" s="1932"/>
      <c r="D25" s="1932"/>
      <c r="E25" s="1932"/>
      <c r="F25" s="1932"/>
      <c r="G25" s="1932"/>
      <c r="H25" s="1932"/>
      <c r="I25" s="1932"/>
    </row>
    <row r="26" spans="1:9" ht="12">
      <c r="A26" s="1932"/>
      <c r="B26" s="1932"/>
      <c r="C26" s="1932"/>
      <c r="D26" s="1932"/>
      <c r="E26" s="1932"/>
      <c r="F26" s="1932"/>
      <c r="G26" s="1932"/>
      <c r="H26" s="1932"/>
      <c r="I26" s="1932"/>
    </row>
    <row r="27" spans="1:9" ht="12">
      <c r="A27" s="1932"/>
      <c r="B27" s="1932"/>
      <c r="C27" s="1932"/>
      <c r="D27" s="1932"/>
      <c r="E27" s="1932"/>
      <c r="F27" s="1932"/>
      <c r="G27" s="1932"/>
      <c r="H27" s="1932"/>
      <c r="I27" s="1932"/>
    </row>
    <row r="28" spans="1:9" ht="12">
      <c r="A28" s="1932"/>
      <c r="B28" s="1932"/>
      <c r="C28" s="1932"/>
      <c r="D28" s="1932"/>
      <c r="E28" s="1932"/>
      <c r="F28" s="1932"/>
      <c r="G28" s="1932"/>
      <c r="H28" s="1932"/>
      <c r="I28" s="1932"/>
    </row>
    <row r="29" spans="1:9" ht="12">
      <c r="A29" s="1932"/>
      <c r="B29" s="1932"/>
      <c r="C29" s="1932"/>
      <c r="D29" s="1932"/>
      <c r="E29" s="1932"/>
      <c r="F29" s="1932"/>
      <c r="G29" s="1932"/>
      <c r="H29" s="1932"/>
      <c r="I29" s="1932"/>
    </row>
    <row r="30" spans="1:9" ht="12">
      <c r="A30" s="1932"/>
      <c r="B30" s="1932"/>
      <c r="C30" s="1932"/>
      <c r="D30" s="1932"/>
      <c r="E30" s="1932"/>
      <c r="F30" s="1932"/>
      <c r="G30" s="1932"/>
      <c r="H30" s="1932"/>
      <c r="I30" s="1932"/>
    </row>
    <row r="31" spans="1:9" ht="12">
      <c r="A31" s="1932"/>
      <c r="B31" s="1932"/>
      <c r="C31" s="1932"/>
      <c r="D31" s="1932"/>
      <c r="E31" s="1932"/>
      <c r="F31" s="1932"/>
      <c r="G31" s="1932"/>
      <c r="H31" s="1932"/>
      <c r="I31" s="1932"/>
    </row>
    <row r="32" spans="1:9" ht="12">
      <c r="A32" s="1932"/>
      <c r="B32" s="1932"/>
      <c r="C32" s="1932"/>
      <c r="D32" s="1932"/>
      <c r="E32" s="1932"/>
      <c r="F32" s="1932"/>
      <c r="G32" s="1932"/>
      <c r="H32" s="1932"/>
      <c r="I32" s="1932"/>
    </row>
    <row r="33" spans="1:9" ht="12">
      <c r="A33" s="1932"/>
      <c r="B33" s="1932"/>
      <c r="C33" s="1932"/>
      <c r="D33" s="1932"/>
      <c r="E33" s="1932"/>
      <c r="F33" s="1932"/>
      <c r="G33" s="1932"/>
      <c r="H33" s="1932"/>
      <c r="I33" s="1932"/>
    </row>
    <row r="34" spans="1:9" ht="12">
      <c r="A34" s="1932"/>
      <c r="B34" s="1932"/>
      <c r="C34" s="1932"/>
      <c r="D34" s="1932"/>
      <c r="E34" s="1932"/>
      <c r="F34" s="1932"/>
      <c r="G34" s="1932"/>
      <c r="H34" s="1932"/>
      <c r="I34" s="1932"/>
    </row>
    <row r="35" spans="1:9" ht="12">
      <c r="A35" s="1932"/>
      <c r="B35" s="1932"/>
      <c r="C35" s="1932"/>
      <c r="D35" s="1932"/>
      <c r="E35" s="1932"/>
      <c r="F35" s="1932"/>
      <c r="G35" s="1932"/>
      <c r="H35" s="1932"/>
      <c r="I35" s="1932"/>
    </row>
    <row r="36" spans="1:9" ht="12">
      <c r="A36" s="1932"/>
      <c r="B36" s="1932"/>
      <c r="C36" s="1932"/>
      <c r="D36" s="1932"/>
      <c r="E36" s="1932"/>
      <c r="F36" s="1932"/>
      <c r="G36" s="1932"/>
      <c r="H36" s="1932"/>
      <c r="I36" s="1932"/>
    </row>
    <row r="37" spans="1:9" ht="12">
      <c r="A37" s="1932"/>
      <c r="B37" s="1932"/>
      <c r="C37" s="1932"/>
      <c r="D37" s="1932"/>
      <c r="E37" s="1932"/>
      <c r="F37" s="1932"/>
      <c r="G37" s="1932"/>
      <c r="H37" s="1932"/>
      <c r="I37" s="1932"/>
    </row>
    <row r="38" spans="1:9" ht="12">
      <c r="A38" s="1932"/>
      <c r="B38" s="1932"/>
      <c r="C38" s="1932"/>
      <c r="D38" s="1932"/>
      <c r="E38" s="1932"/>
      <c r="F38" s="1932"/>
      <c r="G38" s="1932"/>
      <c r="H38" s="1932"/>
      <c r="I38" s="1932"/>
    </row>
    <row r="39" spans="1:9" ht="12">
      <c r="A39" s="1932"/>
      <c r="B39" s="1932"/>
      <c r="C39" s="1932"/>
      <c r="D39" s="1932"/>
      <c r="E39" s="1932"/>
      <c r="F39" s="1932"/>
      <c r="G39" s="1932"/>
      <c r="H39" s="1932"/>
      <c r="I39" s="1932"/>
    </row>
    <row r="40" spans="1:9" ht="12">
      <c r="A40" s="1932"/>
      <c r="B40" s="1932"/>
      <c r="C40" s="1932"/>
      <c r="D40" s="1932"/>
      <c r="E40" s="1932"/>
      <c r="F40" s="1932"/>
      <c r="G40" s="1932"/>
      <c r="H40" s="1932"/>
      <c r="I40" s="1932"/>
    </row>
    <row r="41" spans="1:9" ht="12">
      <c r="A41" s="1932"/>
      <c r="B41" s="1932"/>
      <c r="C41" s="1932"/>
      <c r="D41" s="1932"/>
      <c r="E41" s="1932"/>
      <c r="F41" s="1932"/>
      <c r="G41" s="1932"/>
      <c r="H41" s="1932"/>
      <c r="I41" s="1932"/>
    </row>
    <row r="42" spans="1:9" ht="12">
      <c r="A42" s="1932"/>
      <c r="B42" s="1932"/>
      <c r="C42" s="1932"/>
      <c r="D42" s="1932"/>
      <c r="E42" s="1932"/>
      <c r="F42" s="1932"/>
      <c r="G42" s="1932"/>
      <c r="H42" s="1932"/>
      <c r="I42" s="1932"/>
    </row>
    <row r="43" spans="1:9" ht="12">
      <c r="A43" s="1932"/>
      <c r="B43" s="1932"/>
      <c r="C43" s="1932"/>
      <c r="D43" s="1932"/>
      <c r="E43" s="1932"/>
      <c r="F43" s="1932"/>
      <c r="G43" s="1932"/>
      <c r="H43" s="1932"/>
      <c r="I43" s="1932"/>
    </row>
    <row r="44" spans="1:9" ht="12">
      <c r="A44" s="1932"/>
      <c r="B44" s="1932"/>
      <c r="C44" s="1932"/>
      <c r="D44" s="1932"/>
      <c r="E44" s="1932"/>
      <c r="F44" s="1932"/>
      <c r="G44" s="1932"/>
      <c r="H44" s="1932"/>
      <c r="I44" s="1932"/>
    </row>
    <row r="45" spans="1:9" ht="12">
      <c r="A45" s="1932"/>
      <c r="B45" s="1932"/>
      <c r="C45" s="1932"/>
      <c r="D45" s="1932"/>
      <c r="E45" s="1932"/>
      <c r="F45" s="1932"/>
      <c r="G45" s="1932"/>
      <c r="H45" s="1932"/>
      <c r="I45" s="1932"/>
    </row>
    <row r="46" spans="1:9" ht="12">
      <c r="A46" s="1932"/>
      <c r="B46" s="1932"/>
      <c r="C46" s="1932"/>
      <c r="D46" s="1932"/>
      <c r="E46" s="1932"/>
      <c r="F46" s="1932"/>
      <c r="G46" s="1932"/>
      <c r="H46" s="1932"/>
      <c r="I46" s="1932"/>
    </row>
    <row r="47" spans="1:9" ht="12">
      <c r="A47" s="1932"/>
      <c r="B47" s="1932"/>
      <c r="C47" s="1932"/>
      <c r="D47" s="1932"/>
      <c r="E47" s="1932"/>
      <c r="F47" s="1932"/>
      <c r="G47" s="1932"/>
      <c r="H47" s="1932"/>
      <c r="I47" s="1932"/>
    </row>
    <row r="48" spans="1:9" ht="12">
      <c r="A48" s="1932"/>
      <c r="B48" s="1932"/>
      <c r="C48" s="1932"/>
      <c r="D48" s="1932"/>
      <c r="E48" s="1932"/>
      <c r="F48" s="1932"/>
      <c r="G48" s="1932"/>
      <c r="H48" s="1932"/>
      <c r="I48" s="1932"/>
    </row>
    <row r="49" spans="1:9" ht="12">
      <c r="A49" s="1932"/>
      <c r="B49" s="1932"/>
      <c r="C49" s="1932"/>
      <c r="D49" s="1932"/>
      <c r="E49" s="1932"/>
      <c r="F49" s="1932"/>
      <c r="G49" s="1932"/>
      <c r="H49" s="1932"/>
      <c r="I49" s="1932"/>
    </row>
    <row r="50" spans="1:9" ht="12">
      <c r="A50" s="1932"/>
      <c r="B50" s="1932"/>
      <c r="C50" s="1932"/>
      <c r="D50" s="1932"/>
      <c r="E50" s="1932"/>
      <c r="F50" s="1932"/>
      <c r="G50" s="1932"/>
      <c r="H50" s="1932"/>
      <c r="I50" s="1932"/>
    </row>
    <row r="51" spans="1:9" ht="12">
      <c r="A51" s="1932"/>
      <c r="B51" s="1932"/>
      <c r="C51" s="1932"/>
      <c r="D51" s="1932"/>
      <c r="E51" s="1932"/>
      <c r="F51" s="1932"/>
      <c r="G51" s="1932"/>
      <c r="H51" s="1932"/>
      <c r="I51" s="1932"/>
    </row>
    <row r="52" spans="1:9" ht="12">
      <c r="A52" s="450" t="s">
        <v>3741</v>
      </c>
      <c r="B52" s="450"/>
      <c r="C52" s="450"/>
      <c r="D52" s="450"/>
      <c r="E52" s="450"/>
      <c r="F52" s="450"/>
      <c r="G52" s="450"/>
      <c r="H52" s="450"/>
      <c r="I52" s="450"/>
    </row>
    <row r="53" spans="1:9" ht="38.25" customHeight="1">
      <c r="A53" s="1958" t="s">
        <v>3742</v>
      </c>
      <c r="B53" s="1958"/>
      <c r="C53" s="1958"/>
      <c r="D53" s="1958"/>
      <c r="E53" s="1958"/>
      <c r="F53" s="1958"/>
      <c r="G53" s="1958"/>
      <c r="H53" s="1958"/>
      <c r="I53" s="1958"/>
    </row>
    <row r="54" s="441" customFormat="1" ht="12"/>
    <row r="55" s="441" customFormat="1" ht="12"/>
    <row r="56" s="441" customFormat="1" ht="12"/>
    <row r="57" s="441" customFormat="1" ht="12"/>
    <row r="58" s="441" customFormat="1" ht="12"/>
    <row r="59" s="441" customFormat="1" ht="12"/>
    <row r="60" s="441" customFormat="1" ht="12"/>
    <row r="61" s="441" customFormat="1" ht="12"/>
    <row r="62" s="441" customFormat="1" ht="12"/>
    <row r="63" s="441" customFormat="1" ht="12"/>
    <row r="64" s="441" customFormat="1" ht="12"/>
    <row r="65" s="441" customFormat="1" ht="12"/>
    <row r="66" s="441" customFormat="1" ht="12"/>
    <row r="67" s="441" customFormat="1" ht="12"/>
    <row r="68" s="441" customFormat="1" ht="12"/>
    <row r="69" s="441" customFormat="1" ht="12"/>
    <row r="70" s="441" customFormat="1" ht="12"/>
    <row r="71" s="441" customFormat="1" ht="12"/>
    <row r="72" s="441" customFormat="1" ht="12"/>
    <row r="73" s="441" customFormat="1" ht="12"/>
    <row r="74" s="441" customFormat="1" ht="12"/>
    <row r="75" s="441" customFormat="1" ht="12"/>
    <row r="76" s="441" customFormat="1" ht="12"/>
    <row r="77" s="441" customFormat="1" ht="12"/>
    <row r="78" s="441" customFormat="1" ht="12"/>
    <row r="79" s="441" customFormat="1" ht="12"/>
    <row r="80" s="441" customFormat="1" ht="12"/>
    <row r="81" s="441" customFormat="1" ht="12"/>
    <row r="82" s="441" customFormat="1" ht="12"/>
    <row r="83" s="441" customFormat="1" ht="12"/>
    <row r="84" s="441" customFormat="1" ht="12"/>
    <row r="85" s="441" customFormat="1" ht="12"/>
    <row r="86" s="441" customFormat="1" ht="12"/>
    <row r="87" s="441" customFormat="1" ht="12"/>
    <row r="88" s="441" customFormat="1" ht="12"/>
    <row r="89" s="441" customFormat="1" ht="12"/>
    <row r="90" s="441" customFormat="1" ht="12"/>
    <row r="91" s="441" customFormat="1" ht="12"/>
    <row r="92" s="441" customFormat="1" ht="12"/>
    <row r="93" s="441" customFormat="1" ht="12"/>
    <row r="94" s="441" customFormat="1" ht="12"/>
    <row r="95" s="441" customFormat="1" ht="12"/>
    <row r="96" s="441" customFormat="1" ht="12"/>
    <row r="97" s="441" customFormat="1" ht="12"/>
    <row r="98" s="441" customFormat="1" ht="12"/>
    <row r="99" s="441" customFormat="1" ht="12"/>
    <row r="100" s="441" customFormat="1" ht="12"/>
    <row r="101" s="441" customFormat="1" ht="12"/>
    <row r="102" s="441" customFormat="1" ht="12"/>
    <row r="103" s="441" customFormat="1" ht="12"/>
    <row r="104" s="441" customFormat="1" ht="12"/>
    <row r="105" s="441" customFormat="1" ht="12"/>
    <row r="106" s="441" customFormat="1" ht="12"/>
    <row r="107" s="441" customFormat="1" ht="12"/>
    <row r="108" s="441" customFormat="1" ht="12"/>
    <row r="109" s="441" customFormat="1" ht="12"/>
    <row r="110" s="441" customFormat="1" ht="12"/>
    <row r="111" s="441" customFormat="1" ht="12"/>
    <row r="112" s="441" customFormat="1" ht="12"/>
    <row r="113" s="441" customFormat="1" ht="12"/>
    <row r="114" s="441" customFormat="1" ht="12"/>
    <row r="115" s="441" customFormat="1" ht="12"/>
    <row r="116" s="441" customFormat="1" ht="12"/>
    <row r="117" s="441" customFormat="1" ht="12"/>
    <row r="118" s="441" customFormat="1" ht="12"/>
    <row r="119" s="441" customFormat="1" ht="12"/>
    <row r="120" s="441" customFormat="1" ht="12"/>
    <row r="121" s="441" customFormat="1" ht="12"/>
    <row r="122" s="441" customFormat="1" ht="12"/>
    <row r="123" s="441" customFormat="1" ht="12"/>
    <row r="124" s="441" customFormat="1" ht="12"/>
    <row r="125" s="441" customFormat="1" ht="12"/>
    <row r="126" s="441" customFormat="1" ht="12"/>
    <row r="127" s="441" customFormat="1" ht="12"/>
    <row r="128" s="441" customFormat="1" ht="12"/>
    <row r="129" s="441" customFormat="1" ht="12"/>
    <row r="130" s="441" customFormat="1" ht="12"/>
    <row r="131" s="441" customFormat="1" ht="12"/>
    <row r="132" s="441" customFormat="1" ht="12"/>
    <row r="133" s="441" customFormat="1" ht="12"/>
    <row r="134" s="441" customFormat="1" ht="12"/>
    <row r="135" s="441" customFormat="1" ht="12"/>
    <row r="136" s="441" customFormat="1" ht="12"/>
    <row r="137" s="441" customFormat="1" ht="12"/>
    <row r="138" s="441" customFormat="1" ht="12"/>
    <row r="139" s="441" customFormat="1" ht="12"/>
    <row r="140" s="441" customFormat="1" ht="12"/>
    <row r="141" s="441" customFormat="1" ht="12"/>
    <row r="142" s="441" customFormat="1" ht="12"/>
    <row r="143" s="441" customFormat="1" ht="12"/>
    <row r="144" s="441" customFormat="1" ht="12"/>
    <row r="145" s="441" customFormat="1" ht="12"/>
    <row r="146" s="441" customFormat="1" ht="12"/>
    <row r="147" s="441" customFormat="1" ht="12"/>
    <row r="148" s="441" customFormat="1" ht="12"/>
    <row r="149" s="441" customFormat="1" ht="12"/>
    <row r="150" s="441" customFormat="1" ht="12"/>
    <row r="151" s="441" customFormat="1" ht="12"/>
    <row r="152" s="441" customFormat="1" ht="12"/>
    <row r="153" s="441" customFormat="1" ht="12"/>
    <row r="154" s="441" customFormat="1" ht="12"/>
    <row r="155" s="441" customFormat="1" ht="12"/>
    <row r="156" s="441" customFormat="1" ht="12"/>
    <row r="157" s="441" customFormat="1" ht="12"/>
    <row r="158" s="441" customFormat="1" ht="12"/>
    <row r="159" s="441" customFormat="1" ht="12"/>
    <row r="160" s="441" customFormat="1" ht="12"/>
    <row r="161" s="441" customFormat="1" ht="12"/>
    <row r="162" s="441" customFormat="1" ht="12"/>
    <row r="163" s="441" customFormat="1" ht="12"/>
    <row r="164" s="441" customFormat="1" ht="12"/>
    <row r="165" s="441" customFormat="1" ht="12"/>
    <row r="166" s="441" customFormat="1" ht="12"/>
    <row r="167" s="441" customFormat="1" ht="12"/>
    <row r="168" s="441" customFormat="1" ht="12"/>
    <row r="169" s="441" customFormat="1" ht="12"/>
    <row r="170" s="441" customFormat="1" ht="12"/>
    <row r="171" s="441" customFormat="1" ht="12"/>
    <row r="172" s="441" customFormat="1" ht="12"/>
    <row r="173" s="441" customFormat="1" ht="12"/>
    <row r="174" s="441" customFormat="1" ht="12"/>
    <row r="175" s="441" customFormat="1" ht="12"/>
    <row r="176" s="441" customFormat="1" ht="12"/>
    <row r="177" s="441" customFormat="1" ht="12"/>
    <row r="178" s="441" customFormat="1" ht="12"/>
    <row r="179" s="441" customFormat="1" ht="12"/>
    <row r="180" s="441" customFormat="1" ht="12"/>
    <row r="181" s="441" customFormat="1" ht="12"/>
    <row r="182" s="441" customFormat="1" ht="12"/>
    <row r="183" s="441" customFormat="1" ht="12"/>
    <row r="184" s="441" customFormat="1" ht="12"/>
    <row r="185" s="441" customFormat="1" ht="12"/>
    <row r="186" s="441" customFormat="1" ht="12"/>
    <row r="187" s="441" customFormat="1" ht="12"/>
    <row r="188" s="441" customFormat="1" ht="12"/>
    <row r="189" s="441" customFormat="1" ht="12"/>
    <row r="190" s="441" customFormat="1" ht="12"/>
    <row r="191" s="441" customFormat="1" ht="12"/>
    <row r="192" s="441" customFormat="1" ht="12"/>
    <row r="193" s="441" customFormat="1" ht="12"/>
    <row r="194" s="441" customFormat="1" ht="12"/>
    <row r="195" s="441" customFormat="1" ht="12"/>
    <row r="196" s="441" customFormat="1" ht="12"/>
    <row r="197" s="441" customFormat="1" ht="12"/>
    <row r="198" s="441" customFormat="1" ht="12"/>
    <row r="199" s="441" customFormat="1" ht="12"/>
    <row r="200" s="441" customFormat="1" ht="12"/>
    <row r="201" s="441" customFormat="1" ht="12"/>
    <row r="202" s="441" customFormat="1" ht="12"/>
    <row r="203" s="441" customFormat="1" ht="12"/>
    <row r="204" s="441" customFormat="1" ht="12"/>
    <row r="205" s="441" customFormat="1" ht="12"/>
    <row r="206" s="441" customFormat="1" ht="12"/>
    <row r="207" s="441" customFormat="1" ht="12"/>
    <row r="208" s="441" customFormat="1" ht="12"/>
    <row r="209" s="441" customFormat="1" ht="12"/>
    <row r="210" s="441" customFormat="1" ht="12"/>
    <row r="211" s="441" customFormat="1" ht="12"/>
    <row r="212" s="441" customFormat="1" ht="12"/>
    <row r="213" s="441" customFormat="1" ht="12"/>
    <row r="214" s="441" customFormat="1" ht="12"/>
    <row r="215" s="441" customFormat="1" ht="12"/>
    <row r="216" s="441" customFormat="1" ht="12"/>
    <row r="217" s="441" customFormat="1" ht="12"/>
    <row r="218" s="441" customFormat="1" ht="12"/>
    <row r="219" s="441" customFormat="1" ht="12"/>
    <row r="220" s="441" customFormat="1" ht="12"/>
    <row r="221" s="441" customFormat="1" ht="12"/>
    <row r="222" s="441" customFormat="1" ht="12"/>
    <row r="223" s="441" customFormat="1" ht="12"/>
    <row r="224" s="441" customFormat="1" ht="12"/>
    <row r="225" s="441" customFormat="1" ht="12"/>
    <row r="226" s="441" customFormat="1" ht="12"/>
    <row r="227" s="441" customFormat="1" ht="12"/>
    <row r="228" s="441" customFormat="1" ht="12"/>
    <row r="229" s="441" customFormat="1" ht="12"/>
    <row r="230" s="441" customFormat="1" ht="12"/>
    <row r="231" s="441" customFormat="1" ht="12"/>
    <row r="232" s="441" customFormat="1" ht="12"/>
    <row r="233" s="441" customFormat="1" ht="12"/>
    <row r="234" s="441" customFormat="1" ht="12"/>
    <row r="235" s="441" customFormat="1" ht="12"/>
    <row r="236" s="441" customFormat="1" ht="12"/>
    <row r="237" s="441" customFormat="1" ht="12"/>
    <row r="238" s="441" customFormat="1" ht="12"/>
    <row r="239" s="441" customFormat="1" ht="12"/>
    <row r="240" s="441" customFormat="1" ht="12"/>
    <row r="241" s="441" customFormat="1" ht="12"/>
    <row r="242" s="441" customFormat="1" ht="12"/>
    <row r="243" s="441" customFormat="1" ht="12"/>
    <row r="244" s="441" customFormat="1" ht="12"/>
    <row r="245" s="441" customFormat="1" ht="12"/>
    <row r="246" s="441" customFormat="1" ht="12"/>
    <row r="247" s="441" customFormat="1" ht="12"/>
    <row r="248" s="441" customFormat="1" ht="12"/>
    <row r="249" s="441" customFormat="1" ht="12"/>
    <row r="250" s="441" customFormat="1" ht="12"/>
    <row r="251" s="441" customFormat="1" ht="12"/>
    <row r="252" s="441" customFormat="1" ht="12"/>
    <row r="253" s="441" customFormat="1" ht="12"/>
    <row r="254" s="441" customFormat="1" ht="12"/>
    <row r="255" s="441" customFormat="1" ht="12"/>
    <row r="256" s="441" customFormat="1" ht="12"/>
    <row r="257" s="441" customFormat="1" ht="12"/>
    <row r="258" s="441" customFormat="1" ht="12"/>
    <row r="259" s="441" customFormat="1" ht="12"/>
    <row r="260" s="441" customFormat="1" ht="12"/>
    <row r="261" s="441" customFormat="1" ht="12"/>
    <row r="262" s="441" customFormat="1" ht="12"/>
    <row r="263" s="441" customFormat="1" ht="12"/>
    <row r="264" s="441" customFormat="1" ht="12"/>
    <row r="265" s="441" customFormat="1" ht="12"/>
    <row r="266" s="441" customFormat="1" ht="12"/>
    <row r="267" s="441" customFormat="1" ht="12"/>
    <row r="268" s="441" customFormat="1" ht="12"/>
    <row r="269" s="441" customFormat="1" ht="12"/>
    <row r="270" s="441" customFormat="1" ht="12"/>
    <row r="271" s="441" customFormat="1" ht="12"/>
    <row r="272" s="441" customFormat="1" ht="12"/>
    <row r="273" s="441" customFormat="1" ht="12"/>
    <row r="274" s="441" customFormat="1" ht="12"/>
    <row r="275" s="441" customFormat="1" ht="12"/>
    <row r="276" s="441" customFormat="1" ht="12"/>
    <row r="277" s="441" customFormat="1" ht="12"/>
    <row r="278" s="441" customFormat="1" ht="12"/>
    <row r="279" s="441" customFormat="1" ht="12"/>
    <row r="280" s="441" customFormat="1" ht="12"/>
    <row r="281" s="441" customFormat="1" ht="12"/>
    <row r="282" s="441" customFormat="1" ht="12"/>
    <row r="283" s="441" customFormat="1" ht="12"/>
    <row r="284" s="441" customFormat="1" ht="12"/>
    <row r="285" s="441" customFormat="1" ht="12"/>
    <row r="286" s="441" customFormat="1" ht="12"/>
    <row r="287" s="441" customFormat="1" ht="12"/>
    <row r="288" s="441" customFormat="1" ht="12"/>
    <row r="289" s="441" customFormat="1" ht="12"/>
    <row r="290" s="441" customFormat="1" ht="12"/>
    <row r="291" s="441" customFormat="1" ht="12"/>
    <row r="292" s="441" customFormat="1" ht="12"/>
    <row r="293" s="441" customFormat="1" ht="12"/>
    <row r="294" s="441" customFormat="1" ht="12"/>
    <row r="295" s="441" customFormat="1" ht="12"/>
    <row r="296" s="441" customFormat="1" ht="12"/>
    <row r="297" s="441" customFormat="1" ht="12"/>
    <row r="298" s="441" customFormat="1" ht="12"/>
    <row r="299" s="441" customFormat="1" ht="12"/>
    <row r="300" s="441" customFormat="1" ht="12"/>
    <row r="301" s="441" customFormat="1" ht="12"/>
    <row r="302" s="441" customFormat="1" ht="12"/>
    <row r="303" s="441" customFormat="1" ht="12"/>
    <row r="304" s="441" customFormat="1" ht="12"/>
    <row r="305" s="441" customFormat="1" ht="12"/>
    <row r="306" s="441" customFormat="1" ht="12"/>
    <row r="307" s="441" customFormat="1" ht="12"/>
    <row r="308" s="441" customFormat="1" ht="12"/>
    <row r="309" s="441" customFormat="1" ht="12"/>
    <row r="310" s="441" customFormat="1" ht="12"/>
    <row r="311" s="441" customFormat="1" ht="12"/>
    <row r="312" s="441" customFormat="1" ht="12"/>
    <row r="313" s="441" customFormat="1" ht="12"/>
    <row r="314" s="441" customFormat="1" ht="12"/>
    <row r="315" s="441" customFormat="1" ht="12"/>
    <row r="316" s="441" customFormat="1" ht="12"/>
    <row r="317" s="441" customFormat="1" ht="12"/>
    <row r="318" s="441" customFormat="1" ht="12"/>
    <row r="319" s="441" customFormat="1" ht="12"/>
    <row r="320" s="441" customFormat="1" ht="12"/>
    <row r="321" s="441" customFormat="1" ht="12"/>
    <row r="322" s="441" customFormat="1" ht="12"/>
    <row r="323" s="441" customFormat="1" ht="12"/>
    <row r="324" s="441" customFormat="1" ht="12"/>
    <row r="325" s="441" customFormat="1" ht="12"/>
    <row r="326" s="441" customFormat="1" ht="12"/>
    <row r="327" s="441" customFormat="1" ht="12"/>
    <row r="328" s="441" customFormat="1" ht="12"/>
    <row r="329" s="441" customFormat="1" ht="12"/>
    <row r="330" s="441" customFormat="1" ht="12"/>
    <row r="331" s="441" customFormat="1" ht="12"/>
    <row r="332" s="441" customFormat="1" ht="12"/>
    <row r="333" s="441" customFormat="1" ht="12"/>
    <row r="334" s="441" customFormat="1" ht="12"/>
    <row r="335" s="441" customFormat="1" ht="12"/>
    <row r="336" s="441" customFormat="1" ht="12"/>
    <row r="337" s="441" customFormat="1" ht="12"/>
    <row r="338" s="441" customFormat="1" ht="12"/>
    <row r="339" s="441" customFormat="1" ht="12"/>
    <row r="340" s="441" customFormat="1" ht="12"/>
    <row r="341" s="441" customFormat="1" ht="12"/>
    <row r="342" s="441" customFormat="1" ht="12"/>
    <row r="343" s="441" customFormat="1" ht="12"/>
    <row r="344" s="441" customFormat="1" ht="12"/>
    <row r="345" s="441" customFormat="1" ht="12"/>
    <row r="346" s="441" customFormat="1" ht="12"/>
    <row r="347" s="441" customFormat="1" ht="12"/>
    <row r="348" s="441" customFormat="1" ht="12"/>
    <row r="349" s="441" customFormat="1" ht="12"/>
    <row r="350" s="441" customFormat="1" ht="12"/>
    <row r="351" s="441" customFormat="1" ht="12"/>
    <row r="352" s="441" customFormat="1" ht="12"/>
    <row r="353" s="441" customFormat="1" ht="12"/>
    <row r="354" s="441" customFormat="1" ht="12"/>
    <row r="355" s="441" customFormat="1" ht="12"/>
    <row r="356" s="441" customFormat="1" ht="12"/>
    <row r="357" s="441" customFormat="1" ht="12"/>
    <row r="358" s="441" customFormat="1" ht="12"/>
    <row r="359" s="441" customFormat="1" ht="12"/>
    <row r="360" s="441" customFormat="1" ht="12"/>
    <row r="361" s="441" customFormat="1" ht="12"/>
    <row r="362" s="441" customFormat="1" ht="12"/>
    <row r="363" s="441" customFormat="1" ht="12"/>
    <row r="364" s="441" customFormat="1" ht="12"/>
    <row r="365" s="441" customFormat="1" ht="12"/>
    <row r="366" s="441" customFormat="1" ht="12"/>
    <row r="367" s="441" customFormat="1" ht="12"/>
    <row r="368" s="441" customFormat="1" ht="12"/>
    <row r="369" s="441" customFormat="1" ht="12"/>
    <row r="370" s="441" customFormat="1" ht="12"/>
    <row r="371" s="441" customFormat="1" ht="12"/>
    <row r="372" s="441" customFormat="1" ht="12"/>
    <row r="373" s="441" customFormat="1" ht="12"/>
    <row r="374" s="441" customFormat="1" ht="12"/>
    <row r="375" s="441" customFormat="1" ht="12"/>
    <row r="376" s="441" customFormat="1" ht="12"/>
    <row r="377" s="441" customFormat="1" ht="12"/>
    <row r="378" s="441" customFormat="1" ht="12"/>
    <row r="379" s="441" customFormat="1" ht="12"/>
    <row r="380" s="441" customFormat="1" ht="12"/>
    <row r="381" s="441" customFormat="1" ht="12"/>
    <row r="382" s="441" customFormat="1" ht="12"/>
    <row r="383" s="441" customFormat="1" ht="12"/>
    <row r="384" s="441" customFormat="1" ht="12"/>
    <row r="385" s="441" customFormat="1" ht="12"/>
    <row r="386" s="441" customFormat="1" ht="12"/>
    <row r="387" s="441" customFormat="1" ht="12"/>
    <row r="388" s="441" customFormat="1" ht="12"/>
    <row r="389" s="441" customFormat="1" ht="12"/>
    <row r="390" s="441" customFormat="1" ht="12"/>
    <row r="391" s="441" customFormat="1" ht="12"/>
    <row r="392" s="441" customFormat="1" ht="12"/>
    <row r="393" s="441" customFormat="1" ht="12"/>
    <row r="394" s="441" customFormat="1" ht="12"/>
    <row r="395" s="441" customFormat="1" ht="12"/>
    <row r="396" s="441" customFormat="1" ht="12"/>
    <row r="397" s="441" customFormat="1" ht="12"/>
    <row r="398" s="441" customFormat="1" ht="12"/>
    <row r="399" s="441" customFormat="1" ht="12"/>
    <row r="400" s="441" customFormat="1" ht="12"/>
    <row r="401" s="441" customFormat="1" ht="12"/>
    <row r="402" s="441" customFormat="1" ht="12"/>
    <row r="403" s="441" customFormat="1" ht="12"/>
    <row r="404" s="441" customFormat="1" ht="12"/>
    <row r="405" s="441" customFormat="1" ht="12"/>
    <row r="406" s="441" customFormat="1" ht="12"/>
    <row r="407" s="441" customFormat="1" ht="12"/>
    <row r="408" s="441" customFormat="1" ht="12"/>
    <row r="409" s="441" customFormat="1" ht="12"/>
    <row r="410" s="441" customFormat="1" ht="12"/>
    <row r="411" s="441" customFormat="1" ht="12"/>
    <row r="412" s="441" customFormat="1" ht="12"/>
    <row r="413" s="441" customFormat="1" ht="12"/>
    <row r="414" s="441" customFormat="1" ht="12"/>
    <row r="415" s="441" customFormat="1" ht="12"/>
    <row r="416" s="441" customFormat="1" ht="12"/>
    <row r="417" s="441" customFormat="1" ht="12"/>
    <row r="418" s="441" customFormat="1" ht="12"/>
    <row r="419" s="441" customFormat="1" ht="12"/>
    <row r="420" s="441" customFormat="1" ht="12"/>
    <row r="421" s="441" customFormat="1" ht="12"/>
    <row r="422" s="441" customFormat="1" ht="12"/>
    <row r="423" s="441" customFormat="1" ht="12"/>
    <row r="424" s="441" customFormat="1" ht="12"/>
    <row r="425" s="441" customFormat="1" ht="12"/>
    <row r="426" s="441" customFormat="1" ht="12"/>
    <row r="427" s="441" customFormat="1" ht="12"/>
    <row r="428" s="441" customFormat="1" ht="12"/>
    <row r="429" s="441" customFormat="1" ht="12"/>
    <row r="430" s="441" customFormat="1" ht="12"/>
    <row r="431" s="441" customFormat="1" ht="12"/>
    <row r="432" s="441" customFormat="1" ht="12"/>
    <row r="433" s="441" customFormat="1" ht="12"/>
    <row r="434" s="441" customFormat="1" ht="12"/>
    <row r="435" s="441" customFormat="1" ht="12"/>
    <row r="436" s="441" customFormat="1" ht="12"/>
    <row r="437" s="441" customFormat="1" ht="12"/>
    <row r="438" s="441" customFormat="1" ht="12"/>
    <row r="439" s="441" customFormat="1" ht="12"/>
    <row r="440" s="441" customFormat="1" ht="12"/>
    <row r="441" s="441" customFormat="1" ht="12"/>
    <row r="442" s="441" customFormat="1" ht="12"/>
    <row r="443" s="441" customFormat="1" ht="12"/>
    <row r="444" s="441" customFormat="1" ht="12"/>
    <row r="445" s="441" customFormat="1" ht="12"/>
    <row r="446" s="441" customFormat="1" ht="12"/>
    <row r="447" s="441" customFormat="1" ht="12"/>
    <row r="448" s="441" customFormat="1" ht="12"/>
    <row r="449" s="441" customFormat="1" ht="12"/>
    <row r="450" s="441" customFormat="1" ht="12"/>
    <row r="451" s="441" customFormat="1" ht="12"/>
    <row r="452" s="441" customFormat="1" ht="12"/>
    <row r="453" s="441" customFormat="1" ht="12"/>
    <row r="454" s="441" customFormat="1" ht="12"/>
    <row r="455" s="441" customFormat="1" ht="12"/>
    <row r="456" s="441" customFormat="1" ht="12"/>
    <row r="457" s="441" customFormat="1" ht="12"/>
    <row r="458" s="441" customFormat="1" ht="12"/>
    <row r="459" s="441" customFormat="1" ht="12"/>
    <row r="460" s="441" customFormat="1" ht="12"/>
    <row r="461" s="441" customFormat="1" ht="12"/>
    <row r="462" s="441" customFormat="1" ht="12"/>
    <row r="463" s="441" customFormat="1" ht="12"/>
    <row r="464" s="441" customFormat="1" ht="12"/>
    <row r="465" s="441" customFormat="1" ht="12"/>
    <row r="466" s="441" customFormat="1" ht="12"/>
    <row r="467" s="441" customFormat="1" ht="12"/>
    <row r="468" s="441" customFormat="1" ht="12"/>
    <row r="469" s="441" customFormat="1" ht="12"/>
    <row r="470" s="441" customFormat="1" ht="12"/>
  </sheetData>
  <sheetProtection password="EF65" sheet="1" objects="1" scenarios="1"/>
  <mergeCells count="37">
    <mergeCell ref="A25:I51"/>
    <mergeCell ref="A53:I53"/>
    <mergeCell ref="A21:I21"/>
    <mergeCell ref="A22:I22"/>
    <mergeCell ref="A23:C23"/>
    <mergeCell ref="D23:F23"/>
    <mergeCell ref="H23:I23"/>
    <mergeCell ref="A24:C24"/>
    <mergeCell ref="D24:F24"/>
    <mergeCell ref="G24:I24"/>
    <mergeCell ref="A14:I14"/>
    <mergeCell ref="A15:C15"/>
    <mergeCell ref="E15:I15"/>
    <mergeCell ref="A16:I19"/>
    <mergeCell ref="B20:C20"/>
    <mergeCell ref="D20:I20"/>
    <mergeCell ref="A13:F13"/>
    <mergeCell ref="G13:I13"/>
    <mergeCell ref="A7:I7"/>
    <mergeCell ref="A8:B8"/>
    <mergeCell ref="C8:F8"/>
    <mergeCell ref="H8:I8"/>
    <mergeCell ref="A9:B9"/>
    <mergeCell ref="C9:F9"/>
    <mergeCell ref="G9:I9"/>
    <mergeCell ref="B10:I10"/>
    <mergeCell ref="A11:I11"/>
    <mergeCell ref="A12:C12"/>
    <mergeCell ref="D12:E12"/>
    <mergeCell ref="F12:I12"/>
    <mergeCell ref="A1:I2"/>
    <mergeCell ref="A3:I3"/>
    <mergeCell ref="A4:I4"/>
    <mergeCell ref="A5:I5"/>
    <mergeCell ref="A6:E6"/>
    <mergeCell ref="F6:G6"/>
    <mergeCell ref="H6:I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3DD8BA0-8EC6-4D56-BAA6-B9389285C4E7}">
  <sheetPr>
    <tabColor theme="6" tint="0.599990010261536"/>
    <pageSetUpPr fitToPage="1"/>
  </sheetPr>
  <dimension ref="A1:CJ113"/>
  <sheetViews>
    <sheetView workbookViewId="0" topLeftCell="A1">
      <selection pane="topLeft" activeCell="A11" sqref="A11:W1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5" width="9.28571428571429" customWidth="1"/>
    <col min="46" max="49" width="9.28571428571429" style="22" customWidth="1"/>
    <col min="50" max="54" width="4.71428571428571" style="22" hidden="1" customWidth="1"/>
    <col min="55" max="64" width="4.71428571428571" style="21" hidden="1" customWidth="1"/>
    <col min="65" max="88" width="9.14285714285714" style="21"/>
  </cols>
  <sheetData>
    <row r="1" spans="1:49" ht="21.95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2097" t="s">
        <v>357</v>
      </c>
      <c r="U1" s="2098"/>
      <c r="V1" s="2098"/>
      <c r="W1" s="2098"/>
      <c r="X1" s="2098"/>
      <c r="Y1" s="2098"/>
      <c r="Z1" s="2098"/>
      <c r="AA1" s="2099"/>
      <c r="AB1" s="73"/>
      <c r="AC1" s="73"/>
      <c r="AD1" s="558"/>
      <c r="AE1" s="558"/>
      <c r="AF1" s="2100" t="s">
        <v>3755</v>
      </c>
      <c r="AG1" s="2101"/>
      <c r="AH1" s="2101"/>
      <c r="AI1" s="2101"/>
      <c r="AJ1" s="2101"/>
      <c r="AK1" s="2101"/>
      <c r="AL1" s="2101"/>
      <c r="AM1" s="2101"/>
      <c r="AN1" s="2101"/>
      <c r="AO1" s="2101"/>
      <c r="AP1" s="2101"/>
      <c r="AQ1" s="2101"/>
      <c r="AR1" s="2102"/>
      <c r="AS1" s="355"/>
      <c r="AT1" s="2065" t="s">
        <v>3634</v>
      </c>
      <c r="AU1" s="2066"/>
      <c r="AV1" s="2066"/>
      <c r="AW1" s="355"/>
    </row>
    <row r="2" spans="1:49" ht="18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559"/>
      <c r="S2" s="73"/>
      <c r="T2" s="2112" t="s">
        <v>358</v>
      </c>
      <c r="U2" s="2091"/>
      <c r="V2" s="2091"/>
      <c r="W2" s="2091"/>
      <c r="X2" s="2091"/>
      <c r="Y2" s="2091"/>
      <c r="Z2" s="2091"/>
      <c r="AA2" s="2113"/>
      <c r="AB2" s="73"/>
      <c r="AC2" s="559"/>
      <c r="AD2" s="558"/>
      <c r="AE2" s="558"/>
      <c r="AF2" s="2103"/>
      <c r="AG2" s="2104"/>
      <c r="AH2" s="2104"/>
      <c r="AI2" s="2104"/>
      <c r="AJ2" s="2104"/>
      <c r="AK2" s="2104"/>
      <c r="AL2" s="2104"/>
      <c r="AM2" s="2104"/>
      <c r="AN2" s="2104"/>
      <c r="AO2" s="2104"/>
      <c r="AP2" s="2104"/>
      <c r="AQ2" s="2104"/>
      <c r="AR2" s="2105"/>
      <c r="AS2" s="355"/>
      <c r="AT2" s="536" t="s">
        <v>3588</v>
      </c>
      <c r="AU2" s="536"/>
      <c r="AV2" s="536" t="s">
        <v>3589</v>
      </c>
      <c r="AW2" s="355"/>
    </row>
    <row r="3" spans="1:49" ht="14.2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2114" t="s">
        <v>359</v>
      </c>
      <c r="U3" s="2091"/>
      <c r="V3" s="2091"/>
      <c r="W3" s="2091"/>
      <c r="X3" s="2091"/>
      <c r="Y3" s="2091"/>
      <c r="Z3" s="2091"/>
      <c r="AA3" s="2113"/>
      <c r="AB3" s="73"/>
      <c r="AC3" s="73"/>
      <c r="AD3" s="558"/>
      <c r="AE3" s="558"/>
      <c r="AF3" s="2103"/>
      <c r="AG3" s="2104"/>
      <c r="AH3" s="2104"/>
      <c r="AI3" s="2104"/>
      <c r="AJ3" s="2104"/>
      <c r="AK3" s="2104"/>
      <c r="AL3" s="2104"/>
      <c r="AM3" s="2104"/>
      <c r="AN3" s="2104"/>
      <c r="AO3" s="2104"/>
      <c r="AP3" s="2104"/>
      <c r="AQ3" s="2104"/>
      <c r="AR3" s="2105"/>
      <c r="AS3" s="355"/>
      <c r="AT3" s="646" t="s">
        <v>258</v>
      </c>
      <c r="AU3" s="355"/>
      <c r="AV3" s="646"/>
      <c r="AW3" s="355"/>
    </row>
    <row r="4" spans="1:49" ht="21.95" customHeight="1">
      <c r="A4" s="2115"/>
      <c r="B4" s="2115"/>
      <c r="C4" s="2115"/>
      <c r="D4" s="2115"/>
      <c r="E4" s="2115"/>
      <c r="F4" s="2116" t="s">
        <v>356</v>
      </c>
      <c r="G4" s="2117"/>
      <c r="H4" s="2117"/>
      <c r="I4" s="2117"/>
      <c r="J4" s="2117"/>
      <c r="K4" s="2117"/>
      <c r="L4" s="2117"/>
      <c r="M4" s="2117"/>
      <c r="N4" s="2117"/>
      <c r="O4" s="2117"/>
      <c r="P4" s="2117"/>
      <c r="Q4" s="2117"/>
      <c r="R4" s="2117"/>
      <c r="S4" s="2117"/>
      <c r="T4" s="2118">
        <v>2022</v>
      </c>
      <c r="U4" s="2119"/>
      <c r="V4" s="2119"/>
      <c r="W4" s="2119"/>
      <c r="X4" s="2119"/>
      <c r="Y4" s="2119"/>
      <c r="Z4" s="2119"/>
      <c r="AA4" s="2120"/>
      <c r="AB4" s="73"/>
      <c r="AC4" s="73"/>
      <c r="AD4" s="558"/>
      <c r="AE4" s="558"/>
      <c r="AF4" s="2103"/>
      <c r="AG4" s="2104"/>
      <c r="AH4" s="2104"/>
      <c r="AI4" s="2104"/>
      <c r="AJ4" s="2104"/>
      <c r="AK4" s="2104"/>
      <c r="AL4" s="2104"/>
      <c r="AM4" s="2104"/>
      <c r="AN4" s="2104"/>
      <c r="AO4" s="2104"/>
      <c r="AP4" s="2104"/>
      <c r="AQ4" s="2104"/>
      <c r="AR4" s="2105"/>
      <c r="AS4" s="355"/>
      <c r="AT4" s="355"/>
      <c r="AU4" s="355"/>
      <c r="AV4" s="355"/>
      <c r="AW4" s="355"/>
    </row>
    <row r="5" spans="1:45" ht="15" customHeight="1">
      <c r="A5" s="2121" t="s">
        <v>3895</v>
      </c>
      <c r="B5" s="2121"/>
      <c r="C5" s="2121"/>
      <c r="D5" s="2121"/>
      <c r="E5" s="2121"/>
      <c r="F5" s="2121"/>
      <c r="G5" s="2121"/>
      <c r="H5" s="2121"/>
      <c r="I5" s="2121"/>
      <c r="J5" s="2121"/>
      <c r="K5" s="2121"/>
      <c r="L5" s="2121"/>
      <c r="M5" s="2121"/>
      <c r="N5" s="2121"/>
      <c r="O5" s="2121"/>
      <c r="P5" s="2121"/>
      <c r="Q5" s="2121"/>
      <c r="R5" s="2121"/>
      <c r="S5" s="560"/>
      <c r="T5" s="1154"/>
      <c r="U5" s="733"/>
      <c r="V5" s="733"/>
      <c r="W5" s="733"/>
      <c r="X5" s="733"/>
      <c r="Y5" s="733"/>
      <c r="Z5" s="733"/>
      <c r="AA5" s="733"/>
      <c r="AB5" s="73"/>
      <c r="AC5" s="73"/>
      <c r="AD5" s="558"/>
      <c r="AE5" s="558"/>
      <c r="AF5" s="2103"/>
      <c r="AG5" s="2104"/>
      <c r="AH5" s="2104"/>
      <c r="AI5" s="2104"/>
      <c r="AJ5" s="2104"/>
      <c r="AK5" s="2104"/>
      <c r="AL5" s="2104"/>
      <c r="AM5" s="2104"/>
      <c r="AN5" s="2104"/>
      <c r="AO5" s="2104"/>
      <c r="AP5" s="2104"/>
      <c r="AQ5" s="2104"/>
      <c r="AR5" s="2105"/>
      <c r="AS5" s="22"/>
    </row>
    <row r="6" spans="1:45" ht="15" customHeight="1">
      <c r="A6" s="2121"/>
      <c r="B6" s="2121"/>
      <c r="C6" s="2121"/>
      <c r="D6" s="2121"/>
      <c r="E6" s="2121"/>
      <c r="F6" s="2121"/>
      <c r="G6" s="2121"/>
      <c r="H6" s="2121"/>
      <c r="I6" s="2121"/>
      <c r="J6" s="2121"/>
      <c r="K6" s="2121"/>
      <c r="L6" s="2121"/>
      <c r="M6" s="2121"/>
      <c r="N6" s="2121"/>
      <c r="O6" s="2121"/>
      <c r="P6" s="2121"/>
      <c r="Q6" s="2121"/>
      <c r="R6" s="2121"/>
      <c r="S6" s="560"/>
      <c r="T6" s="73"/>
      <c r="U6" s="2087" t="s">
        <v>64</v>
      </c>
      <c r="V6" s="2087"/>
      <c r="W6" s="2087"/>
      <c r="X6" s="2087"/>
      <c r="Y6" s="2087"/>
      <c r="Z6" s="2087"/>
      <c r="AA6" s="73"/>
      <c r="AB6" s="73"/>
      <c r="AC6" s="73"/>
      <c r="AD6" s="73"/>
      <c r="AE6" s="73"/>
      <c r="AF6" s="2106"/>
      <c r="AG6" s="2107"/>
      <c r="AH6" s="2107"/>
      <c r="AI6" s="2107"/>
      <c r="AJ6" s="2107"/>
      <c r="AK6" s="2107"/>
      <c r="AL6" s="2107"/>
      <c r="AM6" s="2107"/>
      <c r="AN6" s="2107"/>
      <c r="AO6" s="2107"/>
      <c r="AP6" s="2107"/>
      <c r="AQ6" s="2107"/>
      <c r="AR6" s="2108"/>
      <c r="AS6" s="22"/>
    </row>
    <row r="7" spans="1:45" ht="10.5" customHeight="1">
      <c r="A7" s="2088" t="s">
        <v>3530</v>
      </c>
      <c r="B7" s="2089"/>
      <c r="C7" s="2089"/>
      <c r="D7" s="2089"/>
      <c r="E7" s="2089"/>
      <c r="F7" s="2089"/>
      <c r="G7" s="2089"/>
      <c r="H7" s="2089"/>
      <c r="I7" s="2089"/>
      <c r="J7" s="2089"/>
      <c r="K7" s="2089"/>
      <c r="L7" s="2089"/>
      <c r="M7" s="2089"/>
      <c r="N7" s="2089"/>
      <c r="O7" s="2089"/>
      <c r="P7" s="2089"/>
      <c r="Q7" s="2089"/>
      <c r="R7" s="2089"/>
      <c r="S7" s="2089"/>
      <c r="T7" s="2090" t="s">
        <v>329</v>
      </c>
      <c r="U7" s="2091"/>
      <c r="V7" s="2091"/>
      <c r="W7" s="561" t="s">
        <v>258</v>
      </c>
      <c r="X7" s="2092" t="s">
        <v>330</v>
      </c>
      <c r="Y7" s="2093"/>
      <c r="Z7" s="561"/>
      <c r="AA7" s="73"/>
      <c r="AB7" s="73"/>
      <c r="AC7" s="73"/>
      <c r="AD7" s="73"/>
      <c r="AE7" s="73"/>
      <c r="AF7" s="2109"/>
      <c r="AG7" s="2110"/>
      <c r="AH7" s="2110"/>
      <c r="AI7" s="2110"/>
      <c r="AJ7" s="2110"/>
      <c r="AK7" s="2110"/>
      <c r="AL7" s="2110"/>
      <c r="AM7" s="2110"/>
      <c r="AN7" s="2110"/>
      <c r="AO7" s="2110"/>
      <c r="AP7" s="2110"/>
      <c r="AQ7" s="2110"/>
      <c r="AR7" s="2111"/>
      <c r="AS7" s="22"/>
    </row>
    <row r="8" spans="1:45" ht="12.75">
      <c r="A8" s="2094" t="s">
        <v>91</v>
      </c>
      <c r="B8" s="2094"/>
      <c r="C8" s="2094"/>
      <c r="D8" s="2094"/>
      <c r="E8" s="2094"/>
      <c r="F8" s="2094"/>
      <c r="G8" s="2094"/>
      <c r="H8" s="2094"/>
      <c r="I8" s="2094"/>
      <c r="J8" s="2094"/>
      <c r="K8" s="2094"/>
      <c r="L8" s="2094"/>
      <c r="M8" s="2094"/>
      <c r="N8" s="2094"/>
      <c r="O8" s="2094"/>
      <c r="P8" s="2094"/>
      <c r="Q8" s="2094"/>
      <c r="R8" s="2094"/>
      <c r="S8" s="2094"/>
      <c r="T8" s="2094"/>
      <c r="U8" s="2094"/>
      <c r="V8" s="2094"/>
      <c r="W8" s="2094"/>
      <c r="X8" s="2094"/>
      <c r="Y8" s="2094"/>
      <c r="Z8" s="2094"/>
      <c r="AA8" s="2094"/>
      <c r="AB8" s="2094"/>
      <c r="AC8" s="2094"/>
      <c r="AD8" s="2094"/>
      <c r="AE8" s="2094"/>
      <c r="AF8" s="2094"/>
      <c r="AG8" s="2094"/>
      <c r="AH8" s="2094"/>
      <c r="AI8" s="2094"/>
      <c r="AJ8" s="2094"/>
      <c r="AK8" s="2094"/>
      <c r="AL8" s="2094"/>
      <c r="AM8" s="2094"/>
      <c r="AN8" s="2094"/>
      <c r="AO8" s="2094"/>
      <c r="AP8" s="2094"/>
      <c r="AQ8" s="2094"/>
      <c r="AR8" s="2094"/>
      <c r="AS8" s="22"/>
    </row>
    <row r="9" spans="1:45" ht="15" customHeight="1">
      <c r="A9" s="1968" t="s">
        <v>121</v>
      </c>
      <c r="B9" s="2095"/>
      <c r="C9" s="2095"/>
      <c r="D9" s="2095"/>
      <c r="E9" s="2095"/>
      <c r="F9" s="2095"/>
      <c r="G9" s="2095"/>
      <c r="H9" s="2095"/>
      <c r="I9" s="2095"/>
      <c r="J9" s="2095"/>
      <c r="K9" s="2095"/>
      <c r="L9" s="2095"/>
      <c r="M9" s="2095"/>
      <c r="N9" s="2095"/>
      <c r="O9" s="2095"/>
      <c r="P9" s="2095"/>
      <c r="Q9" s="2095"/>
      <c r="R9" s="2095"/>
      <c r="S9" s="2095"/>
      <c r="T9" s="2095"/>
      <c r="U9" s="2095"/>
      <c r="V9" s="2095"/>
      <c r="W9" s="2095"/>
      <c r="X9" s="2095"/>
      <c r="Y9" s="2095"/>
      <c r="Z9" s="2095"/>
      <c r="AA9" s="2095"/>
      <c r="AB9" s="2095"/>
      <c r="AC9" s="2095"/>
      <c r="AD9" s="2095"/>
      <c r="AE9" s="2095"/>
      <c r="AF9" s="2095"/>
      <c r="AG9" s="2095"/>
      <c r="AH9" s="2095"/>
      <c r="AI9" s="2095"/>
      <c r="AJ9" s="2095"/>
      <c r="AK9" s="2095"/>
      <c r="AL9" s="2095"/>
      <c r="AM9" s="2095"/>
      <c r="AN9" s="2095"/>
      <c r="AO9" s="2095"/>
      <c r="AP9" s="2095"/>
      <c r="AQ9" s="2095"/>
      <c r="AR9" s="2096"/>
      <c r="AS9" s="22"/>
    </row>
    <row r="10" spans="1:88" s="565" customFormat="1" ht="9.95" customHeight="1">
      <c r="A10" s="2059" t="s">
        <v>98</v>
      </c>
      <c r="B10" s="2067"/>
      <c r="C10" s="2067"/>
      <c r="D10" s="2067"/>
      <c r="E10" s="2067"/>
      <c r="F10" s="2067"/>
      <c r="G10" s="2067"/>
      <c r="H10" s="2067"/>
      <c r="I10" s="2067"/>
      <c r="J10" s="2067"/>
      <c r="K10" s="2067"/>
      <c r="L10" s="2067"/>
      <c r="M10" s="2067"/>
      <c r="N10" s="2067"/>
      <c r="O10" s="2067"/>
      <c r="P10" s="2067"/>
      <c r="Q10" s="2067"/>
      <c r="R10" s="2067"/>
      <c r="S10" s="2067"/>
      <c r="T10" s="2067"/>
      <c r="U10" s="2067"/>
      <c r="V10" s="2067"/>
      <c r="W10" s="2067"/>
      <c r="X10" s="562"/>
      <c r="Y10" s="2067" t="s">
        <v>97</v>
      </c>
      <c r="Z10" s="2067"/>
      <c r="AA10" s="2067"/>
      <c r="AB10" s="2067"/>
      <c r="AC10" s="2067"/>
      <c r="AD10" s="2067"/>
      <c r="AE10" s="2067"/>
      <c r="AF10" s="2067"/>
      <c r="AG10" s="2067"/>
      <c r="AH10" s="2067"/>
      <c r="AI10" s="2067"/>
      <c r="AJ10" s="2067"/>
      <c r="AK10" s="2067"/>
      <c r="AL10" s="2067"/>
      <c r="AM10" s="562"/>
      <c r="AN10" s="2067" t="s">
        <v>116</v>
      </c>
      <c r="AO10" s="2067"/>
      <c r="AP10" s="2067"/>
      <c r="AQ10" s="2067"/>
      <c r="AR10" s="2083"/>
      <c r="AS10" s="22"/>
      <c r="AT10" s="563"/>
      <c r="AU10" s="563"/>
      <c r="AV10" s="563"/>
      <c r="AW10" s="563"/>
      <c r="AX10" s="563"/>
      <c r="AY10" s="563"/>
      <c r="AZ10" s="563"/>
      <c r="BA10" s="563"/>
      <c r="BB10" s="563"/>
      <c r="BC10" s="564"/>
      <c r="BD10" s="564"/>
      <c r="BE10" s="564"/>
      <c r="BF10" s="564"/>
      <c r="BG10" s="564"/>
      <c r="BH10" s="564"/>
      <c r="BI10" s="564"/>
      <c r="BJ10" s="564"/>
      <c r="BK10" s="564"/>
      <c r="BL10" s="564"/>
      <c r="BM10" s="564"/>
      <c r="BN10" s="564"/>
      <c r="BO10" s="564"/>
      <c r="BP10" s="564"/>
      <c r="BQ10" s="564"/>
      <c r="BR10" s="564"/>
      <c r="BS10" s="564"/>
      <c r="BT10" s="564"/>
      <c r="BU10" s="564"/>
      <c r="BV10" s="564"/>
      <c r="BW10" s="564"/>
      <c r="BX10" s="564"/>
      <c r="BY10" s="564"/>
      <c r="BZ10" s="564"/>
      <c r="CA10" s="564"/>
      <c r="CB10" s="564"/>
      <c r="CC10" s="564"/>
      <c r="CD10" s="564"/>
      <c r="CE10" s="564"/>
      <c r="CF10" s="564"/>
      <c r="CG10" s="564"/>
      <c r="CH10" s="564"/>
      <c r="CI10" s="564"/>
      <c r="CJ10" s="564"/>
    </row>
    <row r="11" spans="1:88" s="103" customFormat="1" ht="24" customHeight="1">
      <c r="A11" s="2072" t="str">
        <f>+CONCATENATE(ZAKL_DATA!B5)</f>
        <v/>
      </c>
      <c r="B11" s="2073"/>
      <c r="C11" s="2073"/>
      <c r="D11" s="2073"/>
      <c r="E11" s="2073"/>
      <c r="F11" s="2073"/>
      <c r="G11" s="2073"/>
      <c r="H11" s="2073"/>
      <c r="I11" s="2073"/>
      <c r="J11" s="2073"/>
      <c r="K11" s="2073"/>
      <c r="L11" s="2073"/>
      <c r="M11" s="2073"/>
      <c r="N11" s="2073"/>
      <c r="O11" s="2073"/>
      <c r="P11" s="2073"/>
      <c r="Q11" s="2073"/>
      <c r="R11" s="2073"/>
      <c r="S11" s="2073"/>
      <c r="T11" s="2073"/>
      <c r="U11" s="2073"/>
      <c r="V11" s="2073"/>
      <c r="W11" s="2074"/>
      <c r="X11" s="566"/>
      <c r="Y11" s="2072" t="str">
        <f>+CONCATENATE(+ZAKL_DATA!B4)</f>
        <v/>
      </c>
      <c r="Z11" s="2073"/>
      <c r="AA11" s="2073"/>
      <c r="AB11" s="2073"/>
      <c r="AC11" s="2073"/>
      <c r="AD11" s="2073"/>
      <c r="AE11" s="2073"/>
      <c r="AF11" s="2073"/>
      <c r="AG11" s="2073"/>
      <c r="AH11" s="2073"/>
      <c r="AI11" s="2073"/>
      <c r="AJ11" s="2073"/>
      <c r="AK11" s="2073"/>
      <c r="AL11" s="2074"/>
      <c r="AM11" s="566"/>
      <c r="AN11" s="2084" t="str">
        <f>+CONCATENATE(+ZAKL_DATA!B7)</f>
        <v/>
      </c>
      <c r="AO11" s="2085"/>
      <c r="AP11" s="2085"/>
      <c r="AQ11" s="2085"/>
      <c r="AR11" s="2086"/>
      <c r="AS11" s="22"/>
      <c r="AT11" s="106"/>
      <c r="AU11" s="106"/>
      <c r="AV11" s="106"/>
      <c r="AW11" s="106"/>
      <c r="AX11" s="106"/>
      <c r="AY11" s="106"/>
      <c r="AZ11" s="106"/>
      <c r="BA11" s="106"/>
      <c r="BB11" s="106"/>
      <c r="BC11" s="263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</row>
    <row r="12" spans="1:88" s="565" customFormat="1" ht="9.95" customHeight="1">
      <c r="A12" s="2059" t="s">
        <v>271</v>
      </c>
      <c r="B12" s="2067"/>
      <c r="C12" s="2067"/>
      <c r="D12" s="2067"/>
      <c r="E12" s="2067"/>
      <c r="F12" s="2067"/>
      <c r="G12" s="2067"/>
      <c r="H12" s="2067"/>
      <c r="I12" s="2067"/>
      <c r="J12" s="2067"/>
      <c r="K12" s="2067"/>
      <c r="L12" s="2067"/>
      <c r="M12" s="2067"/>
      <c r="N12" s="2067"/>
      <c r="O12" s="2067"/>
      <c r="P12" s="2067"/>
      <c r="Q12" s="2067"/>
      <c r="R12" s="2067"/>
      <c r="S12" s="2067"/>
      <c r="T12" s="2067"/>
      <c r="U12" s="2067"/>
      <c r="V12" s="2067"/>
      <c r="W12" s="2067"/>
      <c r="X12" s="562"/>
      <c r="Y12" s="2068" t="s">
        <v>3632</v>
      </c>
      <c r="Z12" s="2068"/>
      <c r="AA12" s="2068"/>
      <c r="AB12" s="2068"/>
      <c r="AC12" s="2067"/>
      <c r="AD12" s="2067"/>
      <c r="AE12" s="2067"/>
      <c r="AF12" s="2067"/>
      <c r="AG12" s="567"/>
      <c r="AH12" s="2069" t="s">
        <v>3531</v>
      </c>
      <c r="AI12" s="2070"/>
      <c r="AJ12" s="2070"/>
      <c r="AK12" s="2070"/>
      <c r="AL12" s="2070"/>
      <c r="AM12" s="2070"/>
      <c r="AN12" s="2070"/>
      <c r="AO12" s="2070"/>
      <c r="AP12" s="2070"/>
      <c r="AQ12" s="2070"/>
      <c r="AR12" s="2071"/>
      <c r="AS12" s="22"/>
      <c r="AT12" s="563"/>
      <c r="AU12" s="563"/>
      <c r="AV12" s="563"/>
      <c r="AW12" s="563"/>
      <c r="AX12" s="563"/>
      <c r="AY12" s="563"/>
      <c r="AZ12" s="563"/>
      <c r="BA12" s="563"/>
      <c r="BB12" s="563"/>
      <c r="BC12" s="564"/>
      <c r="BD12" s="564"/>
      <c r="BE12" s="564"/>
      <c r="BF12" s="564"/>
      <c r="BG12" s="564"/>
      <c r="BH12" s="564"/>
      <c r="BI12" s="564"/>
      <c r="BJ12" s="564"/>
      <c r="BK12" s="564"/>
      <c r="BL12" s="564"/>
      <c r="BM12" s="564"/>
      <c r="BN12" s="564"/>
      <c r="BO12" s="564"/>
      <c r="BP12" s="564"/>
      <c r="BQ12" s="564"/>
      <c r="BR12" s="564"/>
      <c r="BS12" s="564"/>
      <c r="BT12" s="564"/>
      <c r="BU12" s="564"/>
      <c r="BV12" s="564"/>
      <c r="BW12" s="564"/>
      <c r="BX12" s="564"/>
      <c r="BY12" s="564"/>
      <c r="BZ12" s="564"/>
      <c r="CA12" s="564"/>
      <c r="CB12" s="564"/>
      <c r="CC12" s="564"/>
      <c r="CD12" s="564"/>
      <c r="CE12" s="564"/>
      <c r="CF12" s="564"/>
      <c r="CG12" s="564"/>
      <c r="CH12" s="564"/>
      <c r="CI12" s="564"/>
      <c r="CJ12" s="564"/>
    </row>
    <row r="13" spans="1:88" s="103" customFormat="1" ht="24" customHeight="1">
      <c r="A13" s="2072" t="str">
        <f>+CONCATENATE(+ZAKL_DATA!B16)</f>
        <v/>
      </c>
      <c r="B13" s="2073"/>
      <c r="C13" s="2073"/>
      <c r="D13" s="2073"/>
      <c r="E13" s="2073"/>
      <c r="F13" s="2073"/>
      <c r="G13" s="2073"/>
      <c r="H13" s="2073"/>
      <c r="I13" s="2073"/>
      <c r="J13" s="2073"/>
      <c r="K13" s="2073"/>
      <c r="L13" s="2073"/>
      <c r="M13" s="2073"/>
      <c r="N13" s="2073"/>
      <c r="O13" s="2073"/>
      <c r="P13" s="2073"/>
      <c r="Q13" s="2073"/>
      <c r="R13" s="2073"/>
      <c r="S13" s="2073"/>
      <c r="T13" s="2073"/>
      <c r="U13" s="2073"/>
      <c r="V13" s="2073"/>
      <c r="W13" s="2074"/>
      <c r="X13" s="566"/>
      <c r="Y13" s="2075" t="str">
        <f>+CONCATENATE(ZAKL_DATA!B17)</f>
        <v/>
      </c>
      <c r="Z13" s="2076"/>
      <c r="AA13" s="2076"/>
      <c r="AB13" s="2076"/>
      <c r="AC13" s="2077"/>
      <c r="AD13" s="2077"/>
      <c r="AE13" s="2077"/>
      <c r="AF13" s="2078"/>
      <c r="AG13" s="566"/>
      <c r="AH13" s="2079" t="str">
        <f>+CONCATENATE('DAP1'!A9)</f>
        <v/>
      </c>
      <c r="AI13" s="2080"/>
      <c r="AJ13" s="2080"/>
      <c r="AK13" s="2080"/>
      <c r="AL13" s="2080"/>
      <c r="AM13" s="2080"/>
      <c r="AN13" s="2081"/>
      <c r="AO13" s="2081"/>
      <c r="AP13" s="2081"/>
      <c r="AQ13" s="2081"/>
      <c r="AR13" s="2082"/>
      <c r="AS13" s="22"/>
      <c r="AT13" s="106"/>
      <c r="AU13" s="106"/>
      <c r="AV13" s="106"/>
      <c r="AW13" s="106"/>
      <c r="AX13" s="106"/>
      <c r="AY13" s="106"/>
      <c r="AZ13" s="106"/>
      <c r="BA13" s="106"/>
      <c r="BB13" s="106"/>
      <c r="BC13" s="263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</row>
    <row r="14" spans="1:88" s="565" customFormat="1" ht="12.6" customHeight="1">
      <c r="A14" s="2133" t="s">
        <v>214</v>
      </c>
      <c r="B14" s="2068"/>
      <c r="C14" s="2068"/>
      <c r="D14" s="2068"/>
      <c r="E14" s="2068"/>
      <c r="F14" s="2068"/>
      <c r="G14" s="562"/>
      <c r="H14" s="2068" t="s">
        <v>272</v>
      </c>
      <c r="I14" s="2068"/>
      <c r="J14" s="2068"/>
      <c r="K14" s="2068"/>
      <c r="L14" s="2068"/>
      <c r="M14" s="2068"/>
      <c r="N14" s="2068"/>
      <c r="O14" s="2068"/>
      <c r="P14" s="2068"/>
      <c r="Q14" s="2068"/>
      <c r="R14" s="2068"/>
      <c r="S14" s="2068"/>
      <c r="T14" s="2068"/>
      <c r="U14" s="2068"/>
      <c r="V14" s="2068"/>
      <c r="W14" s="2068"/>
      <c r="X14" s="2068"/>
      <c r="Y14" s="2068"/>
      <c r="Z14" s="2068"/>
      <c r="AA14" s="2068"/>
      <c r="AB14" s="2068"/>
      <c r="AC14" s="2068"/>
      <c r="AD14" s="2068"/>
      <c r="AE14" s="2068"/>
      <c r="AF14" s="2068"/>
      <c r="AG14" s="2068"/>
      <c r="AH14" s="2068"/>
      <c r="AI14" s="2068"/>
      <c r="AJ14" s="562"/>
      <c r="AK14" s="2147" t="s">
        <v>3532</v>
      </c>
      <c r="AL14" s="2147"/>
      <c r="AM14" s="2147"/>
      <c r="AN14" s="2147"/>
      <c r="AO14" s="2147"/>
      <c r="AP14" s="2147"/>
      <c r="AQ14" s="2147"/>
      <c r="AR14" s="2148"/>
      <c r="AS14" s="22"/>
      <c r="AT14" s="563"/>
      <c r="AU14" s="563"/>
      <c r="AV14" s="563"/>
      <c r="AW14" s="563"/>
      <c r="AX14" s="563"/>
      <c r="AY14" s="563"/>
      <c r="AZ14" s="563"/>
      <c r="BA14" s="563"/>
      <c r="BB14" s="563"/>
      <c r="BC14" s="564"/>
      <c r="BD14" s="564"/>
      <c r="BE14" s="564"/>
      <c r="BF14" s="564"/>
      <c r="BG14" s="564"/>
      <c r="BH14" s="564"/>
      <c r="BI14" s="564"/>
      <c r="BJ14" s="564"/>
      <c r="BK14" s="564"/>
      <c r="BL14" s="564"/>
      <c r="BM14" s="564"/>
      <c r="BN14" s="564"/>
      <c r="BO14" s="564"/>
      <c r="BP14" s="564"/>
      <c r="BQ14" s="564"/>
      <c r="BR14" s="564"/>
      <c r="BS14" s="564"/>
      <c r="BT14" s="564"/>
      <c r="BU14" s="564"/>
      <c r="BV14" s="564"/>
      <c r="BW14" s="564"/>
      <c r="BX14" s="564"/>
      <c r="BY14" s="564"/>
      <c r="BZ14" s="564"/>
      <c r="CA14" s="564"/>
      <c r="CB14" s="564"/>
      <c r="CC14" s="564"/>
      <c r="CD14" s="564"/>
      <c r="CE14" s="564"/>
      <c r="CF14" s="564"/>
      <c r="CG14" s="564"/>
      <c r="CH14" s="564"/>
      <c r="CI14" s="564"/>
      <c r="CJ14" s="564"/>
    </row>
    <row r="15" spans="1:88" s="103" customFormat="1" ht="24" customHeight="1">
      <c r="A15" s="2075" t="str">
        <f>CONCATENATE(+ZAKL_DATA!B19)</f>
        <v/>
      </c>
      <c r="B15" s="2077"/>
      <c r="C15" s="2077"/>
      <c r="D15" s="2077"/>
      <c r="E15" s="2077"/>
      <c r="F15" s="2078"/>
      <c r="G15" s="566"/>
      <c r="H15" s="2149" t="str">
        <f>+CONCATENATE(ZAKL_DATA!B18)</f>
        <v/>
      </c>
      <c r="I15" s="2150"/>
      <c r="J15" s="2150"/>
      <c r="K15" s="2150"/>
      <c r="L15" s="2150"/>
      <c r="M15" s="2150"/>
      <c r="N15" s="2150"/>
      <c r="O15" s="2150"/>
      <c r="P15" s="2150"/>
      <c r="Q15" s="2150"/>
      <c r="R15" s="2150"/>
      <c r="S15" s="2150"/>
      <c r="T15" s="2150"/>
      <c r="U15" s="2150"/>
      <c r="V15" s="2150"/>
      <c r="W15" s="2150"/>
      <c r="X15" s="2150"/>
      <c r="Y15" s="2150"/>
      <c r="Z15" s="2150"/>
      <c r="AA15" s="2150"/>
      <c r="AB15" s="2150"/>
      <c r="AC15" s="2150"/>
      <c r="AD15" s="2150"/>
      <c r="AE15" s="2150"/>
      <c r="AF15" s="2150"/>
      <c r="AG15" s="2150"/>
      <c r="AH15" s="2150"/>
      <c r="AI15" s="2151"/>
      <c r="AJ15" s="566"/>
      <c r="AK15" s="2152" t="str">
        <f>+CONCATENATE(+ZAKL_DATA!B10)</f>
        <v/>
      </c>
      <c r="AL15" s="2153"/>
      <c r="AM15" s="2153"/>
      <c r="AN15" s="2153"/>
      <c r="AO15" s="2153"/>
      <c r="AP15" s="2153"/>
      <c r="AQ15" s="2153"/>
      <c r="AR15" s="2154"/>
      <c r="AS15" s="22"/>
      <c r="AT15" s="106"/>
      <c r="AU15" s="106"/>
      <c r="AV15" s="106"/>
      <c r="AW15" s="106"/>
      <c r="AX15" s="106"/>
      <c r="AY15" s="106"/>
      <c r="AZ15" s="106"/>
      <c r="BA15" s="106"/>
      <c r="BB15" s="106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</row>
    <row r="16" spans="1:88" s="565" customFormat="1" ht="9.95" customHeight="1">
      <c r="A16" s="2127" t="s">
        <v>3533</v>
      </c>
      <c r="B16" s="2128"/>
      <c r="C16" s="2128"/>
      <c r="D16" s="2128"/>
      <c r="E16" s="2128"/>
      <c r="F16" s="2128"/>
      <c r="G16" s="2128"/>
      <c r="H16" s="2128"/>
      <c r="I16" s="2128"/>
      <c r="J16" s="2128"/>
      <c r="K16" s="2129"/>
      <c r="L16" s="2129"/>
      <c r="M16" s="2129"/>
      <c r="N16" s="2129"/>
      <c r="O16" s="2129"/>
      <c r="P16" s="2129"/>
      <c r="Q16" s="2129"/>
      <c r="R16" s="2129"/>
      <c r="S16" s="2129"/>
      <c r="T16" s="2129"/>
      <c r="U16" s="2129"/>
      <c r="V16" s="2129"/>
      <c r="W16" s="2129"/>
      <c r="X16" s="2129"/>
      <c r="Y16" s="2129"/>
      <c r="Z16" s="2129"/>
      <c r="AA16" s="2129"/>
      <c r="AB16" s="2129"/>
      <c r="AC16" s="2129"/>
      <c r="AD16" s="2129"/>
      <c r="AE16" s="2129"/>
      <c r="AF16" s="562"/>
      <c r="AG16" s="2068" t="s">
        <v>31</v>
      </c>
      <c r="AH16" s="2068"/>
      <c r="AI16" s="2068"/>
      <c r="AJ16" s="2068"/>
      <c r="AK16" s="2068"/>
      <c r="AL16" s="2068"/>
      <c r="AM16" s="2068"/>
      <c r="AN16" s="2068"/>
      <c r="AO16" s="2068"/>
      <c r="AP16" s="2068"/>
      <c r="AQ16" s="2068"/>
      <c r="AR16" s="2134"/>
      <c r="AS16" s="22"/>
      <c r="AT16" s="563"/>
      <c r="AU16" s="563"/>
      <c r="AV16" s="563"/>
      <c r="AW16" s="563"/>
      <c r="AX16" s="563"/>
      <c r="AY16" s="563"/>
      <c r="AZ16" s="563"/>
      <c r="BA16" s="563"/>
      <c r="BB16" s="563"/>
      <c r="BC16" s="564"/>
      <c r="BD16" s="564"/>
      <c r="BE16" s="564"/>
      <c r="BF16" s="564"/>
      <c r="BG16" s="564"/>
      <c r="BH16" s="564"/>
      <c r="BI16" s="564"/>
      <c r="BJ16" s="564"/>
      <c r="BK16" s="564"/>
      <c r="BL16" s="564"/>
      <c r="BM16" s="564"/>
      <c r="BN16" s="564"/>
      <c r="BO16" s="564"/>
      <c r="BP16" s="564"/>
      <c r="BQ16" s="564"/>
      <c r="BR16" s="564"/>
      <c r="BS16" s="564"/>
      <c r="BT16" s="564"/>
      <c r="BU16" s="564"/>
      <c r="BV16" s="564"/>
      <c r="BW16" s="564"/>
      <c r="BX16" s="564"/>
      <c r="BY16" s="564"/>
      <c r="BZ16" s="564"/>
      <c r="CA16" s="564"/>
      <c r="CB16" s="564"/>
      <c r="CC16" s="564"/>
      <c r="CD16" s="564"/>
      <c r="CE16" s="564"/>
      <c r="CF16" s="564"/>
      <c r="CG16" s="564"/>
      <c r="CH16" s="564"/>
      <c r="CI16" s="564"/>
      <c r="CJ16" s="564"/>
    </row>
    <row r="17" spans="1:88" s="103" customFormat="1" ht="24" customHeight="1">
      <c r="A17" s="2130" t="str">
        <f>+CONCATENATE(ZAKL_DATA!B32," / ",ZAKL_DATA!B33)</f>
        <v xml:space="preserve"> / </v>
      </c>
      <c r="B17" s="2131"/>
      <c r="C17" s="2131"/>
      <c r="D17" s="2131"/>
      <c r="E17" s="2131"/>
      <c r="F17" s="2131"/>
      <c r="G17" s="2131"/>
      <c r="H17" s="2131"/>
      <c r="I17" s="2131"/>
      <c r="J17" s="2131"/>
      <c r="K17" s="2131"/>
      <c r="L17" s="2131"/>
      <c r="M17" s="2131"/>
      <c r="N17" s="2131"/>
      <c r="O17" s="2131"/>
      <c r="P17" s="2131"/>
      <c r="Q17" s="2131"/>
      <c r="R17" s="2131"/>
      <c r="S17" s="2131"/>
      <c r="T17" s="2131"/>
      <c r="U17" s="2131"/>
      <c r="V17" s="2131"/>
      <c r="W17" s="2131"/>
      <c r="X17" s="2131"/>
      <c r="Y17" s="2131"/>
      <c r="Z17" s="2131"/>
      <c r="AA17" s="2131"/>
      <c r="AB17" s="2131"/>
      <c r="AC17" s="2131"/>
      <c r="AD17" s="2131"/>
      <c r="AE17" s="2132"/>
      <c r="AF17" s="566"/>
      <c r="AG17" s="2144" t="str">
        <f>++CONCATENATE(ZAKL_DATA!B25)</f>
        <v/>
      </c>
      <c r="AH17" s="2145"/>
      <c r="AI17" s="2145"/>
      <c r="AJ17" s="2145"/>
      <c r="AK17" s="2145"/>
      <c r="AL17" s="2145"/>
      <c r="AM17" s="2145"/>
      <c r="AN17" s="2145"/>
      <c r="AO17" s="2145"/>
      <c r="AP17" s="2145"/>
      <c r="AQ17" s="2145"/>
      <c r="AR17" s="2146"/>
      <c r="AS17" s="22"/>
      <c r="AT17" s="106"/>
      <c r="AU17" s="106"/>
      <c r="AV17" s="106"/>
      <c r="AW17" s="106"/>
      <c r="AX17" s="106"/>
      <c r="AY17" s="106"/>
      <c r="AZ17" s="106"/>
      <c r="BA17" s="106"/>
      <c r="BB17" s="106"/>
      <c r="BC17" s="263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  <c r="BS17" s="263"/>
      <c r="BT17" s="263"/>
      <c r="BU17" s="263"/>
      <c r="BV17" s="263"/>
      <c r="BW17" s="263"/>
      <c r="BX17" s="263"/>
      <c r="BY17" s="263"/>
      <c r="BZ17" s="263"/>
      <c r="CA17" s="263"/>
      <c r="CB17" s="263"/>
      <c r="CC17" s="263"/>
      <c r="CD17" s="263"/>
      <c r="CE17" s="263"/>
      <c r="CF17" s="263"/>
      <c r="CG17" s="263"/>
      <c r="CH17" s="263"/>
      <c r="CI17" s="263"/>
      <c r="CJ17" s="263"/>
    </row>
    <row r="18" spans="1:88" s="565" customFormat="1" ht="9.95" customHeight="1">
      <c r="A18" s="2133" t="s">
        <v>215</v>
      </c>
      <c r="B18" s="2068"/>
      <c r="C18" s="2068"/>
      <c r="D18" s="2068"/>
      <c r="E18" s="2068"/>
      <c r="F18" s="2068"/>
      <c r="G18" s="2068"/>
      <c r="H18" s="2068"/>
      <c r="I18" s="2068"/>
      <c r="J18" s="2068"/>
      <c r="K18" s="2068"/>
      <c r="L18" s="2068"/>
      <c r="M18" s="2068"/>
      <c r="N18" s="2068"/>
      <c r="O18" s="2068"/>
      <c r="P18" s="2068"/>
      <c r="Q18" s="2068"/>
      <c r="R18" s="2068"/>
      <c r="S18" s="2068"/>
      <c r="T18" s="2068"/>
      <c r="U18" s="2068"/>
      <c r="V18" s="2068"/>
      <c r="W18" s="2068"/>
      <c r="X18" s="2068"/>
      <c r="Y18" s="2068"/>
      <c r="Z18" s="2068"/>
      <c r="AA18" s="2068"/>
      <c r="AB18" s="2068"/>
      <c r="AC18" s="2068"/>
      <c r="AD18" s="2068"/>
      <c r="AE18" s="2068"/>
      <c r="AF18" s="2068"/>
      <c r="AG18" s="2068"/>
      <c r="AH18" s="2068"/>
      <c r="AI18" s="2068"/>
      <c r="AJ18" s="2068"/>
      <c r="AK18" s="2068"/>
      <c r="AL18" s="2068"/>
      <c r="AM18" s="2068"/>
      <c r="AN18" s="2068"/>
      <c r="AO18" s="2068"/>
      <c r="AP18" s="2068"/>
      <c r="AQ18" s="2068"/>
      <c r="AR18" s="2134"/>
      <c r="AS18" s="22"/>
      <c r="AT18" s="563"/>
      <c r="AU18" s="563"/>
      <c r="AV18" s="563"/>
      <c r="AW18" s="563"/>
      <c r="AX18" s="563"/>
      <c r="AY18" s="563"/>
      <c r="AZ18" s="563"/>
      <c r="BA18" s="563"/>
      <c r="BB18" s="563"/>
      <c r="BC18" s="564"/>
      <c r="BD18" s="564"/>
      <c r="BE18" s="564"/>
      <c r="BF18" s="564"/>
      <c r="BG18" s="564"/>
      <c r="BH18" s="564"/>
      <c r="BI18" s="564"/>
      <c r="BJ18" s="564"/>
      <c r="BK18" s="564"/>
      <c r="BL18" s="564"/>
      <c r="BM18" s="564"/>
      <c r="BN18" s="564"/>
      <c r="BO18" s="564"/>
      <c r="BP18" s="564"/>
      <c r="BQ18" s="564"/>
      <c r="BR18" s="564"/>
      <c r="BS18" s="564"/>
      <c r="BT18" s="564"/>
      <c r="BU18" s="564"/>
      <c r="BV18" s="564"/>
      <c r="BW18" s="564"/>
      <c r="BX18" s="564"/>
      <c r="BY18" s="564"/>
      <c r="BZ18" s="564"/>
      <c r="CA18" s="564"/>
      <c r="CB18" s="564"/>
      <c r="CC18" s="564"/>
      <c r="CD18" s="564"/>
      <c r="CE18" s="564"/>
      <c r="CF18" s="564"/>
      <c r="CG18" s="564"/>
      <c r="CH18" s="564"/>
      <c r="CI18" s="564"/>
      <c r="CJ18" s="564"/>
    </row>
    <row r="19" spans="1:88" s="103" customFormat="1" ht="24" customHeight="1">
      <c r="A19" s="2135" t="str">
        <f>+CONCATENATE(ZAKL_DATA!B27)</f>
        <v/>
      </c>
      <c r="B19" s="2085"/>
      <c r="C19" s="2085"/>
      <c r="D19" s="2085"/>
      <c r="E19" s="2085"/>
      <c r="F19" s="2085"/>
      <c r="G19" s="2085"/>
      <c r="H19" s="2085"/>
      <c r="I19" s="2085"/>
      <c r="J19" s="2085"/>
      <c r="K19" s="2085"/>
      <c r="L19" s="2085"/>
      <c r="M19" s="2085"/>
      <c r="N19" s="2085"/>
      <c r="O19" s="2085"/>
      <c r="P19" s="2085"/>
      <c r="Q19" s="2085"/>
      <c r="R19" s="2085"/>
      <c r="S19" s="2085"/>
      <c r="T19" s="2085"/>
      <c r="U19" s="2085"/>
      <c r="V19" s="2085"/>
      <c r="W19" s="2085"/>
      <c r="X19" s="2085"/>
      <c r="Y19" s="2085"/>
      <c r="Z19" s="2085"/>
      <c r="AA19" s="2085"/>
      <c r="AB19" s="2085"/>
      <c r="AC19" s="2085"/>
      <c r="AD19" s="2085"/>
      <c r="AE19" s="2085"/>
      <c r="AF19" s="2085"/>
      <c r="AG19" s="2085"/>
      <c r="AH19" s="2085"/>
      <c r="AI19" s="2085"/>
      <c r="AJ19" s="2085"/>
      <c r="AK19" s="2085"/>
      <c r="AL19" s="2085"/>
      <c r="AM19" s="2085"/>
      <c r="AN19" s="2085"/>
      <c r="AO19" s="2085"/>
      <c r="AP19" s="2085"/>
      <c r="AQ19" s="2085"/>
      <c r="AR19" s="2086"/>
      <c r="AS19" s="22"/>
      <c r="AT19" s="106"/>
      <c r="AU19" s="106"/>
      <c r="AV19" s="106"/>
      <c r="AW19" s="106"/>
      <c r="AX19" s="106"/>
      <c r="AY19" s="106"/>
      <c r="AZ19" s="106"/>
      <c r="BA19" s="106"/>
      <c r="BB19" s="106"/>
      <c r="BC19" s="263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63"/>
      <c r="CJ19" s="263"/>
    </row>
    <row r="20" spans="1:45" ht="5.1" customHeight="1">
      <c r="A20" s="2058"/>
      <c r="B20" s="1988"/>
      <c r="C20" s="1988"/>
      <c r="D20" s="1988"/>
      <c r="E20" s="1988"/>
      <c r="F20" s="1988"/>
      <c r="G20" s="1988"/>
      <c r="H20" s="1988"/>
      <c r="I20" s="1988"/>
      <c r="J20" s="1988"/>
      <c r="K20" s="1988"/>
      <c r="L20" s="1988"/>
      <c r="M20" s="1988"/>
      <c r="N20" s="1988"/>
      <c r="O20" s="1988"/>
      <c r="P20" s="1988"/>
      <c r="Q20" s="1988"/>
      <c r="R20" s="1988"/>
      <c r="S20" s="1988"/>
      <c r="T20" s="1988"/>
      <c r="U20" s="1988"/>
      <c r="V20" s="1988"/>
      <c r="W20" s="1988"/>
      <c r="X20" s="1988"/>
      <c r="Y20" s="1988"/>
      <c r="Z20" s="1988"/>
      <c r="AA20" s="1988"/>
      <c r="AB20" s="1988"/>
      <c r="AC20" s="1988"/>
      <c r="AD20" s="1988"/>
      <c r="AE20" s="1988"/>
      <c r="AF20" s="1988"/>
      <c r="AG20" s="1988"/>
      <c r="AH20" s="1988"/>
      <c r="AI20" s="1988"/>
      <c r="AJ20" s="1988"/>
      <c r="AK20" s="1988"/>
      <c r="AL20" s="1988"/>
      <c r="AM20" s="1988"/>
      <c r="AN20" s="1988"/>
      <c r="AO20" s="1988"/>
      <c r="AP20" s="1988"/>
      <c r="AQ20" s="1988"/>
      <c r="AR20" s="1989"/>
      <c r="AS20" s="22"/>
    </row>
    <row r="21" spans="1:45" ht="15" customHeight="1">
      <c r="A21" s="1968" t="s">
        <v>216</v>
      </c>
      <c r="B21" s="2095"/>
      <c r="C21" s="2095"/>
      <c r="D21" s="2095"/>
      <c r="E21" s="2095"/>
      <c r="F21" s="2095"/>
      <c r="G21" s="2095"/>
      <c r="H21" s="2095"/>
      <c r="I21" s="2095"/>
      <c r="J21" s="2095"/>
      <c r="K21" s="2095"/>
      <c r="L21" s="2095"/>
      <c r="M21" s="2095"/>
      <c r="N21" s="2095"/>
      <c r="O21" s="2095"/>
      <c r="P21" s="2095"/>
      <c r="Q21" s="2095"/>
      <c r="R21" s="2095"/>
      <c r="S21" s="2095"/>
      <c r="T21" s="2095"/>
      <c r="U21" s="2095"/>
      <c r="V21" s="2095"/>
      <c r="W21" s="2095"/>
      <c r="X21" s="2095"/>
      <c r="Y21" s="2095"/>
      <c r="Z21" s="2095"/>
      <c r="AA21" s="2095"/>
      <c r="AB21" s="2095"/>
      <c r="AC21" s="1969"/>
      <c r="AD21" s="1969"/>
      <c r="AE21" s="1969"/>
      <c r="AF21" s="1969"/>
      <c r="AG21" s="1969"/>
      <c r="AH21" s="1969"/>
      <c r="AI21" s="1969"/>
      <c r="AJ21" s="1969"/>
      <c r="AK21" s="1969"/>
      <c r="AL21" s="1969"/>
      <c r="AM21" s="1969"/>
      <c r="AN21" s="1969"/>
      <c r="AO21" s="1969"/>
      <c r="AP21" s="1969"/>
      <c r="AQ21" s="1969"/>
      <c r="AR21" s="1970"/>
      <c r="AS21" s="22"/>
    </row>
    <row r="22" spans="1:45" ht="14.1" customHeight="1">
      <c r="A22" s="568"/>
      <c r="B22" s="2136" t="s">
        <v>3981</v>
      </c>
      <c r="C22" s="2137"/>
      <c r="D22" s="2137"/>
      <c r="E22" s="2137"/>
      <c r="F22" s="2137"/>
      <c r="G22" s="2137"/>
      <c r="H22" s="2137"/>
      <c r="I22" s="2137"/>
      <c r="J22" s="2137"/>
      <c r="K22" s="2137"/>
      <c r="L22" s="2137"/>
      <c r="M22" s="2137"/>
      <c r="N22" s="2137"/>
      <c r="O22" s="2137"/>
      <c r="P22" s="2137"/>
      <c r="Q22" s="2137"/>
      <c r="R22" s="2137"/>
      <c r="S22" s="2137"/>
      <c r="T22" s="2137"/>
      <c r="U22" s="2137"/>
      <c r="V22" s="2137"/>
      <c r="W22" s="2137"/>
      <c r="X22" s="2137"/>
      <c r="Y22" s="2137"/>
      <c r="Z22" s="2137"/>
      <c r="AA22" s="2138"/>
      <c r="AB22" s="2139"/>
      <c r="AC22" s="2140"/>
      <c r="AD22" s="2140"/>
      <c r="AE22" s="2140"/>
      <c r="AF22" s="2140"/>
      <c r="AG22" s="2140"/>
      <c r="AH22" s="2140"/>
      <c r="AI22" s="2140"/>
      <c r="AJ22" s="2140"/>
      <c r="AK22" s="2140"/>
      <c r="AL22" s="2140"/>
      <c r="AM22" s="2140"/>
      <c r="AN22" s="2140"/>
      <c r="AO22" s="2140"/>
      <c r="AP22" s="2140"/>
      <c r="AQ22" s="2140"/>
      <c r="AR22" s="2141"/>
      <c r="AS22" s="22"/>
    </row>
    <row r="23" spans="1:45" ht="14.1" customHeight="1">
      <c r="A23" s="569"/>
      <c r="B23" s="642">
        <v>1</v>
      </c>
      <c r="C23" s="642">
        <v>2</v>
      </c>
      <c r="D23" s="642">
        <v>3</v>
      </c>
      <c r="E23" s="642">
        <v>4</v>
      </c>
      <c r="F23" s="642">
        <v>5</v>
      </c>
      <c r="G23" s="642">
        <v>6</v>
      </c>
      <c r="H23" s="642">
        <v>7</v>
      </c>
      <c r="I23" s="642">
        <v>8</v>
      </c>
      <c r="J23" s="642">
        <v>9</v>
      </c>
      <c r="K23" s="642">
        <v>10</v>
      </c>
      <c r="L23" s="642">
        <v>11</v>
      </c>
      <c r="M23" s="642">
        <v>12</v>
      </c>
      <c r="N23" s="2142" t="s">
        <v>239</v>
      </c>
      <c r="O23" s="2143"/>
      <c r="P23" s="2063"/>
      <c r="Q23" s="733"/>
      <c r="R23" s="733"/>
      <c r="S23" s="733"/>
      <c r="T23" s="733"/>
      <c r="U23" s="733"/>
      <c r="V23" s="733"/>
      <c r="W23" s="733"/>
      <c r="X23" s="733"/>
      <c r="Y23" s="733"/>
      <c r="Z23" s="733"/>
      <c r="AA23" s="2048"/>
      <c r="AB23" s="637"/>
      <c r="AC23" s="570"/>
      <c r="AD23" s="2059" t="s">
        <v>3982</v>
      </c>
      <c r="AE23" s="2060"/>
      <c r="AF23" s="2060"/>
      <c r="AG23" s="2060"/>
      <c r="AH23" s="2060"/>
      <c r="AI23" s="2060"/>
      <c r="AJ23" s="2060"/>
      <c r="AK23" s="2060"/>
      <c r="AL23" s="2060"/>
      <c r="AM23" s="2060"/>
      <c r="AN23" s="2060"/>
      <c r="AO23" s="2060"/>
      <c r="AP23" s="2060"/>
      <c r="AQ23" s="2060"/>
      <c r="AR23" s="2061"/>
      <c r="AS23" s="22"/>
    </row>
    <row r="24" spans="1:45" ht="14.1" customHeight="1">
      <c r="A24" s="569"/>
      <c r="B24" s="570"/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699"/>
      <c r="O24" s="570"/>
      <c r="P24" s="733"/>
      <c r="Q24" s="733"/>
      <c r="R24" s="733"/>
      <c r="S24" s="733"/>
      <c r="T24" s="733"/>
      <c r="U24" s="733"/>
      <c r="V24" s="733"/>
      <c r="W24" s="733"/>
      <c r="X24" s="733"/>
      <c r="Y24" s="733"/>
      <c r="Z24" s="733"/>
      <c r="AA24" s="2048"/>
      <c r="AB24" s="2055"/>
      <c r="AC24" s="733"/>
      <c r="AD24" s="733"/>
      <c r="AE24" s="733"/>
      <c r="AF24" s="733"/>
      <c r="AG24" s="733"/>
      <c r="AH24" s="733"/>
      <c r="AI24" s="733"/>
      <c r="AJ24" s="733"/>
      <c r="AK24" s="733"/>
      <c r="AL24" s="733"/>
      <c r="AM24" s="733"/>
      <c r="AN24" s="733"/>
      <c r="AO24" s="733"/>
      <c r="AP24" s="733"/>
      <c r="AQ24" s="733"/>
      <c r="AR24" s="2048"/>
      <c r="AS24" s="22"/>
    </row>
    <row r="25" spans="1:45" ht="14.1" customHeight="1">
      <c r="A25" s="561"/>
      <c r="B25" s="2136" t="s">
        <v>3975</v>
      </c>
      <c r="C25" s="2137"/>
      <c r="D25" s="2137"/>
      <c r="E25" s="2137"/>
      <c r="F25" s="2137"/>
      <c r="G25" s="2137"/>
      <c r="H25" s="2137"/>
      <c r="I25" s="2137"/>
      <c r="J25" s="2137"/>
      <c r="K25" s="2137"/>
      <c r="L25" s="2137"/>
      <c r="M25" s="2137"/>
      <c r="N25" s="1136"/>
      <c r="O25" s="2137"/>
      <c r="P25" s="1136"/>
      <c r="Q25" s="1136"/>
      <c r="R25" s="1136"/>
      <c r="S25" s="1136"/>
      <c r="T25" s="1136"/>
      <c r="U25" s="1136"/>
      <c r="V25" s="1136"/>
      <c r="W25" s="1136"/>
      <c r="X25" s="1136"/>
      <c r="Y25" s="1136"/>
      <c r="Z25" s="1136"/>
      <c r="AA25" s="2035"/>
      <c r="AB25" s="637"/>
      <c r="AC25" s="570"/>
      <c r="AD25" s="2059" t="s">
        <v>3983</v>
      </c>
      <c r="AE25" s="2060"/>
      <c r="AF25" s="2060"/>
      <c r="AG25" s="2060"/>
      <c r="AH25" s="2060"/>
      <c r="AI25" s="2060"/>
      <c r="AJ25" s="2060"/>
      <c r="AK25" s="2060"/>
      <c r="AL25" s="2060"/>
      <c r="AM25" s="2060"/>
      <c r="AN25" s="2060"/>
      <c r="AO25" s="2060"/>
      <c r="AP25" s="2060"/>
      <c r="AQ25" s="2060"/>
      <c r="AR25" s="2061"/>
      <c r="AS25" s="22"/>
    </row>
    <row r="26" spans="1:45" ht="14.1" customHeight="1">
      <c r="A26" s="569"/>
      <c r="B26" s="642">
        <v>1</v>
      </c>
      <c r="C26" s="642">
        <v>2</v>
      </c>
      <c r="D26" s="642">
        <v>3</v>
      </c>
      <c r="E26" s="642">
        <v>4</v>
      </c>
      <c r="F26" s="642">
        <v>5</v>
      </c>
      <c r="G26" s="642">
        <v>6</v>
      </c>
      <c r="H26" s="642">
        <v>7</v>
      </c>
      <c r="I26" s="642">
        <v>8</v>
      </c>
      <c r="J26" s="642">
        <v>9</v>
      </c>
      <c r="K26" s="642">
        <v>10</v>
      </c>
      <c r="L26" s="642">
        <v>11</v>
      </c>
      <c r="M26" s="642">
        <v>12</v>
      </c>
      <c r="N26" s="2142" t="s">
        <v>239</v>
      </c>
      <c r="O26" s="2143"/>
      <c r="P26" s="2063"/>
      <c r="Q26" s="2063"/>
      <c r="R26" s="2063"/>
      <c r="S26" s="2063"/>
      <c r="T26" s="2047" t="s">
        <v>217</v>
      </c>
      <c r="U26" s="1977"/>
      <c r="V26" s="1977"/>
      <c r="W26" s="1977"/>
      <c r="X26" s="2047" t="s">
        <v>218</v>
      </c>
      <c r="Y26" s="733"/>
      <c r="Z26" s="733"/>
      <c r="AA26" s="2048"/>
      <c r="AB26" s="2055"/>
      <c r="AC26" s="733"/>
      <c r="AD26" s="733"/>
      <c r="AE26" s="733"/>
      <c r="AF26" s="733"/>
      <c r="AG26" s="733"/>
      <c r="AH26" s="733"/>
      <c r="AI26" s="733"/>
      <c r="AJ26" s="733"/>
      <c r="AK26" s="733"/>
      <c r="AL26" s="733"/>
      <c r="AM26" s="733"/>
      <c r="AN26" s="733"/>
      <c r="AO26" s="733"/>
      <c r="AP26" s="733"/>
      <c r="AQ26" s="733"/>
      <c r="AR26" s="2048"/>
      <c r="AS26" s="22"/>
    </row>
    <row r="27" spans="1:45" ht="14.1" customHeight="1">
      <c r="A27" s="569"/>
      <c r="B27" s="570"/>
      <c r="C27" s="570"/>
      <c r="D27" s="570"/>
      <c r="E27" s="570"/>
      <c r="F27" s="570"/>
      <c r="G27" s="570"/>
      <c r="H27" s="570"/>
      <c r="I27" s="570"/>
      <c r="J27" s="570"/>
      <c r="K27" s="570"/>
      <c r="L27" s="570"/>
      <c r="M27" s="570"/>
      <c r="N27" s="571"/>
      <c r="O27" s="570"/>
      <c r="P27" s="2056" t="s">
        <v>3534</v>
      </c>
      <c r="Q27" s="2057"/>
      <c r="R27" s="2057"/>
      <c r="S27" s="2057"/>
      <c r="T27" s="570"/>
      <c r="U27" s="1988"/>
      <c r="V27" s="1988"/>
      <c r="W27" s="1988"/>
      <c r="X27" s="570"/>
      <c r="Y27" s="2058"/>
      <c r="Z27" s="733"/>
      <c r="AA27" s="2048"/>
      <c r="AB27" s="637"/>
      <c r="AC27" s="570"/>
      <c r="AD27" s="2059" t="s">
        <v>3984</v>
      </c>
      <c r="AE27" s="2060"/>
      <c r="AF27" s="2060"/>
      <c r="AG27" s="2060"/>
      <c r="AH27" s="2060"/>
      <c r="AI27" s="2060"/>
      <c r="AJ27" s="2060"/>
      <c r="AK27" s="2060"/>
      <c r="AL27" s="2060"/>
      <c r="AM27" s="2060"/>
      <c r="AN27" s="2060"/>
      <c r="AO27" s="2060"/>
      <c r="AP27" s="2060"/>
      <c r="AQ27" s="2060"/>
      <c r="AR27" s="2061"/>
      <c r="AS27" s="22"/>
    </row>
    <row r="28" spans="1:45" ht="14.1" customHeight="1">
      <c r="A28" s="561"/>
      <c r="B28" s="2062" t="s">
        <v>3976</v>
      </c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  <c r="N28" s="1136"/>
      <c r="O28" s="1136"/>
      <c r="P28" s="1136"/>
      <c r="Q28" s="1136"/>
      <c r="R28" s="1136"/>
      <c r="S28" s="1136"/>
      <c r="T28" s="1136"/>
      <c r="U28" s="1136"/>
      <c r="V28" s="1136"/>
      <c r="W28" s="1136"/>
      <c r="X28" s="1136"/>
      <c r="Y28" s="1136"/>
      <c r="Z28" s="1136"/>
      <c r="AA28" s="2035"/>
      <c r="AB28" s="2055"/>
      <c r="AC28" s="733"/>
      <c r="AD28" s="733"/>
      <c r="AE28" s="733"/>
      <c r="AF28" s="733"/>
      <c r="AG28" s="733"/>
      <c r="AH28" s="733"/>
      <c r="AI28" s="733"/>
      <c r="AJ28" s="733"/>
      <c r="AK28" s="733"/>
      <c r="AL28" s="733"/>
      <c r="AM28" s="733"/>
      <c r="AN28" s="733"/>
      <c r="AO28" s="733"/>
      <c r="AP28" s="733"/>
      <c r="AQ28" s="733"/>
      <c r="AR28" s="2048"/>
      <c r="AS28" s="22"/>
    </row>
    <row r="29" spans="1:45" ht="14.1" customHeight="1">
      <c r="A29" s="569"/>
      <c r="B29" s="642">
        <v>1</v>
      </c>
      <c r="C29" s="642">
        <v>2</v>
      </c>
      <c r="D29" s="642">
        <v>3</v>
      </c>
      <c r="E29" s="642">
        <v>4</v>
      </c>
      <c r="F29" s="642">
        <v>5</v>
      </c>
      <c r="G29" s="642">
        <v>6</v>
      </c>
      <c r="H29" s="642">
        <v>7</v>
      </c>
      <c r="I29" s="642">
        <v>8</v>
      </c>
      <c r="J29" s="642">
        <v>9</v>
      </c>
      <c r="K29" s="642">
        <v>10</v>
      </c>
      <c r="L29" s="642">
        <v>11</v>
      </c>
      <c r="M29" s="642">
        <v>12</v>
      </c>
      <c r="N29" s="2142" t="s">
        <v>239</v>
      </c>
      <c r="O29" s="2143"/>
      <c r="P29" s="2063"/>
      <c r="Q29" s="2063"/>
      <c r="R29" s="2063"/>
      <c r="S29" s="2063"/>
      <c r="T29" s="572" t="s">
        <v>234</v>
      </c>
      <c r="U29" s="572" t="s">
        <v>235</v>
      </c>
      <c r="V29" s="572" t="s">
        <v>219</v>
      </c>
      <c r="W29" s="572" t="s">
        <v>220</v>
      </c>
      <c r="X29" s="572" t="s">
        <v>221</v>
      </c>
      <c r="Y29" s="572" t="s">
        <v>222</v>
      </c>
      <c r="Z29" s="689"/>
      <c r="AA29" s="690"/>
      <c r="AB29" s="637"/>
      <c r="AC29" s="570"/>
      <c r="AD29" s="2059" t="s">
        <v>3896</v>
      </c>
      <c r="AE29" s="2060"/>
      <c r="AF29" s="2060"/>
      <c r="AG29" s="2060"/>
      <c r="AH29" s="2060"/>
      <c r="AI29" s="2060"/>
      <c r="AJ29" s="2060"/>
      <c r="AK29" s="2060"/>
      <c r="AL29" s="2060"/>
      <c r="AM29" s="2060"/>
      <c r="AN29" s="2060"/>
      <c r="AO29" s="2060"/>
      <c r="AP29" s="2060"/>
      <c r="AQ29" s="2060"/>
      <c r="AR29" s="2061"/>
      <c r="AS29" s="22"/>
    </row>
    <row r="30" spans="1:64" ht="14.1" customHeight="1">
      <c r="A30" s="569"/>
      <c r="B30" s="570"/>
      <c r="C30" s="570"/>
      <c r="D30" s="570"/>
      <c r="E30" s="570"/>
      <c r="F30" s="570"/>
      <c r="G30" s="570"/>
      <c r="H30" s="570"/>
      <c r="I30" s="570"/>
      <c r="J30" s="570"/>
      <c r="K30" s="570"/>
      <c r="L30" s="570"/>
      <c r="M30" s="570"/>
      <c r="N30" s="571"/>
      <c r="O30" s="570"/>
      <c r="P30" s="2056" t="s">
        <v>3534</v>
      </c>
      <c r="Q30" s="2057"/>
      <c r="R30" s="2057"/>
      <c r="S30" s="2057"/>
      <c r="T30" s="570"/>
      <c r="U30" s="570"/>
      <c r="V30" s="570"/>
      <c r="W30" s="570"/>
      <c r="X30" s="570"/>
      <c r="Y30" s="570"/>
      <c r="Z30" s="687"/>
      <c r="AA30" s="690"/>
      <c r="AB30" s="2053"/>
      <c r="AC30" s="733"/>
      <c r="AD30" s="733"/>
      <c r="AE30" s="733"/>
      <c r="AF30" s="733"/>
      <c r="AG30" s="733"/>
      <c r="AH30" s="733"/>
      <c r="AI30" s="733"/>
      <c r="AJ30" s="733"/>
      <c r="AK30" s="733"/>
      <c r="AL30" s="733"/>
      <c r="AM30" s="733"/>
      <c r="AN30" s="733"/>
      <c r="AO30" s="733"/>
      <c r="AP30" s="733"/>
      <c r="AQ30" s="733"/>
      <c r="AR30" s="2048"/>
      <c r="AS30" s="22"/>
      <c r="AY30" s="22">
        <f>+IF(EXACT(O30,"X"),12,0)</f>
        <v>0</v>
      </c>
      <c r="AZ30" s="22">
        <f>+IF(EXACT(B30,"X"),1,0)</f>
        <v>0</v>
      </c>
      <c r="BA30" s="22">
        <f t="shared" si="0" ref="BA30:BK30">+IF(EXACT(C30,"X"),1,0)</f>
        <v>0</v>
      </c>
      <c r="BB30" s="22">
        <f t="shared" si="0"/>
        <v>0</v>
      </c>
      <c r="BC30" s="22">
        <f t="shared" si="0"/>
        <v>0</v>
      </c>
      <c r="BD30" s="22">
        <f t="shared" si="0"/>
        <v>0</v>
      </c>
      <c r="BE30" s="22">
        <f t="shared" si="0"/>
        <v>0</v>
      </c>
      <c r="BF30" s="22">
        <f t="shared" si="0"/>
        <v>0</v>
      </c>
      <c r="BG30" s="22">
        <f t="shared" si="0"/>
        <v>0</v>
      </c>
      <c r="BH30" s="22">
        <f t="shared" si="0"/>
        <v>0</v>
      </c>
      <c r="BI30" s="22">
        <f t="shared" si="0"/>
        <v>0</v>
      </c>
      <c r="BJ30" s="22">
        <f t="shared" si="0"/>
        <v>0</v>
      </c>
      <c r="BK30" s="22">
        <f t="shared" si="0"/>
        <v>0</v>
      </c>
      <c r="BL30" s="22">
        <f>+IF(AY30=12,12,+SUM(AZ30:BK30))</f>
        <v>0</v>
      </c>
    </row>
    <row r="31" spans="1:45" ht="14.1" customHeight="1">
      <c r="A31" s="569"/>
      <c r="B31" s="2122" t="s">
        <v>3806</v>
      </c>
      <c r="C31" s="2123"/>
      <c r="D31" s="2123"/>
      <c r="E31" s="2123"/>
      <c r="F31" s="2123"/>
      <c r="G31" s="2123"/>
      <c r="H31" s="691" t="s">
        <v>223</v>
      </c>
      <c r="I31" s="688"/>
      <c r="J31" s="688"/>
      <c r="K31" s="688"/>
      <c r="L31" s="688"/>
      <c r="M31" s="688"/>
      <c r="N31" s="688"/>
      <c r="O31" s="688"/>
      <c r="P31" s="688"/>
      <c r="Q31" s="688"/>
      <c r="R31" s="691" t="s">
        <v>224</v>
      </c>
      <c r="S31" s="688"/>
      <c r="T31" s="688"/>
      <c r="U31" s="688"/>
      <c r="V31" s="688"/>
      <c r="W31" s="688"/>
      <c r="X31" s="688"/>
      <c r="Y31" s="688"/>
      <c r="Z31" s="688"/>
      <c r="AA31" s="692"/>
      <c r="AB31" s="2054"/>
      <c r="AC31" s="733"/>
      <c r="AD31" s="733"/>
      <c r="AE31" s="733"/>
      <c r="AF31" s="733"/>
      <c r="AG31" s="733"/>
      <c r="AH31" s="733"/>
      <c r="AI31" s="733"/>
      <c r="AJ31" s="733"/>
      <c r="AK31" s="733"/>
      <c r="AL31" s="733"/>
      <c r="AM31" s="733"/>
      <c r="AN31" s="733"/>
      <c r="AO31" s="733"/>
      <c r="AP31" s="733"/>
      <c r="AQ31" s="733"/>
      <c r="AR31" s="2048"/>
      <c r="AS31" s="22"/>
    </row>
    <row r="32" spans="1:45" ht="18.75" customHeight="1">
      <c r="A32" s="569"/>
      <c r="B32" s="825"/>
      <c r="C32" s="825"/>
      <c r="D32" s="825"/>
      <c r="E32" s="825"/>
      <c r="F32" s="825"/>
      <c r="G32" s="825"/>
      <c r="H32" s="2124"/>
      <c r="I32" s="2125"/>
      <c r="J32" s="2125"/>
      <c r="K32" s="2125"/>
      <c r="L32" s="2125"/>
      <c r="M32" s="2125"/>
      <c r="N32" s="2125"/>
      <c r="O32" s="2125"/>
      <c r="P32" s="2126"/>
      <c r="Q32" s="636"/>
      <c r="R32" s="2124"/>
      <c r="S32" s="2125"/>
      <c r="T32" s="2125"/>
      <c r="U32" s="2125"/>
      <c r="V32" s="2125"/>
      <c r="W32" s="2125"/>
      <c r="X32" s="2125"/>
      <c r="Y32" s="2125"/>
      <c r="Z32" s="2126"/>
      <c r="AA32" s="636"/>
      <c r="AB32" s="2054"/>
      <c r="AC32" s="733"/>
      <c r="AD32" s="733"/>
      <c r="AE32" s="733"/>
      <c r="AF32" s="733"/>
      <c r="AG32" s="733"/>
      <c r="AH32" s="733"/>
      <c r="AI32" s="733"/>
      <c r="AJ32" s="733"/>
      <c r="AK32" s="733"/>
      <c r="AL32" s="733"/>
      <c r="AM32" s="733"/>
      <c r="AN32" s="733"/>
      <c r="AO32" s="733"/>
      <c r="AP32" s="733"/>
      <c r="AQ32" s="733"/>
      <c r="AR32" s="2048"/>
      <c r="AS32" s="22"/>
    </row>
    <row r="33" spans="1:45" ht="6" customHeight="1">
      <c r="A33" s="2064"/>
      <c r="B33" s="1996"/>
      <c r="C33" s="1996"/>
      <c r="D33" s="1996"/>
      <c r="E33" s="1996"/>
      <c r="F33" s="1996"/>
      <c r="G33" s="1996"/>
      <c r="H33" s="1996"/>
      <c r="I33" s="1996"/>
      <c r="J33" s="1996"/>
      <c r="K33" s="1996"/>
      <c r="L33" s="1996"/>
      <c r="M33" s="1996"/>
      <c r="N33" s="1996"/>
      <c r="O33" s="1996"/>
      <c r="P33" s="1996"/>
      <c r="Q33" s="1996"/>
      <c r="R33" s="1996"/>
      <c r="S33" s="1996"/>
      <c r="T33" s="1996"/>
      <c r="U33" s="1996"/>
      <c r="V33" s="1996"/>
      <c r="W33" s="1996"/>
      <c r="X33" s="1996"/>
      <c r="Y33" s="1996"/>
      <c r="Z33" s="1996"/>
      <c r="AA33" s="1997"/>
      <c r="AB33" s="1995"/>
      <c r="AC33" s="1996"/>
      <c r="AD33" s="1996"/>
      <c r="AE33" s="1996"/>
      <c r="AF33" s="1996"/>
      <c r="AG33" s="1996"/>
      <c r="AH33" s="1996"/>
      <c r="AI33" s="1996"/>
      <c r="AJ33" s="1996"/>
      <c r="AK33" s="1996"/>
      <c r="AL33" s="1996"/>
      <c r="AM33" s="1996"/>
      <c r="AN33" s="1996"/>
      <c r="AO33" s="1996"/>
      <c r="AP33" s="1996"/>
      <c r="AQ33" s="1996"/>
      <c r="AR33" s="1997"/>
      <c r="AS33" s="22"/>
    </row>
    <row r="34" spans="1:45" ht="15" customHeight="1">
      <c r="A34" s="1968" t="s">
        <v>344</v>
      </c>
      <c r="B34" s="1969"/>
      <c r="C34" s="1969"/>
      <c r="D34" s="1969"/>
      <c r="E34" s="1969"/>
      <c r="F34" s="1969"/>
      <c r="G34" s="1969"/>
      <c r="H34" s="1969"/>
      <c r="I34" s="1969"/>
      <c r="J34" s="1969"/>
      <c r="K34" s="1969"/>
      <c r="L34" s="1969"/>
      <c r="M34" s="1969"/>
      <c r="N34" s="1969"/>
      <c r="O34" s="1969"/>
      <c r="P34" s="1969"/>
      <c r="Q34" s="1969"/>
      <c r="R34" s="1969"/>
      <c r="S34" s="1969"/>
      <c r="T34" s="1969"/>
      <c r="U34" s="1969"/>
      <c r="V34" s="1970"/>
      <c r="W34" s="2166" t="s">
        <v>3535</v>
      </c>
      <c r="X34" s="2166"/>
      <c r="Y34" s="2166"/>
      <c r="Z34" s="2166"/>
      <c r="AA34" s="2166"/>
      <c r="AB34" s="2166"/>
      <c r="AC34" s="2166"/>
      <c r="AD34" s="2166"/>
      <c r="AE34" s="2166"/>
      <c r="AF34" s="2166"/>
      <c r="AG34" s="2166"/>
      <c r="AH34" s="2166"/>
      <c r="AI34" s="2166"/>
      <c r="AJ34" s="2166"/>
      <c r="AK34" s="2166"/>
      <c r="AL34" s="2166"/>
      <c r="AM34" s="2167"/>
      <c r="AN34" s="2167"/>
      <c r="AO34" s="2167"/>
      <c r="AP34" s="2167"/>
      <c r="AQ34" s="2167"/>
      <c r="AR34" s="2167"/>
      <c r="AS34" s="22"/>
    </row>
    <row r="35" spans="1:45" ht="18" customHeight="1">
      <c r="A35" s="569"/>
      <c r="B35" s="2168"/>
      <c r="C35" s="2168"/>
      <c r="D35" s="2168"/>
      <c r="E35" s="2168"/>
      <c r="F35" s="2168"/>
      <c r="G35" s="2168"/>
      <c r="H35" s="2168"/>
      <c r="I35" s="2169" t="s">
        <v>3897</v>
      </c>
      <c r="J35" s="2169"/>
      <c r="K35" s="2169"/>
      <c r="L35" s="2169"/>
      <c r="M35" s="2169"/>
      <c r="N35" s="2169"/>
      <c r="O35" s="2169"/>
      <c r="P35" s="2169"/>
      <c r="Q35" s="2169"/>
      <c r="R35" s="2169"/>
      <c r="S35" s="2169"/>
      <c r="T35" s="1988"/>
      <c r="U35" s="1975"/>
      <c r="V35" s="2170"/>
      <c r="W35" s="2039" t="s">
        <v>3977</v>
      </c>
      <c r="X35" s="2039"/>
      <c r="Y35" s="2039"/>
      <c r="Z35" s="2039"/>
      <c r="AA35" s="2039"/>
      <c r="AB35" s="2039"/>
      <c r="AC35" s="2039"/>
      <c r="AD35" s="2039"/>
      <c r="AE35" s="2039"/>
      <c r="AF35" s="2039"/>
      <c r="AG35" s="2039"/>
      <c r="AH35" s="2039"/>
      <c r="AI35" s="2039"/>
      <c r="AJ35" s="2039"/>
      <c r="AK35" s="2039"/>
      <c r="AL35" s="2039"/>
      <c r="AM35" s="2039"/>
      <c r="AN35" s="2039"/>
      <c r="AO35" s="2039"/>
      <c r="AP35" s="2039"/>
      <c r="AQ35" s="2039"/>
      <c r="AR35" s="2052"/>
      <c r="AS35" s="22"/>
    </row>
    <row r="36" spans="1:45" ht="18" customHeight="1">
      <c r="A36" s="640"/>
      <c r="B36" s="2005" t="s">
        <v>3898</v>
      </c>
      <c r="C36" s="2006"/>
      <c r="D36" s="2006"/>
      <c r="E36" s="2006"/>
      <c r="F36" s="2006"/>
      <c r="G36" s="2006"/>
      <c r="H36" s="2006"/>
      <c r="I36" s="2171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172"/>
      <c r="K36" s="2172"/>
      <c r="L36" s="2172"/>
      <c r="M36" s="2172"/>
      <c r="N36" s="2172"/>
      <c r="O36" s="2172"/>
      <c r="P36" s="2172"/>
      <c r="Q36" s="2172"/>
      <c r="R36" s="2172"/>
      <c r="S36" s="2173"/>
      <c r="T36" s="2010" t="s">
        <v>202</v>
      </c>
      <c r="U36" s="2003"/>
      <c r="V36" s="2004"/>
      <c r="W36" s="638"/>
      <c r="X36" s="2005" t="s">
        <v>350</v>
      </c>
      <c r="Y36" s="2003"/>
      <c r="Z36" s="2003"/>
      <c r="AA36" s="2003"/>
      <c r="AB36" s="2003"/>
      <c r="AC36" s="2003"/>
      <c r="AD36" s="2003"/>
      <c r="AE36" s="2044">
        <v>0</v>
      </c>
      <c r="AF36" s="2174"/>
      <c r="AG36" s="2174"/>
      <c r="AH36" s="2174"/>
      <c r="AI36" s="2174"/>
      <c r="AJ36" s="2174"/>
      <c r="AK36" s="2174"/>
      <c r="AL36" s="2174"/>
      <c r="AM36" s="2174"/>
      <c r="AN36" s="2175"/>
      <c r="AO36" s="2010" t="s">
        <v>202</v>
      </c>
      <c r="AP36" s="2003"/>
      <c r="AQ36" s="2003"/>
      <c r="AR36" s="2004"/>
      <c r="AS36" s="22"/>
    </row>
    <row r="37" spans="1:45" ht="18" customHeight="1">
      <c r="A37" s="640"/>
      <c r="B37" s="2049" t="s">
        <v>3978</v>
      </c>
      <c r="C37" s="2050"/>
      <c r="D37" s="2050"/>
      <c r="E37" s="2050"/>
      <c r="F37" s="2050"/>
      <c r="G37" s="2050"/>
      <c r="H37" s="2050"/>
      <c r="I37" s="2050"/>
      <c r="J37" s="2050"/>
      <c r="K37" s="2050"/>
      <c r="L37" s="2050"/>
      <c r="M37" s="2050"/>
      <c r="N37" s="2050"/>
      <c r="O37" s="2050"/>
      <c r="P37" s="2050"/>
      <c r="Q37" s="2050"/>
      <c r="R37" s="2050"/>
      <c r="S37" s="2050"/>
      <c r="T37" s="2050"/>
      <c r="U37" s="2050"/>
      <c r="V37" s="2051"/>
      <c r="W37" s="2039" t="s">
        <v>3899</v>
      </c>
      <c r="X37" s="2039"/>
      <c r="Y37" s="2039"/>
      <c r="Z37" s="2039"/>
      <c r="AA37" s="2039"/>
      <c r="AB37" s="2039"/>
      <c r="AC37" s="2039"/>
      <c r="AD37" s="2039"/>
      <c r="AE37" s="2039"/>
      <c r="AF37" s="2039"/>
      <c r="AG37" s="2039"/>
      <c r="AH37" s="2039"/>
      <c r="AI37" s="2039"/>
      <c r="AJ37" s="2039"/>
      <c r="AK37" s="2039"/>
      <c r="AL37" s="2039"/>
      <c r="AM37" s="2039"/>
      <c r="AN37" s="2039"/>
      <c r="AO37" s="2039"/>
      <c r="AP37" s="2039"/>
      <c r="AQ37" s="2039"/>
      <c r="AR37" s="2052"/>
      <c r="AS37" s="22"/>
    </row>
    <row r="38" spans="1:45" ht="18" customHeight="1">
      <c r="A38" s="640"/>
      <c r="B38" s="2005" t="s">
        <v>345</v>
      </c>
      <c r="C38" s="2006"/>
      <c r="D38" s="2006"/>
      <c r="E38" s="2006"/>
      <c r="F38" s="2006"/>
      <c r="G38" s="2006"/>
      <c r="H38" s="2006"/>
      <c r="I38" s="2006"/>
      <c r="J38" s="2006"/>
      <c r="K38" s="2006"/>
      <c r="L38" s="2006"/>
      <c r="M38" s="2006"/>
      <c r="N38" s="2036">
        <f>+'1Př2'!G3</f>
        <v>12</v>
      </c>
      <c r="O38" s="2037"/>
      <c r="P38" s="2028"/>
      <c r="Q38" s="2014"/>
      <c r="R38" s="2014"/>
      <c r="S38" s="2014"/>
      <c r="T38" s="2014"/>
      <c r="U38" s="2014"/>
      <c r="V38" s="2015"/>
      <c r="W38" s="638"/>
      <c r="X38" s="2005" t="s">
        <v>187</v>
      </c>
      <c r="Y38" s="2006"/>
      <c r="Z38" s="2006"/>
      <c r="AA38" s="2006"/>
      <c r="AB38" s="2006"/>
      <c r="AC38" s="2006"/>
      <c r="AD38" s="2006"/>
      <c r="AE38" s="2020">
        <f>+AE36-I49</f>
        <v>-31518</v>
      </c>
      <c r="AF38" s="2021"/>
      <c r="AG38" s="2021"/>
      <c r="AH38" s="2021"/>
      <c r="AI38" s="2021"/>
      <c r="AJ38" s="2021"/>
      <c r="AK38" s="2021"/>
      <c r="AL38" s="2021"/>
      <c r="AM38" s="2021"/>
      <c r="AN38" s="2022"/>
      <c r="AO38" s="2010" t="s">
        <v>202</v>
      </c>
      <c r="AP38" s="2003"/>
      <c r="AQ38" s="2003"/>
      <c r="AR38" s="2004"/>
      <c r="AS38" s="22"/>
    </row>
    <row r="39" spans="1:45" ht="18" customHeight="1">
      <c r="A39" s="640"/>
      <c r="B39" s="2049" t="s">
        <v>3767</v>
      </c>
      <c r="C39" s="2050"/>
      <c r="D39" s="2050"/>
      <c r="E39" s="2050"/>
      <c r="F39" s="2050"/>
      <c r="G39" s="2050"/>
      <c r="H39" s="2050"/>
      <c r="I39" s="2050"/>
      <c r="J39" s="2050"/>
      <c r="K39" s="2050"/>
      <c r="L39" s="2050"/>
      <c r="M39" s="2050"/>
      <c r="N39" s="2050"/>
      <c r="O39" s="2050"/>
      <c r="P39" s="2050"/>
      <c r="Q39" s="2050"/>
      <c r="R39" s="2050"/>
      <c r="S39" s="2050"/>
      <c r="T39" s="2050"/>
      <c r="U39" s="2050"/>
      <c r="V39" s="2051"/>
      <c r="W39" s="2013"/>
      <c r="X39" s="1136"/>
      <c r="Y39" s="1136"/>
      <c r="Z39" s="1136"/>
      <c r="AA39" s="1136"/>
      <c r="AB39" s="1136"/>
      <c r="AC39" s="1136"/>
      <c r="AD39" s="1136"/>
      <c r="AE39" s="1136"/>
      <c r="AF39" s="1136"/>
      <c r="AG39" s="1136"/>
      <c r="AH39" s="1136"/>
      <c r="AI39" s="1136"/>
      <c r="AJ39" s="1136"/>
      <c r="AK39" s="1136"/>
      <c r="AL39" s="1136"/>
      <c r="AM39" s="1136"/>
      <c r="AN39" s="1136"/>
      <c r="AO39" s="1136"/>
      <c r="AP39" s="1136"/>
      <c r="AQ39" s="1136"/>
      <c r="AR39" s="2035"/>
      <c r="AS39" s="22"/>
    </row>
    <row r="40" spans="1:45" ht="18" customHeight="1">
      <c r="A40" s="639" t="s">
        <v>3807</v>
      </c>
      <c r="B40" s="2005" t="s">
        <v>3900</v>
      </c>
      <c r="C40" s="2006"/>
      <c r="D40" s="2006"/>
      <c r="E40" s="2006"/>
      <c r="F40" s="2006"/>
      <c r="G40" s="2006"/>
      <c r="H40" s="2006"/>
      <c r="I40" s="2006"/>
      <c r="J40" s="2006"/>
      <c r="K40" s="2006"/>
      <c r="L40" s="2006"/>
      <c r="M40" s="2006"/>
      <c r="N40" s="2036">
        <v>12</v>
      </c>
      <c r="O40" s="2037"/>
      <c r="P40" s="2028"/>
      <c r="Q40" s="2014"/>
      <c r="R40" s="2014"/>
      <c r="S40" s="2014"/>
      <c r="T40" s="2014"/>
      <c r="U40" s="2014"/>
      <c r="V40" s="2015"/>
      <c r="W40" s="638"/>
      <c r="X40" s="2010" t="s">
        <v>351</v>
      </c>
      <c r="Y40" s="2010"/>
      <c r="Z40" s="2010"/>
      <c r="AA40" s="2010"/>
      <c r="AB40" s="2010"/>
      <c r="AC40" s="2010"/>
      <c r="AD40" s="2010"/>
      <c r="AE40" s="2010"/>
      <c r="AF40" s="2010"/>
      <c r="AG40" s="2010"/>
      <c r="AH40" s="2010"/>
      <c r="AI40" s="2010"/>
      <c r="AJ40" s="2010"/>
      <c r="AK40" s="2010"/>
      <c r="AL40" s="2010"/>
      <c r="AM40" s="2010"/>
      <c r="AN40" s="2010"/>
      <c r="AO40" s="2010"/>
      <c r="AP40" s="2010"/>
      <c r="AQ40" s="2010"/>
      <c r="AR40" s="2038"/>
      <c r="AS40" s="22"/>
    </row>
    <row r="41" spans="1:54" ht="18" customHeight="1">
      <c r="A41" s="640"/>
      <c r="B41" s="2039" t="s">
        <v>346</v>
      </c>
      <c r="C41" s="2040"/>
      <c r="D41" s="2040"/>
      <c r="E41" s="2040"/>
      <c r="F41" s="2040"/>
      <c r="G41" s="2040"/>
      <c r="H41" s="2040"/>
      <c r="I41" s="2040"/>
      <c r="J41" s="2040"/>
      <c r="K41" s="2040"/>
      <c r="L41" s="2040"/>
      <c r="M41" s="2040"/>
      <c r="N41" s="2040"/>
      <c r="O41" s="2040"/>
      <c r="P41" s="2040"/>
      <c r="Q41" s="2040"/>
      <c r="R41" s="2040"/>
      <c r="S41" s="2040"/>
      <c r="T41" s="2040"/>
      <c r="U41" s="2040"/>
      <c r="V41" s="2041"/>
      <c r="W41" s="638"/>
      <c r="X41" s="570" t="str">
        <f>+IF(AE38&lt;0,"X"," ")</f>
        <v>X</v>
      </c>
      <c r="Y41" s="2042" t="s">
        <v>3808</v>
      </c>
      <c r="Z41" s="2042"/>
      <c r="AA41" s="2042"/>
      <c r="AB41" s="2042"/>
      <c r="AC41" s="2042"/>
      <c r="AD41" s="2042"/>
      <c r="AE41" s="2042"/>
      <c r="AF41" s="2042"/>
      <c r="AG41" s="2042"/>
      <c r="AH41" s="2042"/>
      <c r="AI41" s="2042"/>
      <c r="AJ41" s="2042"/>
      <c r="AK41" s="2042"/>
      <c r="AL41" s="2042"/>
      <c r="AM41" s="2042"/>
      <c r="AN41" s="2042"/>
      <c r="AO41" s="2042"/>
      <c r="AP41" s="2042"/>
      <c r="AQ41" s="2042"/>
      <c r="AR41" s="2043"/>
      <c r="AS41" s="22"/>
      <c r="AT41" s="21"/>
      <c r="AU41" s="21"/>
      <c r="AV41" s="21"/>
      <c r="AW41" s="21"/>
      <c r="AX41" s="21"/>
      <c r="AY41" s="21"/>
      <c r="AZ41" s="21"/>
      <c r="BA41" s="21"/>
      <c r="BB41" s="21"/>
    </row>
    <row r="42" spans="1:54" ht="18" customHeight="1">
      <c r="A42" s="640"/>
      <c r="B42" s="2005" t="s">
        <v>347</v>
      </c>
      <c r="C42" s="2006"/>
      <c r="D42" s="2006"/>
      <c r="E42" s="2006"/>
      <c r="F42" s="2006"/>
      <c r="G42" s="2006"/>
      <c r="H42" s="2006"/>
      <c r="I42" s="2006"/>
      <c r="J42" s="2006"/>
      <c r="K42" s="2006"/>
      <c r="L42" s="2006"/>
      <c r="M42" s="2006"/>
      <c r="N42" s="2036">
        <f>12-BL30</f>
        <v>12</v>
      </c>
      <c r="O42" s="2037"/>
      <c r="P42" s="2028"/>
      <c r="Q42" s="2014"/>
      <c r="R42" s="2014"/>
      <c r="S42" s="2014"/>
      <c r="T42" s="2014"/>
      <c r="U42" s="2014"/>
      <c r="V42" s="2015"/>
      <c r="W42" s="638"/>
      <c r="X42" s="570" t="str">
        <f>+IF(AE38&gt;0,"X"," ")</f>
        <v xml:space="preserve"> </v>
      </c>
      <c r="Y42" s="2042" t="s">
        <v>3633</v>
      </c>
      <c r="Z42" s="2003"/>
      <c r="AA42" s="2003"/>
      <c r="AB42" s="2003"/>
      <c r="AC42" s="2003"/>
      <c r="AD42" s="2003"/>
      <c r="AE42" s="2003"/>
      <c r="AF42" s="2003"/>
      <c r="AG42" s="2003"/>
      <c r="AH42" s="2044">
        <f>+MAX(0,AE38)</f>
        <v>0</v>
      </c>
      <c r="AI42" s="2045"/>
      <c r="AJ42" s="2045"/>
      <c r="AK42" s="2045"/>
      <c r="AL42" s="2045"/>
      <c r="AM42" s="2045"/>
      <c r="AN42" s="2045"/>
      <c r="AO42" s="2046"/>
      <c r="AP42" s="2010" t="s">
        <v>202</v>
      </c>
      <c r="AQ42" s="2003"/>
      <c r="AR42" s="2004"/>
      <c r="AS42" s="22"/>
      <c r="AT42" s="21"/>
      <c r="AU42" s="21"/>
      <c r="AV42" s="21"/>
      <c r="AW42" s="21"/>
      <c r="AX42" s="21"/>
      <c r="AY42" s="21"/>
      <c r="AZ42" s="21"/>
      <c r="BA42" s="21"/>
      <c r="BB42" s="21"/>
    </row>
    <row r="43" spans="1:54" ht="18" customHeight="1">
      <c r="A43" s="640"/>
      <c r="B43" s="2026"/>
      <c r="C43" s="2026"/>
      <c r="D43" s="2026"/>
      <c r="E43" s="2026"/>
      <c r="F43" s="2026"/>
      <c r="G43" s="2026"/>
      <c r="H43" s="2026"/>
      <c r="I43" s="2027" t="s">
        <v>3989</v>
      </c>
      <c r="J43" s="2027"/>
      <c r="K43" s="2027"/>
      <c r="L43" s="2027"/>
      <c r="M43" s="2027"/>
      <c r="N43" s="2027"/>
      <c r="O43" s="2027"/>
      <c r="P43" s="2027"/>
      <c r="Q43" s="2027"/>
      <c r="R43" s="2027"/>
      <c r="S43" s="2027"/>
      <c r="T43" s="2028"/>
      <c r="U43" s="2014"/>
      <c r="V43" s="2015"/>
      <c r="W43" s="2013"/>
      <c r="X43" s="1136"/>
      <c r="Y43" s="2031" t="s">
        <v>3901</v>
      </c>
      <c r="Z43" s="2032"/>
      <c r="AA43" s="2032"/>
      <c r="AB43" s="2032"/>
      <c r="AC43" s="2033"/>
      <c r="AD43" s="570" t="str">
        <f>+X42</f>
        <v xml:space="preserve"> </v>
      </c>
      <c r="AE43" s="2034" t="s">
        <v>3902</v>
      </c>
      <c r="AF43" s="1136"/>
      <c r="AG43" s="1136"/>
      <c r="AH43" s="1136"/>
      <c r="AI43" s="1136"/>
      <c r="AJ43" s="1136"/>
      <c r="AK43" s="1136"/>
      <c r="AL43" s="1136"/>
      <c r="AM43" s="1136"/>
      <c r="AN43" s="1136"/>
      <c r="AO43" s="1136"/>
      <c r="AP43" s="1136"/>
      <c r="AQ43" s="1136"/>
      <c r="AR43" s="2035"/>
      <c r="AS43" s="22"/>
      <c r="AT43" s="21"/>
      <c r="AU43" s="21"/>
      <c r="AV43" s="21"/>
      <c r="AW43" s="21"/>
      <c r="AX43" s="21"/>
      <c r="AY43" s="21"/>
      <c r="AZ43" s="21"/>
      <c r="BA43" s="21"/>
      <c r="BB43" s="21"/>
    </row>
    <row r="44" spans="1:54" ht="18" customHeight="1">
      <c r="A44" s="640"/>
      <c r="B44" s="2005" t="s">
        <v>348</v>
      </c>
      <c r="C44" s="2003"/>
      <c r="D44" s="2003"/>
      <c r="E44" s="2003"/>
      <c r="F44" s="2003"/>
      <c r="G44" s="2003"/>
      <c r="H44" s="2003"/>
      <c r="I44" s="2007">
        <f>+N42*19455.5</f>
        <v>233466</v>
      </c>
      <c r="J44" s="2029"/>
      <c r="K44" s="2029"/>
      <c r="L44" s="2029"/>
      <c r="M44" s="2029"/>
      <c r="N44" s="2029"/>
      <c r="O44" s="2029"/>
      <c r="P44" s="2029"/>
      <c r="Q44" s="2029"/>
      <c r="R44" s="2029"/>
      <c r="S44" s="2030"/>
      <c r="T44" s="2010" t="s">
        <v>202</v>
      </c>
      <c r="U44" s="2003"/>
      <c r="V44" s="2004"/>
      <c r="W44" s="2013"/>
      <c r="X44" s="1136"/>
      <c r="Y44" s="1136"/>
      <c r="Z44" s="1136"/>
      <c r="AA44" s="1136"/>
      <c r="AB44" s="1136"/>
      <c r="AC44" s="2035"/>
      <c r="AD44" s="570"/>
      <c r="AE44" s="2034" t="s">
        <v>3903</v>
      </c>
      <c r="AF44" s="1136"/>
      <c r="AG44" s="1136"/>
      <c r="AH44" s="1136"/>
      <c r="AI44" s="1136"/>
      <c r="AJ44" s="1136"/>
      <c r="AK44" s="1136"/>
      <c r="AL44" s="1136"/>
      <c r="AM44" s="1136"/>
      <c r="AN44" s="1136"/>
      <c r="AO44" s="1136"/>
      <c r="AP44" s="1136"/>
      <c r="AQ44" s="1136"/>
      <c r="AR44" s="2035"/>
      <c r="AS44" s="22"/>
      <c r="AT44" s="21"/>
      <c r="AU44" s="21"/>
      <c r="AV44" s="21"/>
      <c r="AW44" s="21"/>
      <c r="AX44" s="21"/>
      <c r="AY44" s="21"/>
      <c r="AZ44" s="21"/>
      <c r="BA44" s="21"/>
      <c r="BB44" s="21"/>
    </row>
    <row r="45" spans="1:54" ht="18" customHeight="1">
      <c r="A45" s="2002" t="s">
        <v>3979</v>
      </c>
      <c r="B45" s="2003"/>
      <c r="C45" s="2003"/>
      <c r="D45" s="2003"/>
      <c r="E45" s="2003"/>
      <c r="F45" s="2003"/>
      <c r="G45" s="2003"/>
      <c r="H45" s="2003"/>
      <c r="I45" s="2003"/>
      <c r="J45" s="2003"/>
      <c r="K45" s="2003"/>
      <c r="L45" s="2003"/>
      <c r="M45" s="2003"/>
      <c r="N45" s="2003"/>
      <c r="O45" s="2003"/>
      <c r="P45" s="2003"/>
      <c r="Q45" s="2003"/>
      <c r="R45" s="2003"/>
      <c r="S45" s="2003"/>
      <c r="T45" s="2003"/>
      <c r="U45" s="2003"/>
      <c r="V45" s="2004"/>
      <c r="W45" s="1999" t="s">
        <v>3536</v>
      </c>
      <c r="X45" s="1999"/>
      <c r="Y45" s="1999"/>
      <c r="Z45" s="1999"/>
      <c r="AA45" s="1999"/>
      <c r="AB45" s="1999"/>
      <c r="AC45" s="1999"/>
      <c r="AD45" s="1999"/>
      <c r="AE45" s="1999"/>
      <c r="AF45" s="1999"/>
      <c r="AG45" s="1999"/>
      <c r="AH45" s="1999"/>
      <c r="AI45" s="1999"/>
      <c r="AJ45" s="1999"/>
      <c r="AK45" s="1999"/>
      <c r="AL45" s="1999"/>
      <c r="AM45" s="2000"/>
      <c r="AN45" s="2000"/>
      <c r="AO45" s="2000"/>
      <c r="AP45" s="2000"/>
      <c r="AQ45" s="2000"/>
      <c r="AR45" s="2001"/>
      <c r="AS45" s="22"/>
      <c r="AT45" s="21"/>
      <c r="AU45" s="21"/>
      <c r="AV45" s="21"/>
      <c r="AW45" s="21"/>
      <c r="AX45" s="21"/>
      <c r="AY45" s="21"/>
      <c r="AZ45" s="21"/>
      <c r="BA45" s="21"/>
      <c r="BB45" s="21"/>
    </row>
    <row r="46" spans="1:54" ht="18" customHeight="1">
      <c r="A46" s="640"/>
      <c r="B46" s="2005" t="s">
        <v>122</v>
      </c>
      <c r="C46" s="2006"/>
      <c r="D46" s="2006"/>
      <c r="E46" s="2006"/>
      <c r="F46" s="2006"/>
      <c r="G46" s="2006"/>
      <c r="H46" s="2006"/>
      <c r="I46" s="2007">
        <f>+MAX(I44,+I36*0.5)</f>
        <v>233466</v>
      </c>
      <c r="J46" s="2008"/>
      <c r="K46" s="2008"/>
      <c r="L46" s="2008"/>
      <c r="M46" s="2008"/>
      <c r="N46" s="2008"/>
      <c r="O46" s="2008"/>
      <c r="P46" s="2008"/>
      <c r="Q46" s="2008"/>
      <c r="R46" s="2008"/>
      <c r="S46" s="2009"/>
      <c r="T46" s="2010" t="s">
        <v>202</v>
      </c>
      <c r="U46" s="2003"/>
      <c r="V46" s="2004"/>
      <c r="W46" s="2011" t="s">
        <v>3904</v>
      </c>
      <c r="X46" s="2011"/>
      <c r="Y46" s="2011"/>
      <c r="Z46" s="2011"/>
      <c r="AA46" s="2011"/>
      <c r="AB46" s="2011"/>
      <c r="AC46" s="2011"/>
      <c r="AD46" s="2011"/>
      <c r="AE46" s="2011"/>
      <c r="AF46" s="2011"/>
      <c r="AG46" s="2011"/>
      <c r="AH46" s="2011"/>
      <c r="AI46" s="2011"/>
      <c r="AJ46" s="2011"/>
      <c r="AK46" s="2011"/>
      <c r="AL46" s="2011"/>
      <c r="AM46" s="2011"/>
      <c r="AN46" s="2011"/>
      <c r="AO46" s="2011"/>
      <c r="AP46" s="2011"/>
      <c r="AQ46" s="2011"/>
      <c r="AR46" s="2012"/>
      <c r="AS46" s="22"/>
      <c r="AT46" s="21"/>
      <c r="AU46" s="21"/>
      <c r="AV46" s="21"/>
      <c r="AW46" s="21"/>
      <c r="AX46" s="21"/>
      <c r="AY46" s="21"/>
      <c r="AZ46" s="21"/>
      <c r="BA46" s="21"/>
      <c r="BB46" s="21"/>
    </row>
    <row r="47" spans="1:54" ht="18" customHeight="1">
      <c r="A47" s="2013"/>
      <c r="B47" s="2014"/>
      <c r="C47" s="2014"/>
      <c r="D47" s="2014"/>
      <c r="E47" s="2014"/>
      <c r="F47" s="2014"/>
      <c r="G47" s="2014"/>
      <c r="H47" s="2014"/>
      <c r="I47" s="2014"/>
      <c r="J47" s="2014"/>
      <c r="K47" s="2014"/>
      <c r="L47" s="2014"/>
      <c r="M47" s="2014"/>
      <c r="N47" s="2014"/>
      <c r="O47" s="2014"/>
      <c r="P47" s="2014"/>
      <c r="Q47" s="2014"/>
      <c r="R47" s="2014"/>
      <c r="S47" s="2014"/>
      <c r="T47" s="2014"/>
      <c r="U47" s="2014"/>
      <c r="V47" s="2015"/>
      <c r="W47" s="643"/>
      <c r="X47" s="2016" t="s">
        <v>352</v>
      </c>
      <c r="Y47" s="2017"/>
      <c r="Z47" s="2017"/>
      <c r="AA47" s="2017"/>
      <c r="AB47" s="2017"/>
      <c r="AC47" s="2017"/>
      <c r="AD47" s="2018"/>
      <c r="AE47" s="2017"/>
      <c r="AF47" s="2019"/>
      <c r="AG47" s="2020">
        <f>+CEILING(0.135*0.5*MAX(0,I36)/N38,1)</f>
        <v>0</v>
      </c>
      <c r="AH47" s="2021"/>
      <c r="AI47" s="2021"/>
      <c r="AJ47" s="2021"/>
      <c r="AK47" s="2021"/>
      <c r="AL47" s="2021"/>
      <c r="AM47" s="2021"/>
      <c r="AN47" s="2022"/>
      <c r="AO47" s="2023" t="s">
        <v>202</v>
      </c>
      <c r="AP47" s="2024"/>
      <c r="AQ47" s="2024"/>
      <c r="AR47" s="2025"/>
      <c r="AS47" s="22"/>
      <c r="AT47" s="21"/>
      <c r="AU47" s="21"/>
      <c r="AV47" s="21"/>
      <c r="AW47" s="21"/>
      <c r="AX47" s="21"/>
      <c r="AY47" s="21"/>
      <c r="AZ47" s="21"/>
      <c r="BA47" s="21"/>
      <c r="BB47" s="21"/>
    </row>
    <row r="48" spans="1:54" ht="18" customHeight="1">
      <c r="A48" s="573"/>
      <c r="B48" s="2155" t="s">
        <v>3980</v>
      </c>
      <c r="C48" s="2156"/>
      <c r="D48" s="2156"/>
      <c r="E48" s="2156"/>
      <c r="F48" s="2156"/>
      <c r="G48" s="2156"/>
      <c r="H48" s="2156"/>
      <c r="I48" s="2156"/>
      <c r="J48" s="2156"/>
      <c r="K48" s="2156"/>
      <c r="L48" s="2156"/>
      <c r="M48" s="2156"/>
      <c r="N48" s="2156"/>
      <c r="O48" s="2156"/>
      <c r="P48" s="2156"/>
      <c r="Q48" s="2156"/>
      <c r="R48" s="2156"/>
      <c r="S48" s="2156"/>
      <c r="T48" s="2156"/>
      <c r="U48" s="2156"/>
      <c r="V48" s="2157"/>
      <c r="W48" s="644" t="s">
        <v>3809</v>
      </c>
      <c r="X48" s="644"/>
      <c r="Y48" s="644"/>
      <c r="Z48" s="644"/>
      <c r="AA48" s="644"/>
      <c r="AB48" s="644"/>
      <c r="AC48" s="644"/>
      <c r="AD48" s="644"/>
      <c r="AE48" s="644"/>
      <c r="AF48" s="644"/>
      <c r="AG48" s="574"/>
      <c r="AH48" s="574"/>
      <c r="AI48" s="574"/>
      <c r="AJ48" s="574"/>
      <c r="AK48" s="574"/>
      <c r="AL48" s="574"/>
      <c r="AM48" s="574"/>
      <c r="AN48" s="574"/>
      <c r="AO48" s="644"/>
      <c r="AP48" s="644"/>
      <c r="AQ48" s="644"/>
      <c r="AR48" s="645"/>
      <c r="AS48" s="22"/>
      <c r="AT48" s="21"/>
      <c r="AU48" s="21"/>
      <c r="AV48" s="21"/>
      <c r="AW48" s="21"/>
      <c r="AX48" s="21"/>
      <c r="AY48" s="21"/>
      <c r="AZ48" s="21"/>
      <c r="BA48" s="21"/>
      <c r="BB48" s="21"/>
    </row>
    <row r="49" spans="1:54" ht="18" customHeight="1">
      <c r="A49" s="575"/>
      <c r="B49" s="2016" t="s">
        <v>349</v>
      </c>
      <c r="C49" s="2158"/>
      <c r="D49" s="2158"/>
      <c r="E49" s="2158"/>
      <c r="F49" s="2158"/>
      <c r="G49" s="2158"/>
      <c r="H49" s="2158"/>
      <c r="I49" s="2007">
        <f>+CEILING(0.135*(I46*N40)/N38,1)</f>
        <v>31518</v>
      </c>
      <c r="J49" s="2008"/>
      <c r="K49" s="2008"/>
      <c r="L49" s="2008"/>
      <c r="M49" s="2008"/>
      <c r="N49" s="2008"/>
      <c r="O49" s="2008"/>
      <c r="P49" s="2008"/>
      <c r="Q49" s="2008"/>
      <c r="R49" s="2008"/>
      <c r="S49" s="2009"/>
      <c r="T49" s="2159" t="s">
        <v>202</v>
      </c>
      <c r="U49" s="2160"/>
      <c r="V49" s="2161"/>
      <c r="W49" s="576"/>
      <c r="X49" s="570" t="s">
        <v>258</v>
      </c>
      <c r="Y49" s="2162" t="s">
        <v>3985</v>
      </c>
      <c r="Z49" s="2024"/>
      <c r="AA49" s="2024"/>
      <c r="AB49" s="570"/>
      <c r="AC49" s="2162" t="s">
        <v>3537</v>
      </c>
      <c r="AD49" s="2024"/>
      <c r="AE49" s="2024"/>
      <c r="AF49" s="570"/>
      <c r="AG49" s="2162" t="s">
        <v>353</v>
      </c>
      <c r="AH49" s="2024"/>
      <c r="AI49" s="2024"/>
      <c r="AJ49" s="2163">
        <f>+IF(OR(EXACT(X49,"X"),EXACT(X49,"x")),MAX(AG47,2722),IF(OR(EXACT(AF49,"X"),EXACT(AF49,"x")),0,+AG47))</f>
        <v>2722</v>
      </c>
      <c r="AK49" s="2164"/>
      <c r="AL49" s="2164"/>
      <c r="AM49" s="2164"/>
      <c r="AN49" s="2165"/>
      <c r="AO49" s="2159" t="s">
        <v>202</v>
      </c>
      <c r="AP49" s="2024"/>
      <c r="AQ49" s="2024"/>
      <c r="AR49" s="2025"/>
      <c r="AS49" s="22"/>
      <c r="AT49" s="21"/>
      <c r="AU49" s="21"/>
      <c r="AV49" s="21"/>
      <c r="AW49" s="21"/>
      <c r="AX49" s="21"/>
      <c r="AY49" s="21"/>
      <c r="AZ49" s="21"/>
      <c r="BA49" s="21"/>
      <c r="BB49" s="21"/>
    </row>
    <row r="50" spans="1:54" ht="18" customHeight="1">
      <c r="A50" s="1962"/>
      <c r="B50" s="1963"/>
      <c r="C50" s="1963"/>
      <c r="D50" s="1963"/>
      <c r="E50" s="1963"/>
      <c r="F50" s="1963"/>
      <c r="G50" s="1963"/>
      <c r="H50" s="1963"/>
      <c r="I50" s="1963"/>
      <c r="J50" s="1963"/>
      <c r="K50" s="1963"/>
      <c r="L50" s="1963"/>
      <c r="M50" s="1963"/>
      <c r="N50" s="1963"/>
      <c r="O50" s="1963"/>
      <c r="P50" s="1963"/>
      <c r="Q50" s="1963"/>
      <c r="R50" s="1963"/>
      <c r="S50" s="1963"/>
      <c r="T50" s="1963"/>
      <c r="U50" s="1963"/>
      <c r="V50" s="1964"/>
      <c r="W50" s="1965"/>
      <c r="X50" s="1966"/>
      <c r="Y50" s="1966"/>
      <c r="Z50" s="1966"/>
      <c r="AA50" s="1966"/>
      <c r="AB50" s="1966"/>
      <c r="AC50" s="1966"/>
      <c r="AD50" s="1966"/>
      <c r="AE50" s="1966"/>
      <c r="AF50" s="1966"/>
      <c r="AG50" s="1966"/>
      <c r="AH50" s="1966"/>
      <c r="AI50" s="1966"/>
      <c r="AJ50" s="1966"/>
      <c r="AK50" s="1966"/>
      <c r="AL50" s="1966"/>
      <c r="AM50" s="1966"/>
      <c r="AN50" s="1966"/>
      <c r="AO50" s="1966"/>
      <c r="AP50" s="1966"/>
      <c r="AQ50" s="1966"/>
      <c r="AR50" s="1967"/>
      <c r="AS50" s="22"/>
      <c r="AT50" s="21"/>
      <c r="AU50" s="21"/>
      <c r="AV50" s="21"/>
      <c r="AW50" s="21"/>
      <c r="AX50" s="21"/>
      <c r="AY50" s="21"/>
      <c r="AZ50" s="21"/>
      <c r="BA50" s="21"/>
      <c r="BB50" s="21"/>
    </row>
    <row r="51" spans="1:45" ht="15" customHeight="1">
      <c r="A51" s="1968" t="s">
        <v>3538</v>
      </c>
      <c r="B51" s="1969"/>
      <c r="C51" s="1969"/>
      <c r="D51" s="1969"/>
      <c r="E51" s="1969"/>
      <c r="F51" s="1969"/>
      <c r="G51" s="1969"/>
      <c r="H51" s="1969"/>
      <c r="I51" s="1969"/>
      <c r="J51" s="1969"/>
      <c r="K51" s="1969"/>
      <c r="L51" s="1969"/>
      <c r="M51" s="1969"/>
      <c r="N51" s="1969"/>
      <c r="O51" s="1969"/>
      <c r="P51" s="1969"/>
      <c r="Q51" s="1969"/>
      <c r="R51" s="1969"/>
      <c r="S51" s="1969"/>
      <c r="T51" s="1969"/>
      <c r="U51" s="1969"/>
      <c r="V51" s="1969"/>
      <c r="W51" s="1969"/>
      <c r="X51" s="1969"/>
      <c r="Y51" s="1969"/>
      <c r="Z51" s="1969"/>
      <c r="AA51" s="1969"/>
      <c r="AB51" s="1969"/>
      <c r="AC51" s="1969"/>
      <c r="AD51" s="1969"/>
      <c r="AE51" s="1969"/>
      <c r="AF51" s="1969"/>
      <c r="AG51" s="1969"/>
      <c r="AH51" s="1969"/>
      <c r="AI51" s="1969"/>
      <c r="AJ51" s="1969"/>
      <c r="AK51" s="1969"/>
      <c r="AL51" s="1969"/>
      <c r="AM51" s="1969"/>
      <c r="AN51" s="1969"/>
      <c r="AO51" s="1969"/>
      <c r="AP51" s="1969"/>
      <c r="AQ51" s="1969"/>
      <c r="AR51" s="1970"/>
      <c r="AS51" s="22"/>
    </row>
    <row r="52" spans="1:45" ht="9.95" customHeight="1">
      <c r="A52" s="1976" t="s">
        <v>3768</v>
      </c>
      <c r="B52" s="1977"/>
      <c r="C52" s="1977"/>
      <c r="D52" s="1977"/>
      <c r="E52" s="1977"/>
      <c r="F52" s="1977"/>
      <c r="G52" s="1977"/>
      <c r="H52" s="1977"/>
      <c r="I52" s="1977"/>
      <c r="J52" s="1977"/>
      <c r="K52" s="1977"/>
      <c r="L52" s="1977"/>
      <c r="M52" s="1977"/>
      <c r="N52" s="1977"/>
      <c r="O52" s="1977"/>
      <c r="P52" s="1977"/>
      <c r="Q52" s="1977"/>
      <c r="R52" s="1977"/>
      <c r="S52" s="1977"/>
      <c r="T52" s="1977"/>
      <c r="U52" s="1977"/>
      <c r="V52" s="1977"/>
      <c r="W52" s="1977"/>
      <c r="X52" s="1977"/>
      <c r="Y52" s="1977"/>
      <c r="Z52" s="1977"/>
      <c r="AA52" s="571"/>
      <c r="AB52" s="571"/>
      <c r="AC52" s="571"/>
      <c r="AD52" s="571"/>
      <c r="AE52" s="571"/>
      <c r="AF52" s="571"/>
      <c r="AG52" s="571"/>
      <c r="AH52" s="571"/>
      <c r="AI52" s="571"/>
      <c r="AJ52" s="571"/>
      <c r="AK52" s="571"/>
      <c r="AL52" s="571"/>
      <c r="AM52" s="571"/>
      <c r="AN52" s="571"/>
      <c r="AO52" s="571"/>
      <c r="AP52" s="571"/>
      <c r="AQ52" s="571"/>
      <c r="AR52" s="577"/>
      <c r="AS52" s="22"/>
    </row>
    <row r="53" spans="1:45" ht="9.95" customHeight="1">
      <c r="A53" s="1978"/>
      <c r="B53" s="1977"/>
      <c r="C53" s="1977"/>
      <c r="D53" s="1977"/>
      <c r="E53" s="1977"/>
      <c r="F53" s="1977"/>
      <c r="G53" s="1977"/>
      <c r="H53" s="1977"/>
      <c r="I53" s="1977"/>
      <c r="J53" s="1977"/>
      <c r="K53" s="1977"/>
      <c r="L53" s="1977"/>
      <c r="M53" s="1977"/>
      <c r="N53" s="1977"/>
      <c r="O53" s="1977"/>
      <c r="P53" s="1977"/>
      <c r="Q53" s="1977"/>
      <c r="R53" s="1977"/>
      <c r="S53" s="1977"/>
      <c r="T53" s="1977"/>
      <c r="U53" s="1977"/>
      <c r="V53" s="1977"/>
      <c r="W53" s="1977"/>
      <c r="X53" s="1977"/>
      <c r="Y53" s="1977"/>
      <c r="Z53" s="1977"/>
      <c r="AA53" s="571"/>
      <c r="AB53" s="1979" t="s">
        <v>354</v>
      </c>
      <c r="AC53" s="1980"/>
      <c r="AD53" s="1980"/>
      <c r="AE53" s="1980"/>
      <c r="AF53" s="1980"/>
      <c r="AG53" s="1980"/>
      <c r="AH53" s="1980"/>
      <c r="AI53" s="1980"/>
      <c r="AJ53" s="1980"/>
      <c r="AK53" s="1980"/>
      <c r="AL53" s="1980"/>
      <c r="AM53" s="1980"/>
      <c r="AN53" s="1981"/>
      <c r="AO53" s="1988"/>
      <c r="AP53" s="1988"/>
      <c r="AQ53" s="1988"/>
      <c r="AR53" s="1989"/>
      <c r="AS53" s="22"/>
    </row>
    <row r="54" spans="1:45" ht="9.95" customHeight="1">
      <c r="A54" s="1978"/>
      <c r="B54" s="1977"/>
      <c r="C54" s="1977"/>
      <c r="D54" s="1977"/>
      <c r="E54" s="1977"/>
      <c r="F54" s="1977"/>
      <c r="G54" s="1977"/>
      <c r="H54" s="1977"/>
      <c r="I54" s="1977"/>
      <c r="J54" s="1977"/>
      <c r="K54" s="1977"/>
      <c r="L54" s="1977"/>
      <c r="M54" s="1977"/>
      <c r="N54" s="1977"/>
      <c r="O54" s="1977"/>
      <c r="P54" s="1977"/>
      <c r="Q54" s="1977"/>
      <c r="R54" s="1977"/>
      <c r="S54" s="1977"/>
      <c r="T54" s="1977"/>
      <c r="U54" s="1977"/>
      <c r="V54" s="1977"/>
      <c r="W54" s="1977"/>
      <c r="X54" s="1977"/>
      <c r="Y54" s="1977"/>
      <c r="Z54" s="1977"/>
      <c r="AA54" s="571"/>
      <c r="AB54" s="1982"/>
      <c r="AC54" s="1983"/>
      <c r="AD54" s="1983"/>
      <c r="AE54" s="1983"/>
      <c r="AF54" s="1983"/>
      <c r="AG54" s="1983"/>
      <c r="AH54" s="1983"/>
      <c r="AI54" s="1983"/>
      <c r="AJ54" s="1983"/>
      <c r="AK54" s="1983"/>
      <c r="AL54" s="1983"/>
      <c r="AM54" s="1983"/>
      <c r="AN54" s="1984"/>
      <c r="AO54" s="1988"/>
      <c r="AP54" s="1988"/>
      <c r="AQ54" s="1988"/>
      <c r="AR54" s="1989"/>
      <c r="AS54" s="22"/>
    </row>
    <row r="55" spans="1:45" ht="9.95" customHeight="1">
      <c r="A55" s="1978"/>
      <c r="B55" s="1977"/>
      <c r="C55" s="1977"/>
      <c r="D55" s="1977"/>
      <c r="E55" s="1977"/>
      <c r="F55" s="1977"/>
      <c r="G55" s="1977"/>
      <c r="H55" s="1977"/>
      <c r="I55" s="1977"/>
      <c r="J55" s="1977"/>
      <c r="K55" s="1977"/>
      <c r="L55" s="1977"/>
      <c r="M55" s="1977"/>
      <c r="N55" s="1977"/>
      <c r="O55" s="1977"/>
      <c r="P55" s="1977"/>
      <c r="Q55" s="1977"/>
      <c r="R55" s="1977"/>
      <c r="S55" s="1977"/>
      <c r="T55" s="1977"/>
      <c r="U55" s="1977"/>
      <c r="V55" s="1977"/>
      <c r="W55" s="1977"/>
      <c r="X55" s="1977"/>
      <c r="Y55" s="1977"/>
      <c r="Z55" s="1977"/>
      <c r="AA55" s="571"/>
      <c r="AB55" s="1982"/>
      <c r="AC55" s="1983"/>
      <c r="AD55" s="1983"/>
      <c r="AE55" s="1983"/>
      <c r="AF55" s="1983"/>
      <c r="AG55" s="1983"/>
      <c r="AH55" s="1983"/>
      <c r="AI55" s="1983"/>
      <c r="AJ55" s="1983"/>
      <c r="AK55" s="1983"/>
      <c r="AL55" s="1983"/>
      <c r="AM55" s="1983"/>
      <c r="AN55" s="1984"/>
      <c r="AO55" s="1988"/>
      <c r="AP55" s="1988"/>
      <c r="AQ55" s="1988"/>
      <c r="AR55" s="1989"/>
      <c r="AS55" s="22"/>
    </row>
    <row r="56" spans="1:45" ht="12.75">
      <c r="A56" s="569"/>
      <c r="B56" s="1990" t="s">
        <v>3986</v>
      </c>
      <c r="C56" s="1990"/>
      <c r="D56" s="1990"/>
      <c r="E56" s="1990"/>
      <c r="F56" s="1990"/>
      <c r="G56" s="1990"/>
      <c r="H56" s="1990"/>
      <c r="I56" s="1990"/>
      <c r="J56" s="1990"/>
      <c r="K56" s="1990"/>
      <c r="L56" s="1990"/>
      <c r="M56" s="1990"/>
      <c r="N56" s="1990"/>
      <c r="O56" s="1990"/>
      <c r="P56" s="1990"/>
      <c r="Q56" s="1991" t="s">
        <v>355</v>
      </c>
      <c r="R56" s="1977"/>
      <c r="S56" s="1977"/>
      <c r="T56" s="1977"/>
      <c r="U56" s="1977"/>
      <c r="V56" s="1977"/>
      <c r="W56" s="1977"/>
      <c r="X56" s="1977"/>
      <c r="Y56" s="1977"/>
      <c r="Z56" s="578"/>
      <c r="AA56" s="578"/>
      <c r="AB56" s="1982"/>
      <c r="AC56" s="1983"/>
      <c r="AD56" s="1983"/>
      <c r="AE56" s="1983"/>
      <c r="AF56" s="1983"/>
      <c r="AG56" s="1983"/>
      <c r="AH56" s="1983"/>
      <c r="AI56" s="1983"/>
      <c r="AJ56" s="1983"/>
      <c r="AK56" s="1983"/>
      <c r="AL56" s="1983"/>
      <c r="AM56" s="1983"/>
      <c r="AN56" s="1984"/>
      <c r="AO56" s="1988"/>
      <c r="AP56" s="1988"/>
      <c r="AQ56" s="1988"/>
      <c r="AR56" s="1989"/>
      <c r="AS56" s="22"/>
    </row>
    <row r="57" spans="1:45" ht="15" customHeight="1">
      <c r="A57" s="569"/>
      <c r="B57" s="559"/>
      <c r="C57" s="1988"/>
      <c r="D57" s="1988"/>
      <c r="E57" s="1988"/>
      <c r="F57" s="1988"/>
      <c r="G57" s="1988"/>
      <c r="H57" s="1988"/>
      <c r="I57" s="1988"/>
      <c r="J57" s="1988"/>
      <c r="K57" s="1988"/>
      <c r="L57" s="1988"/>
      <c r="M57" s="1988"/>
      <c r="N57" s="1988"/>
      <c r="O57" s="1988"/>
      <c r="P57" s="1988"/>
      <c r="Q57" s="1992">
        <f ca="1">+TODAY()</f>
        <v>44994</v>
      </c>
      <c r="R57" s="1993"/>
      <c r="S57" s="1993"/>
      <c r="T57" s="1993"/>
      <c r="U57" s="1993"/>
      <c r="V57" s="1993"/>
      <c r="W57" s="1993"/>
      <c r="X57" s="1993"/>
      <c r="Y57" s="1994"/>
      <c r="Z57" s="571"/>
      <c r="AA57" s="571"/>
      <c r="AB57" s="1982"/>
      <c r="AC57" s="1983"/>
      <c r="AD57" s="1983"/>
      <c r="AE57" s="1983"/>
      <c r="AF57" s="1983"/>
      <c r="AG57" s="1983"/>
      <c r="AH57" s="1983"/>
      <c r="AI57" s="1983"/>
      <c r="AJ57" s="1983"/>
      <c r="AK57" s="1983"/>
      <c r="AL57" s="1983"/>
      <c r="AM57" s="1983"/>
      <c r="AN57" s="1984"/>
      <c r="AO57" s="1988"/>
      <c r="AP57" s="1988"/>
      <c r="AQ57" s="559"/>
      <c r="AR57" s="1989"/>
      <c r="AS57" s="22"/>
    </row>
    <row r="58" spans="1:45" ht="12.75">
      <c r="A58" s="1998"/>
      <c r="B58" s="1975"/>
      <c r="C58" s="1975"/>
      <c r="D58" s="1975"/>
      <c r="E58" s="1975"/>
      <c r="F58" s="1975"/>
      <c r="G58" s="1975"/>
      <c r="H58" s="1975"/>
      <c r="I58" s="1975"/>
      <c r="J58" s="1975"/>
      <c r="K58" s="1975"/>
      <c r="L58" s="1975"/>
      <c r="M58" s="1975"/>
      <c r="N58" s="1975"/>
      <c r="O58" s="1975"/>
      <c r="P58" s="1975"/>
      <c r="Q58" s="1995"/>
      <c r="R58" s="1996"/>
      <c r="S58" s="1996"/>
      <c r="T58" s="1996"/>
      <c r="U58" s="1996"/>
      <c r="V58" s="1996"/>
      <c r="W58" s="1996"/>
      <c r="X58" s="1996"/>
      <c r="Y58" s="1997"/>
      <c r="Z58" s="571"/>
      <c r="AA58" s="571"/>
      <c r="AB58" s="1985"/>
      <c r="AC58" s="1986"/>
      <c r="AD58" s="1986"/>
      <c r="AE58" s="1986"/>
      <c r="AF58" s="1986"/>
      <c r="AG58" s="1986"/>
      <c r="AH58" s="1986"/>
      <c r="AI58" s="1986"/>
      <c r="AJ58" s="1986"/>
      <c r="AK58" s="1986"/>
      <c r="AL58" s="1986"/>
      <c r="AM58" s="1986"/>
      <c r="AN58" s="1987"/>
      <c r="AO58" s="1988"/>
      <c r="AP58" s="1988"/>
      <c r="AQ58" s="571"/>
      <c r="AR58" s="1989"/>
      <c r="AS58" s="22"/>
    </row>
    <row r="59" spans="1:45" ht="8.1" customHeight="1">
      <c r="A59" s="1971"/>
      <c r="B59" s="1972"/>
      <c r="C59" s="1972"/>
      <c r="D59" s="1972"/>
      <c r="E59" s="1972"/>
      <c r="F59" s="1972"/>
      <c r="G59" s="1972"/>
      <c r="H59" s="1972"/>
      <c r="I59" s="1972"/>
      <c r="J59" s="1972"/>
      <c r="K59" s="1972"/>
      <c r="L59" s="1972"/>
      <c r="M59" s="1972"/>
      <c r="N59" s="1972"/>
      <c r="O59" s="1972"/>
      <c r="P59" s="1972"/>
      <c r="Q59" s="1972"/>
      <c r="R59" s="1972"/>
      <c r="S59" s="1972"/>
      <c r="T59" s="1972"/>
      <c r="U59" s="1972"/>
      <c r="V59" s="1972"/>
      <c r="W59" s="1972"/>
      <c r="X59" s="1972"/>
      <c r="Y59" s="1972"/>
      <c r="Z59" s="1972"/>
      <c r="AA59" s="1972"/>
      <c r="AB59" s="1972"/>
      <c r="AC59" s="1972"/>
      <c r="AD59" s="1972"/>
      <c r="AE59" s="1972"/>
      <c r="AF59" s="1972"/>
      <c r="AG59" s="1972"/>
      <c r="AH59" s="1972"/>
      <c r="AI59" s="1972"/>
      <c r="AJ59" s="1972"/>
      <c r="AK59" s="1972"/>
      <c r="AL59" s="1972"/>
      <c r="AM59" s="1972"/>
      <c r="AN59" s="1972"/>
      <c r="AO59" s="1972"/>
      <c r="AP59" s="1972"/>
      <c r="AQ59" s="1972"/>
      <c r="AR59" s="1973"/>
      <c r="AS59" s="22"/>
    </row>
    <row r="60" spans="1:45" ht="12.75">
      <c r="A60" s="1974" t="str">
        <f>+'SP1'!A69</f>
        <v>Formulář zpracovala ASPEKT HM, daňová, účetní a auditorská kancelář, www.danovapriznani.cz, business.center.cz</v>
      </c>
      <c r="B60" s="1975"/>
      <c r="C60" s="1975"/>
      <c r="D60" s="1975"/>
      <c r="E60" s="1975"/>
      <c r="F60" s="1975"/>
      <c r="G60" s="1975"/>
      <c r="H60" s="1975"/>
      <c r="I60" s="1975"/>
      <c r="J60" s="1975"/>
      <c r="K60" s="1975"/>
      <c r="L60" s="1975"/>
      <c r="M60" s="1975"/>
      <c r="N60" s="1975"/>
      <c r="O60" s="1975"/>
      <c r="P60" s="1975"/>
      <c r="Q60" s="1975"/>
      <c r="R60" s="1975"/>
      <c r="S60" s="1975"/>
      <c r="T60" s="1975"/>
      <c r="U60" s="1975"/>
      <c r="V60" s="1975"/>
      <c r="W60" s="1975"/>
      <c r="X60" s="1975"/>
      <c r="Y60" s="1975"/>
      <c r="Z60" s="1975"/>
      <c r="AA60" s="1975"/>
      <c r="AB60" s="1975"/>
      <c r="AC60" s="1975"/>
      <c r="AD60" s="1975"/>
      <c r="AE60" s="1975"/>
      <c r="AF60" s="1975"/>
      <c r="AG60" s="1975"/>
      <c r="AH60" s="1975"/>
      <c r="AI60" s="1975"/>
      <c r="AJ60" s="1975"/>
      <c r="AK60" s="1975"/>
      <c r="AL60" s="1975"/>
      <c r="AM60" s="1975"/>
      <c r="AN60" s="1975"/>
      <c r="AO60" s="1975"/>
      <c r="AP60" s="1975"/>
      <c r="AQ60" s="1975"/>
      <c r="AR60" s="1975"/>
      <c r="AS60" s="22"/>
    </row>
    <row r="61" spans="1:45" ht="12.75">
      <c r="A61" s="1974" t="str">
        <f>+CONCATENATE(ZAKL_DATA!A44)</f>
        <v/>
      </c>
      <c r="B61" s="1975"/>
      <c r="C61" s="1975"/>
      <c r="D61" s="1975"/>
      <c r="E61" s="1975"/>
      <c r="F61" s="1975"/>
      <c r="G61" s="1975"/>
      <c r="H61" s="1975"/>
      <c r="I61" s="1975"/>
      <c r="J61" s="1975"/>
      <c r="K61" s="1975"/>
      <c r="L61" s="1975"/>
      <c r="M61" s="1975"/>
      <c r="N61" s="1975"/>
      <c r="O61" s="1975"/>
      <c r="P61" s="1975"/>
      <c r="Q61" s="1975"/>
      <c r="R61" s="1975"/>
      <c r="S61" s="1975"/>
      <c r="T61" s="1975"/>
      <c r="U61" s="1975"/>
      <c r="V61" s="1975"/>
      <c r="W61" s="1975"/>
      <c r="X61" s="1975"/>
      <c r="Y61" s="1975"/>
      <c r="Z61" s="1975"/>
      <c r="AA61" s="1975"/>
      <c r="AB61" s="1975"/>
      <c r="AC61" s="1975"/>
      <c r="AD61" s="1975"/>
      <c r="AE61" s="1975"/>
      <c r="AF61" s="1975"/>
      <c r="AG61" s="1975"/>
      <c r="AH61" s="1975"/>
      <c r="AI61" s="1975"/>
      <c r="AJ61" s="1975"/>
      <c r="AK61" s="1975"/>
      <c r="AL61" s="1975"/>
      <c r="AM61" s="1975"/>
      <c r="AN61" s="1975"/>
      <c r="AO61" s="1975"/>
      <c r="AP61" s="1975"/>
      <c r="AQ61" s="1975"/>
      <c r="AR61" s="1975"/>
      <c r="AS61" s="22"/>
    </row>
    <row r="62" spans="1:45" ht="12.7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</row>
    <row r="63" spans="1:45" ht="12.7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</row>
    <row r="64" spans="1:45" ht="12.7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</row>
    <row r="65" spans="1:45" ht="12.7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</row>
    <row r="66" spans="1:45" ht="12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</row>
    <row r="67" spans="1:45" ht="12.7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</row>
    <row r="68" spans="1:45" ht="12.7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</row>
    <row r="69" spans="1:45" ht="12.7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</row>
    <row r="70" spans="1:45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</row>
    <row r="71" spans="1:45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</row>
    <row r="72" spans="1:45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</row>
    <row r="73" spans="1:45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</row>
    <row r="74" spans="1:45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</row>
    <row r="75" spans="1:45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</row>
    <row r="76" spans="1:45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</row>
    <row r="77" spans="1:45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</row>
    <row r="78" spans="1:45" ht="12.7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</row>
    <row r="79" spans="1:45" ht="12.7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</row>
    <row r="80" spans="1:45" ht="12.7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</row>
    <row r="81" spans="1:45" ht="12.7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</row>
    <row r="82" spans="1:45" ht="12.7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</row>
    <row r="83" spans="1:45" ht="12.7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</row>
    <row r="84" spans="1:45" ht="12.7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</row>
    <row r="85" spans="1:45" ht="12.7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</row>
    <row r="86" spans="1:45" ht="12.7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</row>
    <row r="87" spans="1:45" ht="12.7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</row>
    <row r="88" spans="1:45" ht="12.7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</row>
    <row r="89" spans="1:45" ht="12.7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</row>
    <row r="90" spans="1:45" ht="12.7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</row>
    <row r="91" spans="1:45" ht="12.7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1:45" ht="12.7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</row>
    <row r="93" spans="1:45" ht="12.7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</row>
    <row r="94" spans="1:45" ht="12.7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</row>
    <row r="95" spans="1:45" ht="12.7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</row>
    <row r="96" spans="1:45" ht="12.7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</row>
    <row r="97" spans="1:45" ht="12.7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</row>
    <row r="98" spans="1:45" ht="12.7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</row>
    <row r="99" spans="1:45" ht="12.7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</row>
    <row r="100" spans="1:45" ht="12.7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</row>
    <row r="101" spans="1:45" ht="12.7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</row>
    <row r="102" spans="1:45" ht="12.7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</row>
    <row r="103" spans="1:45" ht="12.7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</row>
    <row r="104" spans="1:45" ht="12.7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</row>
    <row r="105" spans="1:45" ht="12.7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</row>
    <row r="106" spans="1:45" ht="12.7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</row>
    <row r="107" spans="1:45" ht="12.7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</row>
    <row r="108" spans="1:45" ht="12.7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</row>
    <row r="109" spans="1:45" ht="12.7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</row>
    <row r="110" spans="1:45" ht="12.7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</row>
    <row r="111" spans="1:45" ht="12.7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</row>
    <row r="112" spans="2:45" ht="12.75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</row>
    <row r="113" spans="2:45" ht="12.75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</row>
  </sheetData>
  <sheetProtection algorithmName="SHA-512" hashValue="4zI68E57hlKbDBT7fFOFa6we4uxYvlxJYSuE0SiLnQdQmc3e/oM97YkbI+3ehVye1WsnrDF9cdoWd6nMlwdeug==" saltValue="1xnCVsojq945FPV7acdfww==" spinCount="100000" sheet="1" objects="1" scenarios="1"/>
  <mergeCells count="150">
    <mergeCell ref="W34:AR34"/>
    <mergeCell ref="W35:AR35"/>
    <mergeCell ref="B35:H35"/>
    <mergeCell ref="I35:S35"/>
    <mergeCell ref="T35:V35"/>
    <mergeCell ref="B36:H36"/>
    <mergeCell ref="I36:S36"/>
    <mergeCell ref="T36:V36"/>
    <mergeCell ref="X36:AD36"/>
    <mergeCell ref="AE36:AN36"/>
    <mergeCell ref="AO36:AR36"/>
    <mergeCell ref="B48:V48"/>
    <mergeCell ref="B49:H49"/>
    <mergeCell ref="I49:S49"/>
    <mergeCell ref="T49:V49"/>
    <mergeCell ref="Y49:AA49"/>
    <mergeCell ref="AC49:AE49"/>
    <mergeCell ref="AG49:AI49"/>
    <mergeCell ref="AJ49:AN49"/>
    <mergeCell ref="AO49:AR49"/>
    <mergeCell ref="AG16:AR16"/>
    <mergeCell ref="AG17:AR17"/>
    <mergeCell ref="A14:F14"/>
    <mergeCell ref="H14:AI14"/>
    <mergeCell ref="AK14:AR14"/>
    <mergeCell ref="A15:F15"/>
    <mergeCell ref="H15:AI15"/>
    <mergeCell ref="AK15:AR15"/>
    <mergeCell ref="N23:O23"/>
    <mergeCell ref="F4:S4"/>
    <mergeCell ref="T4:AA4"/>
    <mergeCell ref="A5:R6"/>
    <mergeCell ref="T5:AA5"/>
    <mergeCell ref="B31:G32"/>
    <mergeCell ref="H32:P32"/>
    <mergeCell ref="R32:Z32"/>
    <mergeCell ref="A16:AE16"/>
    <mergeCell ref="A17:AE17"/>
    <mergeCell ref="A18:AR18"/>
    <mergeCell ref="A19:AR19"/>
    <mergeCell ref="A20:AR20"/>
    <mergeCell ref="A21:AR21"/>
    <mergeCell ref="B22:AA22"/>
    <mergeCell ref="AB22:AR22"/>
    <mergeCell ref="AD23:AR23"/>
    <mergeCell ref="N29:O29"/>
    <mergeCell ref="P30:S30"/>
    <mergeCell ref="AB24:AR24"/>
    <mergeCell ref="B25:AA25"/>
    <mergeCell ref="AD25:AR25"/>
    <mergeCell ref="P23:AA24"/>
    <mergeCell ref="N26:O26"/>
    <mergeCell ref="P26:S26"/>
    <mergeCell ref="AT1:AV1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U6:Z6"/>
    <mergeCell ref="A7:S7"/>
    <mergeCell ref="T7:V7"/>
    <mergeCell ref="X7:Y7"/>
    <mergeCell ref="A8:AR8"/>
    <mergeCell ref="A9:AR9"/>
    <mergeCell ref="T1:AA1"/>
    <mergeCell ref="AF1:AR7"/>
    <mergeCell ref="T2:AA2"/>
    <mergeCell ref="T3:AA3"/>
    <mergeCell ref="A4:E4"/>
    <mergeCell ref="T26:W26"/>
    <mergeCell ref="X26:AA26"/>
    <mergeCell ref="B37:V37"/>
    <mergeCell ref="W37:AR37"/>
    <mergeCell ref="W39:AR39"/>
    <mergeCell ref="X38:AD38"/>
    <mergeCell ref="AE38:AN38"/>
    <mergeCell ref="AO38:AR38"/>
    <mergeCell ref="B38:M38"/>
    <mergeCell ref="N38:O38"/>
    <mergeCell ref="P38:V38"/>
    <mergeCell ref="B39:V39"/>
    <mergeCell ref="AB30:AR33"/>
    <mergeCell ref="AB26:AR26"/>
    <mergeCell ref="P27:S27"/>
    <mergeCell ref="U27:W27"/>
    <mergeCell ref="Y27:AA27"/>
    <mergeCell ref="AD27:AR27"/>
    <mergeCell ref="B28:AA28"/>
    <mergeCell ref="AB28:AR28"/>
    <mergeCell ref="P29:S29"/>
    <mergeCell ref="AD29:AR29"/>
    <mergeCell ref="A33:AA33"/>
    <mergeCell ref="A34:V34"/>
    <mergeCell ref="B40:M40"/>
    <mergeCell ref="N40:O40"/>
    <mergeCell ref="P40:V40"/>
    <mergeCell ref="X40:AR40"/>
    <mergeCell ref="B41:V41"/>
    <mergeCell ref="Y41:AR41"/>
    <mergeCell ref="B42:M42"/>
    <mergeCell ref="N42:O42"/>
    <mergeCell ref="P42:V42"/>
    <mergeCell ref="Y42:AG42"/>
    <mergeCell ref="AH42:AO42"/>
    <mergeCell ref="AP42:AR42"/>
    <mergeCell ref="B43:H43"/>
    <mergeCell ref="I43:S43"/>
    <mergeCell ref="T43:V43"/>
    <mergeCell ref="B44:H44"/>
    <mergeCell ref="I44:S44"/>
    <mergeCell ref="T44:V44"/>
    <mergeCell ref="W43:X43"/>
    <mergeCell ref="Y43:AC43"/>
    <mergeCell ref="AE43:AR43"/>
    <mergeCell ref="W44:AC44"/>
    <mergeCell ref="AE44:AR44"/>
    <mergeCell ref="W45:AR45"/>
    <mergeCell ref="A45:V45"/>
    <mergeCell ref="B46:H46"/>
    <mergeCell ref="I46:S46"/>
    <mergeCell ref="T46:V46"/>
    <mergeCell ref="W46:AR46"/>
    <mergeCell ref="A47:V47"/>
    <mergeCell ref="X47:AF47"/>
    <mergeCell ref="AG47:AN47"/>
    <mergeCell ref="AO47:AR47"/>
    <mergeCell ref="A50:V50"/>
    <mergeCell ref="W50:AR50"/>
    <mergeCell ref="A51:AR51"/>
    <mergeCell ref="A59:AR59"/>
    <mergeCell ref="A60:AR60"/>
    <mergeCell ref="A61:AR61"/>
    <mergeCell ref="A52:Z55"/>
    <mergeCell ref="AB53:AN58"/>
    <mergeCell ref="AO53:AR56"/>
    <mergeCell ref="B56:P56"/>
    <mergeCell ref="Q56:Y56"/>
    <mergeCell ref="C57:P57"/>
    <mergeCell ref="Q57:Y58"/>
    <mergeCell ref="AO57:AP58"/>
    <mergeCell ref="AR57:AR58"/>
    <mergeCell ref="A58:P58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1" r:id="rId4"/>
  <headerFooter alignWithMargins="0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BF99143-2C24-4315-AB44-4B4FF0E50522}">
  <sheetPr>
    <tabColor theme="6" tint="0.599990010261536"/>
    <pageSetUpPr fitToPage="1"/>
  </sheetPr>
  <dimension ref="A1:CX113"/>
  <sheetViews>
    <sheetView workbookViewId="0" topLeftCell="A1">
      <selection pane="topLeft" activeCell="A11" sqref="A11:W11"/>
    </sheetView>
  </sheetViews>
  <sheetFormatPr defaultRowHeight="12.75"/>
  <cols>
    <col min="1" max="14" width="2.71428571428571" customWidth="1"/>
    <col min="15" max="15" width="3.28571428571429" customWidth="1"/>
    <col min="16" max="17" width="2.71428571428571" customWidth="1"/>
    <col min="18" max="18" width="3.28571428571429" customWidth="1"/>
    <col min="19" max="24" width="2.71428571428571" customWidth="1"/>
    <col min="25" max="25" width="3.71428571428571" customWidth="1"/>
    <col min="26" max="28" width="2.71428571428571" customWidth="1"/>
    <col min="29" max="29" width="3.28571428571429" customWidth="1"/>
    <col min="30" max="44" width="2.71428571428571" customWidth="1"/>
    <col min="45" max="49" width="9.14285714285714" style="22"/>
    <col min="50" max="50" width="0" style="22" hidden="1" customWidth="1"/>
    <col min="51" max="55" width="4.71428571428571" style="22" hidden="1" customWidth="1"/>
    <col min="56" max="64" width="4.71428571428571" style="21" hidden="1" customWidth="1"/>
    <col min="65" max="102" width="9.14285714285714" style="21"/>
  </cols>
  <sheetData>
    <row r="1" spans="1:49" ht="21.95" customHeight="1">
      <c r="A1" s="2371" t="s">
        <v>3570</v>
      </c>
      <c r="B1" s="2371"/>
      <c r="C1" s="2371"/>
      <c r="D1" s="2371"/>
      <c r="E1" s="2371"/>
      <c r="F1" s="2371"/>
      <c r="G1" s="2371"/>
      <c r="H1" s="2371"/>
      <c r="I1" s="2371"/>
      <c r="J1" s="2371"/>
      <c r="K1" s="2371"/>
      <c r="L1" s="2371"/>
      <c r="M1" s="2371"/>
      <c r="N1" s="2371"/>
      <c r="O1" s="2371"/>
      <c r="P1" s="2371"/>
      <c r="Q1" s="73"/>
      <c r="R1" s="73"/>
      <c r="S1" s="73"/>
      <c r="T1" s="2373" t="s">
        <v>357</v>
      </c>
      <c r="U1" s="864"/>
      <c r="V1" s="864"/>
      <c r="W1" s="864"/>
      <c r="X1" s="864"/>
      <c r="Y1" s="864"/>
      <c r="Z1" s="864"/>
      <c r="AA1" s="865"/>
      <c r="AB1" s="73"/>
      <c r="AC1" s="73"/>
      <c r="AD1" s="558"/>
      <c r="AE1" s="558"/>
      <c r="AF1" s="2374" t="s">
        <v>3810</v>
      </c>
      <c r="AG1" s="2375"/>
      <c r="AH1" s="2375"/>
      <c r="AI1" s="2375"/>
      <c r="AJ1" s="2375"/>
      <c r="AK1" s="2375"/>
      <c r="AL1" s="2375"/>
      <c r="AM1" s="2375"/>
      <c r="AN1" s="2375"/>
      <c r="AO1" s="2375"/>
      <c r="AP1" s="2375"/>
      <c r="AQ1" s="2375"/>
      <c r="AR1" s="2376"/>
      <c r="AS1" s="355"/>
      <c r="AT1" s="2065" t="s">
        <v>3634</v>
      </c>
      <c r="AU1" s="2066"/>
      <c r="AV1" s="2066"/>
      <c r="AW1" s="355"/>
    </row>
    <row r="2" spans="1:49" ht="18" customHeight="1">
      <c r="A2" s="2371"/>
      <c r="B2" s="2371"/>
      <c r="C2" s="2371"/>
      <c r="D2" s="2371"/>
      <c r="E2" s="2371"/>
      <c r="F2" s="2371"/>
      <c r="G2" s="2371"/>
      <c r="H2" s="2371"/>
      <c r="I2" s="2371"/>
      <c r="J2" s="2371"/>
      <c r="K2" s="2371"/>
      <c r="L2" s="2371"/>
      <c r="M2" s="2371"/>
      <c r="N2" s="2371"/>
      <c r="O2" s="2371"/>
      <c r="P2" s="2371"/>
      <c r="Q2" s="73"/>
      <c r="R2" s="559"/>
      <c r="S2" s="73"/>
      <c r="T2" s="2357" t="s">
        <v>358</v>
      </c>
      <c r="U2" s="733"/>
      <c r="V2" s="733"/>
      <c r="W2" s="733"/>
      <c r="X2" s="733"/>
      <c r="Y2" s="733"/>
      <c r="Z2" s="733"/>
      <c r="AA2" s="848"/>
      <c r="AB2" s="73"/>
      <c r="AC2" s="559"/>
      <c r="AD2" s="558"/>
      <c r="AE2" s="558"/>
      <c r="AF2" s="2377"/>
      <c r="AG2" s="2378"/>
      <c r="AH2" s="2378"/>
      <c r="AI2" s="2378"/>
      <c r="AJ2" s="2378"/>
      <c r="AK2" s="2378"/>
      <c r="AL2" s="2378"/>
      <c r="AM2" s="2378"/>
      <c r="AN2" s="2378"/>
      <c r="AO2" s="2378"/>
      <c r="AP2" s="2378"/>
      <c r="AQ2" s="2378"/>
      <c r="AR2" s="2379"/>
      <c r="AS2" s="355"/>
      <c r="AT2" s="536" t="s">
        <v>3588</v>
      </c>
      <c r="AU2" s="536"/>
      <c r="AV2" s="536" t="s">
        <v>3589</v>
      </c>
      <c r="AW2" s="355"/>
    </row>
    <row r="3" spans="1:49" ht="14.25" customHeight="1">
      <c r="A3" s="2371"/>
      <c r="B3" s="2371"/>
      <c r="C3" s="2371"/>
      <c r="D3" s="2371"/>
      <c r="E3" s="2371"/>
      <c r="F3" s="2371"/>
      <c r="G3" s="2371"/>
      <c r="H3" s="2371"/>
      <c r="I3" s="2371"/>
      <c r="J3" s="2371"/>
      <c r="K3" s="2371"/>
      <c r="L3" s="2371"/>
      <c r="M3" s="2371"/>
      <c r="N3" s="2371"/>
      <c r="O3" s="2371"/>
      <c r="P3" s="2371"/>
      <c r="Q3" s="1154"/>
      <c r="R3" s="733"/>
      <c r="S3" s="848"/>
      <c r="T3" s="2358" t="s">
        <v>359</v>
      </c>
      <c r="U3" s="733"/>
      <c r="V3" s="733"/>
      <c r="W3" s="733"/>
      <c r="X3" s="733"/>
      <c r="Y3" s="733"/>
      <c r="Z3" s="733"/>
      <c r="AA3" s="848"/>
      <c r="AB3" s="73"/>
      <c r="AC3" s="73"/>
      <c r="AD3" s="558"/>
      <c r="AE3" s="558"/>
      <c r="AF3" s="2377"/>
      <c r="AG3" s="2378"/>
      <c r="AH3" s="2378"/>
      <c r="AI3" s="2378"/>
      <c r="AJ3" s="2378"/>
      <c r="AK3" s="2378"/>
      <c r="AL3" s="2378"/>
      <c r="AM3" s="2378"/>
      <c r="AN3" s="2378"/>
      <c r="AO3" s="2378"/>
      <c r="AP3" s="2378"/>
      <c r="AQ3" s="2378"/>
      <c r="AR3" s="2379"/>
      <c r="AS3" s="355"/>
      <c r="AT3" s="356"/>
      <c r="AU3" s="355"/>
      <c r="AV3" s="356"/>
      <c r="AW3" s="355"/>
    </row>
    <row r="4" spans="1:49" ht="21.95" customHeight="1">
      <c r="A4" s="2372"/>
      <c r="B4" s="2372"/>
      <c r="C4" s="2372"/>
      <c r="D4" s="2372"/>
      <c r="E4" s="2372"/>
      <c r="F4" s="2372"/>
      <c r="G4" s="2372"/>
      <c r="H4" s="2372"/>
      <c r="I4" s="2372"/>
      <c r="J4" s="2372"/>
      <c r="K4" s="2372"/>
      <c r="L4" s="2372"/>
      <c r="M4" s="2372"/>
      <c r="N4" s="2372"/>
      <c r="O4" s="2372"/>
      <c r="P4" s="2372"/>
      <c r="Q4" s="733"/>
      <c r="R4" s="733"/>
      <c r="S4" s="848"/>
      <c r="T4" s="2359">
        <v>2022</v>
      </c>
      <c r="U4" s="2184"/>
      <c r="V4" s="2184"/>
      <c r="W4" s="2184"/>
      <c r="X4" s="2184"/>
      <c r="Y4" s="2184"/>
      <c r="Z4" s="2184"/>
      <c r="AA4" s="2360"/>
      <c r="AB4" s="73"/>
      <c r="AC4" s="73"/>
      <c r="AD4" s="558"/>
      <c r="AE4" s="558"/>
      <c r="AF4" s="2377"/>
      <c r="AG4" s="2378"/>
      <c r="AH4" s="2378"/>
      <c r="AI4" s="2378"/>
      <c r="AJ4" s="2378"/>
      <c r="AK4" s="2378"/>
      <c r="AL4" s="2378"/>
      <c r="AM4" s="2378"/>
      <c r="AN4" s="2378"/>
      <c r="AO4" s="2378"/>
      <c r="AP4" s="2378"/>
      <c r="AQ4" s="2378"/>
      <c r="AR4" s="2379"/>
      <c r="AS4" s="355"/>
      <c r="AT4" s="355"/>
      <c r="AU4" s="355"/>
      <c r="AV4" s="355"/>
      <c r="AW4" s="355"/>
    </row>
    <row r="5" spans="1:44" ht="15" customHeight="1">
      <c r="A5" s="2361" t="s">
        <v>3895</v>
      </c>
      <c r="B5" s="2361"/>
      <c r="C5" s="2361"/>
      <c r="D5" s="2361"/>
      <c r="E5" s="2361"/>
      <c r="F5" s="2361"/>
      <c r="G5" s="2361"/>
      <c r="H5" s="2361"/>
      <c r="I5" s="2361"/>
      <c r="J5" s="2361"/>
      <c r="K5" s="2361"/>
      <c r="L5" s="2361"/>
      <c r="M5" s="2361"/>
      <c r="N5" s="2361"/>
      <c r="O5" s="2361"/>
      <c r="P5" s="2361"/>
      <c r="Q5" s="2361"/>
      <c r="R5" s="2361"/>
      <c r="S5" s="137"/>
      <c r="T5" s="2362"/>
      <c r="U5" s="864"/>
      <c r="V5" s="864"/>
      <c r="W5" s="864"/>
      <c r="X5" s="864"/>
      <c r="Y5" s="864"/>
      <c r="Z5" s="864"/>
      <c r="AA5" s="864"/>
      <c r="AB5" s="73"/>
      <c r="AC5" s="73"/>
      <c r="AD5" s="558"/>
      <c r="AE5" s="558"/>
      <c r="AF5" s="2377"/>
      <c r="AG5" s="2378"/>
      <c r="AH5" s="2378"/>
      <c r="AI5" s="2378"/>
      <c r="AJ5" s="2378"/>
      <c r="AK5" s="2378"/>
      <c r="AL5" s="2378"/>
      <c r="AM5" s="2378"/>
      <c r="AN5" s="2378"/>
      <c r="AO5" s="2378"/>
      <c r="AP5" s="2378"/>
      <c r="AQ5" s="2378"/>
      <c r="AR5" s="2379"/>
    </row>
    <row r="6" spans="1:44" ht="15" customHeight="1">
      <c r="A6" s="2361"/>
      <c r="B6" s="2361"/>
      <c r="C6" s="2361"/>
      <c r="D6" s="2361"/>
      <c r="E6" s="2361"/>
      <c r="F6" s="2361"/>
      <c r="G6" s="2361"/>
      <c r="H6" s="2361"/>
      <c r="I6" s="2361"/>
      <c r="J6" s="2361"/>
      <c r="K6" s="2361"/>
      <c r="L6" s="2361"/>
      <c r="M6" s="2361"/>
      <c r="N6" s="2361"/>
      <c r="O6" s="2361"/>
      <c r="P6" s="2361"/>
      <c r="Q6" s="2361"/>
      <c r="R6" s="2361"/>
      <c r="S6" s="137"/>
      <c r="T6" s="73"/>
      <c r="U6" s="2363" t="s">
        <v>64</v>
      </c>
      <c r="V6" s="2363"/>
      <c r="W6" s="2363"/>
      <c r="X6" s="2363"/>
      <c r="Y6" s="2363"/>
      <c r="Z6" s="2363"/>
      <c r="AA6" s="73"/>
      <c r="AB6" s="73"/>
      <c r="AC6" s="73"/>
      <c r="AD6" s="73"/>
      <c r="AE6" s="73"/>
      <c r="AF6" s="2380"/>
      <c r="AG6" s="2381"/>
      <c r="AH6" s="2381"/>
      <c r="AI6" s="2381"/>
      <c r="AJ6" s="2381"/>
      <c r="AK6" s="2381"/>
      <c r="AL6" s="2381"/>
      <c r="AM6" s="2381"/>
      <c r="AN6" s="2381"/>
      <c r="AO6" s="2381"/>
      <c r="AP6" s="2381"/>
      <c r="AQ6" s="2381"/>
      <c r="AR6" s="2382"/>
    </row>
    <row r="7" spans="1:44" ht="10.5" customHeight="1">
      <c r="A7" s="2364" t="s">
        <v>3530</v>
      </c>
      <c r="B7" s="2365"/>
      <c r="C7" s="2365"/>
      <c r="D7" s="2365"/>
      <c r="E7" s="2365"/>
      <c r="F7" s="2365"/>
      <c r="G7" s="2365"/>
      <c r="H7" s="2365"/>
      <c r="I7" s="2365"/>
      <c r="J7" s="2365"/>
      <c r="K7" s="2365"/>
      <c r="L7" s="2365"/>
      <c r="M7" s="2365"/>
      <c r="N7" s="2365"/>
      <c r="O7" s="2365"/>
      <c r="P7" s="2365"/>
      <c r="Q7" s="2365"/>
      <c r="R7" s="2365"/>
      <c r="S7" s="2365"/>
      <c r="T7" s="2366" t="s">
        <v>329</v>
      </c>
      <c r="U7" s="733"/>
      <c r="V7" s="2181"/>
      <c r="W7" s="253" t="s">
        <v>258</v>
      </c>
      <c r="X7" s="2367" t="s">
        <v>330</v>
      </c>
      <c r="Y7" s="2368"/>
      <c r="Z7" s="253"/>
      <c r="AA7" s="73"/>
      <c r="AB7" s="73"/>
      <c r="AC7" s="73"/>
      <c r="AD7" s="73"/>
      <c r="AE7" s="73"/>
      <c r="AF7" s="2383"/>
      <c r="AG7" s="2384"/>
      <c r="AH7" s="2384"/>
      <c r="AI7" s="2384"/>
      <c r="AJ7" s="2384"/>
      <c r="AK7" s="2384"/>
      <c r="AL7" s="2384"/>
      <c r="AM7" s="2384"/>
      <c r="AN7" s="2384"/>
      <c r="AO7" s="2384"/>
      <c r="AP7" s="2384"/>
      <c r="AQ7" s="2384"/>
      <c r="AR7" s="2385"/>
    </row>
    <row r="8" spans="1:44" ht="12.75">
      <c r="A8" s="2369" t="s">
        <v>91</v>
      </c>
      <c r="B8" s="2369"/>
      <c r="C8" s="2369"/>
      <c r="D8" s="2369"/>
      <c r="E8" s="2369"/>
      <c r="F8" s="2369"/>
      <c r="G8" s="2369"/>
      <c r="H8" s="2369"/>
      <c r="I8" s="2369"/>
      <c r="J8" s="2369"/>
      <c r="K8" s="2369"/>
      <c r="L8" s="2369"/>
      <c r="M8" s="2369"/>
      <c r="N8" s="2369"/>
      <c r="O8" s="2369"/>
      <c r="P8" s="2369"/>
      <c r="Q8" s="2369"/>
      <c r="R8" s="2369"/>
      <c r="S8" s="2369"/>
      <c r="T8" s="2369"/>
      <c r="U8" s="2369"/>
      <c r="V8" s="2369"/>
      <c r="W8" s="2369"/>
      <c r="X8" s="2369"/>
      <c r="Y8" s="2369"/>
      <c r="Z8" s="2369"/>
      <c r="AA8" s="2369"/>
      <c r="AB8" s="2369"/>
      <c r="AC8" s="2369"/>
      <c r="AD8" s="2369"/>
      <c r="AE8" s="2369"/>
      <c r="AF8" s="2369"/>
      <c r="AG8" s="2369"/>
      <c r="AH8" s="2369"/>
      <c r="AI8" s="2369"/>
      <c r="AJ8" s="2369"/>
      <c r="AK8" s="2369"/>
      <c r="AL8" s="2369"/>
      <c r="AM8" s="2369"/>
      <c r="AN8" s="2369"/>
      <c r="AO8" s="2369"/>
      <c r="AP8" s="2369"/>
      <c r="AQ8" s="2369"/>
      <c r="AR8" s="2369"/>
    </row>
    <row r="9" spans="1:44" ht="15" customHeight="1">
      <c r="A9" s="2207" t="s">
        <v>121</v>
      </c>
      <c r="B9" s="2326"/>
      <c r="C9" s="2326"/>
      <c r="D9" s="2326"/>
      <c r="E9" s="2326"/>
      <c r="F9" s="2326"/>
      <c r="G9" s="2326"/>
      <c r="H9" s="2326"/>
      <c r="I9" s="2326"/>
      <c r="J9" s="2326"/>
      <c r="K9" s="2326"/>
      <c r="L9" s="2326"/>
      <c r="M9" s="2326"/>
      <c r="N9" s="2326"/>
      <c r="O9" s="2326"/>
      <c r="P9" s="2326"/>
      <c r="Q9" s="2326"/>
      <c r="R9" s="2326"/>
      <c r="S9" s="2326"/>
      <c r="T9" s="2326"/>
      <c r="U9" s="2326"/>
      <c r="V9" s="2326"/>
      <c r="W9" s="2326"/>
      <c r="X9" s="2326"/>
      <c r="Y9" s="2326"/>
      <c r="Z9" s="2326"/>
      <c r="AA9" s="2326"/>
      <c r="AB9" s="2326"/>
      <c r="AC9" s="2326"/>
      <c r="AD9" s="2326"/>
      <c r="AE9" s="2326"/>
      <c r="AF9" s="2326"/>
      <c r="AG9" s="2326"/>
      <c r="AH9" s="2326"/>
      <c r="AI9" s="2326"/>
      <c r="AJ9" s="2326"/>
      <c r="AK9" s="2326"/>
      <c r="AL9" s="2326"/>
      <c r="AM9" s="2326"/>
      <c r="AN9" s="2326"/>
      <c r="AO9" s="2326"/>
      <c r="AP9" s="2326"/>
      <c r="AQ9" s="2326"/>
      <c r="AR9" s="2370"/>
    </row>
    <row r="10" spans="1:102" s="565" customFormat="1" ht="9.95" customHeight="1">
      <c r="A10" s="2352" t="s">
        <v>98</v>
      </c>
      <c r="B10" s="2353"/>
      <c r="C10" s="2353"/>
      <c r="D10" s="2353"/>
      <c r="E10" s="2353"/>
      <c r="F10" s="2353"/>
      <c r="G10" s="2353"/>
      <c r="H10" s="2353"/>
      <c r="I10" s="2353"/>
      <c r="J10" s="2353"/>
      <c r="K10" s="2353"/>
      <c r="L10" s="2353"/>
      <c r="M10" s="2353"/>
      <c r="N10" s="2353"/>
      <c r="O10" s="2353"/>
      <c r="P10" s="2353"/>
      <c r="Q10" s="2353"/>
      <c r="R10" s="2353"/>
      <c r="S10" s="2353"/>
      <c r="T10" s="2353"/>
      <c r="U10" s="2353"/>
      <c r="V10" s="2353"/>
      <c r="W10" s="2353"/>
      <c r="X10" s="655"/>
      <c r="Y10" s="2353" t="s">
        <v>97</v>
      </c>
      <c r="Z10" s="2353"/>
      <c r="AA10" s="2353"/>
      <c r="AB10" s="2353"/>
      <c r="AC10" s="2353"/>
      <c r="AD10" s="2353"/>
      <c r="AE10" s="2353"/>
      <c r="AF10" s="2353"/>
      <c r="AG10" s="2353"/>
      <c r="AH10" s="2353"/>
      <c r="AI10" s="2353"/>
      <c r="AJ10" s="2353"/>
      <c r="AK10" s="2353"/>
      <c r="AL10" s="2353"/>
      <c r="AM10" s="655"/>
      <c r="AN10" s="2353" t="s">
        <v>116</v>
      </c>
      <c r="AO10" s="2353"/>
      <c r="AP10" s="2353"/>
      <c r="AQ10" s="2353"/>
      <c r="AR10" s="2354"/>
      <c r="AS10" s="563"/>
      <c r="AT10" s="563"/>
      <c r="AU10" s="563"/>
      <c r="AV10" s="563"/>
      <c r="AW10" s="563"/>
      <c r="AX10" s="563"/>
      <c r="AY10" s="563"/>
      <c r="AZ10" s="563"/>
      <c r="BA10" s="563"/>
      <c r="BB10" s="563"/>
      <c r="BC10" s="563"/>
      <c r="BD10" s="564"/>
      <c r="BE10" s="564"/>
      <c r="BF10" s="564"/>
      <c r="BG10" s="564"/>
      <c r="BH10" s="564"/>
      <c r="BI10" s="564"/>
      <c r="BJ10" s="564"/>
      <c r="BK10" s="564"/>
      <c r="BL10" s="564"/>
      <c r="BM10" s="564"/>
      <c r="BN10" s="564"/>
      <c r="BO10" s="564"/>
      <c r="BP10" s="564"/>
      <c r="BQ10" s="564"/>
      <c r="BR10" s="564"/>
      <c r="BS10" s="564"/>
      <c r="BT10" s="564"/>
      <c r="BU10" s="564"/>
      <c r="BV10" s="564"/>
      <c r="BW10" s="564"/>
      <c r="BX10" s="564"/>
      <c r="BY10" s="564"/>
      <c r="BZ10" s="564"/>
      <c r="CA10" s="564"/>
      <c r="CB10" s="564"/>
      <c r="CC10" s="564"/>
      <c r="CD10" s="564"/>
      <c r="CE10" s="564"/>
      <c r="CF10" s="564"/>
      <c r="CG10" s="564"/>
      <c r="CH10" s="564"/>
      <c r="CI10" s="564"/>
      <c r="CJ10" s="564"/>
      <c r="CK10" s="564"/>
      <c r="CL10" s="564"/>
      <c r="CM10" s="564"/>
      <c r="CN10" s="564"/>
      <c r="CO10" s="564"/>
      <c r="CP10" s="564"/>
      <c r="CQ10" s="564"/>
      <c r="CR10" s="564"/>
      <c r="CS10" s="564"/>
      <c r="CT10" s="564"/>
      <c r="CU10" s="564"/>
      <c r="CV10" s="564"/>
      <c r="CW10" s="564"/>
      <c r="CX10" s="564"/>
    </row>
    <row r="11" spans="1:102" s="103" customFormat="1" ht="24" customHeight="1">
      <c r="A11" s="2344" t="str">
        <f>+CONCATENATE(ZAKL_DATA!B5)</f>
        <v/>
      </c>
      <c r="B11" s="2345"/>
      <c r="C11" s="2345"/>
      <c r="D11" s="2345"/>
      <c r="E11" s="2345"/>
      <c r="F11" s="2345"/>
      <c r="G11" s="2345"/>
      <c r="H11" s="2345"/>
      <c r="I11" s="2345"/>
      <c r="J11" s="2345"/>
      <c r="K11" s="2345"/>
      <c r="L11" s="2345"/>
      <c r="M11" s="2345"/>
      <c r="N11" s="2345"/>
      <c r="O11" s="2345"/>
      <c r="P11" s="2345"/>
      <c r="Q11" s="2345"/>
      <c r="R11" s="2345"/>
      <c r="S11" s="2345"/>
      <c r="T11" s="2345"/>
      <c r="U11" s="2345"/>
      <c r="V11" s="2345"/>
      <c r="W11" s="2346"/>
      <c r="X11" s="656"/>
      <c r="Y11" s="2344" t="str">
        <f>+CONCATENATE(+ZAKL_DATA!B4)</f>
        <v/>
      </c>
      <c r="Z11" s="2345"/>
      <c r="AA11" s="2345"/>
      <c r="AB11" s="2345"/>
      <c r="AC11" s="2345"/>
      <c r="AD11" s="2345"/>
      <c r="AE11" s="2345"/>
      <c r="AF11" s="2345"/>
      <c r="AG11" s="2345"/>
      <c r="AH11" s="2345"/>
      <c r="AI11" s="2345"/>
      <c r="AJ11" s="2345"/>
      <c r="AK11" s="2345"/>
      <c r="AL11" s="2346"/>
      <c r="AM11" s="656"/>
      <c r="AN11" s="2355" t="str">
        <f>+CONCATENATE(+ZAKL_DATA!B7)</f>
        <v/>
      </c>
      <c r="AO11" s="2321"/>
      <c r="AP11" s="2321"/>
      <c r="AQ11" s="2321"/>
      <c r="AR11" s="2322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263"/>
      <c r="BE11" s="263"/>
      <c r="BF11" s="263"/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</row>
    <row r="12" spans="1:102" s="565" customFormat="1" ht="9.95" customHeight="1">
      <c r="A12" s="2352" t="s">
        <v>271</v>
      </c>
      <c r="B12" s="2353"/>
      <c r="C12" s="2353"/>
      <c r="D12" s="2353"/>
      <c r="E12" s="2353"/>
      <c r="F12" s="2353"/>
      <c r="G12" s="2353"/>
      <c r="H12" s="2353"/>
      <c r="I12" s="2353"/>
      <c r="J12" s="2353"/>
      <c r="K12" s="2353"/>
      <c r="L12" s="2353"/>
      <c r="M12" s="2353"/>
      <c r="N12" s="2353"/>
      <c r="O12" s="2353"/>
      <c r="P12" s="2353"/>
      <c r="Q12" s="2353"/>
      <c r="R12" s="2353"/>
      <c r="S12" s="2353"/>
      <c r="T12" s="2353"/>
      <c r="U12" s="2353"/>
      <c r="V12" s="2353"/>
      <c r="W12" s="2353"/>
      <c r="X12" s="655"/>
      <c r="Y12" s="2386" t="s">
        <v>3632</v>
      </c>
      <c r="Z12" s="2386"/>
      <c r="AA12" s="2386"/>
      <c r="AB12" s="2386"/>
      <c r="AC12" s="2387"/>
      <c r="AD12" s="2387"/>
      <c r="AE12" s="2387"/>
      <c r="AF12" s="2387"/>
      <c r="AG12" s="657"/>
      <c r="AH12" s="2388" t="s">
        <v>3531</v>
      </c>
      <c r="AI12" s="2389"/>
      <c r="AJ12" s="2389"/>
      <c r="AK12" s="2389"/>
      <c r="AL12" s="2389"/>
      <c r="AM12" s="2389"/>
      <c r="AN12" s="2389"/>
      <c r="AO12" s="2389"/>
      <c r="AP12" s="2389"/>
      <c r="AQ12" s="2389"/>
      <c r="AR12" s="2390"/>
      <c r="AS12" s="563"/>
      <c r="AT12" s="563"/>
      <c r="AU12" s="563"/>
      <c r="AV12" s="563"/>
      <c r="AW12" s="563"/>
      <c r="AX12" s="563"/>
      <c r="AY12" s="563"/>
      <c r="AZ12" s="563"/>
      <c r="BA12" s="563"/>
      <c r="BB12" s="563"/>
      <c r="BC12" s="563"/>
      <c r="BD12" s="564"/>
      <c r="BE12" s="564"/>
      <c r="BF12" s="564"/>
      <c r="BG12" s="564"/>
      <c r="BH12" s="564"/>
      <c r="BI12" s="564"/>
      <c r="BJ12" s="564"/>
      <c r="BK12" s="564"/>
      <c r="BL12" s="564"/>
      <c r="BM12" s="564"/>
      <c r="BN12" s="564"/>
      <c r="BO12" s="564"/>
      <c r="BP12" s="564"/>
      <c r="BQ12" s="564"/>
      <c r="BR12" s="564"/>
      <c r="BS12" s="564"/>
      <c r="BT12" s="564"/>
      <c r="BU12" s="564"/>
      <c r="BV12" s="564"/>
      <c r="BW12" s="564"/>
      <c r="BX12" s="564"/>
      <c r="BY12" s="564"/>
      <c r="BZ12" s="564"/>
      <c r="CA12" s="564"/>
      <c r="CB12" s="564"/>
      <c r="CC12" s="564"/>
      <c r="CD12" s="564"/>
      <c r="CE12" s="564"/>
      <c r="CF12" s="564"/>
      <c r="CG12" s="564"/>
      <c r="CH12" s="564"/>
      <c r="CI12" s="564"/>
      <c r="CJ12" s="564"/>
      <c r="CK12" s="564"/>
      <c r="CL12" s="564"/>
      <c r="CM12" s="564"/>
      <c r="CN12" s="564"/>
      <c r="CO12" s="564"/>
      <c r="CP12" s="564"/>
      <c r="CQ12" s="564"/>
      <c r="CR12" s="564"/>
      <c r="CS12" s="564"/>
      <c r="CT12" s="564"/>
      <c r="CU12" s="564"/>
      <c r="CV12" s="564"/>
      <c r="CW12" s="564"/>
      <c r="CX12" s="564"/>
    </row>
    <row r="13" spans="1:102" s="103" customFormat="1" ht="24" customHeight="1">
      <c r="A13" s="2344" t="str">
        <f>+CONCATENATE(+ZAKL_DATA!B16)</f>
        <v/>
      </c>
      <c r="B13" s="2345"/>
      <c r="C13" s="2345"/>
      <c r="D13" s="2345"/>
      <c r="E13" s="2345"/>
      <c r="F13" s="2345"/>
      <c r="G13" s="2345"/>
      <c r="H13" s="2345"/>
      <c r="I13" s="2345"/>
      <c r="J13" s="2345"/>
      <c r="K13" s="2345"/>
      <c r="L13" s="2345"/>
      <c r="M13" s="2345"/>
      <c r="N13" s="2345"/>
      <c r="O13" s="2345"/>
      <c r="P13" s="2345"/>
      <c r="Q13" s="2345"/>
      <c r="R13" s="2345"/>
      <c r="S13" s="2345"/>
      <c r="T13" s="2345"/>
      <c r="U13" s="2345"/>
      <c r="V13" s="2345"/>
      <c r="W13" s="2346"/>
      <c r="X13" s="656"/>
      <c r="Y13" s="2308" t="str">
        <f>+CONCATENATE(ZAKL_DATA!B17)</f>
        <v/>
      </c>
      <c r="Z13" s="2347"/>
      <c r="AA13" s="2347"/>
      <c r="AB13" s="2347"/>
      <c r="AC13" s="2309"/>
      <c r="AD13" s="2309"/>
      <c r="AE13" s="2309"/>
      <c r="AF13" s="2310"/>
      <c r="AG13" s="656"/>
      <c r="AH13" s="2348" t="str">
        <f>+CONCATENATE('DAP1'!A9)</f>
        <v/>
      </c>
      <c r="AI13" s="2349"/>
      <c r="AJ13" s="2349"/>
      <c r="AK13" s="2349"/>
      <c r="AL13" s="2349"/>
      <c r="AM13" s="2349"/>
      <c r="AN13" s="2350"/>
      <c r="AO13" s="2350"/>
      <c r="AP13" s="2350"/>
      <c r="AQ13" s="2350"/>
      <c r="AR13" s="2351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263"/>
      <c r="BE13" s="263"/>
      <c r="BF13" s="263"/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/>
      <c r="CV13" s="263"/>
      <c r="CW13" s="263"/>
      <c r="CX13" s="263"/>
    </row>
    <row r="14" spans="1:102" s="565" customFormat="1" ht="12.6" customHeight="1">
      <c r="A14" s="2303" t="s">
        <v>214</v>
      </c>
      <c r="B14" s="2304"/>
      <c r="C14" s="2304"/>
      <c r="D14" s="2304"/>
      <c r="E14" s="2304"/>
      <c r="F14" s="2304"/>
      <c r="G14" s="655"/>
      <c r="H14" s="2305" t="s">
        <v>272</v>
      </c>
      <c r="I14" s="2305"/>
      <c r="J14" s="2305"/>
      <c r="K14" s="2305"/>
      <c r="L14" s="2305"/>
      <c r="M14" s="2305"/>
      <c r="N14" s="2305"/>
      <c r="O14" s="2305"/>
      <c r="P14" s="2305"/>
      <c r="Q14" s="2305"/>
      <c r="R14" s="2305"/>
      <c r="S14" s="2305"/>
      <c r="T14" s="2305"/>
      <c r="U14" s="2305"/>
      <c r="V14" s="2305"/>
      <c r="W14" s="2305"/>
      <c r="X14" s="2305"/>
      <c r="Y14" s="2305"/>
      <c r="Z14" s="2305"/>
      <c r="AA14" s="2305"/>
      <c r="AB14" s="2305"/>
      <c r="AC14" s="2305"/>
      <c r="AD14" s="2305"/>
      <c r="AE14" s="2305"/>
      <c r="AF14" s="2305"/>
      <c r="AG14" s="2305"/>
      <c r="AH14" s="2305"/>
      <c r="AI14" s="2305"/>
      <c r="AJ14" s="655"/>
      <c r="AK14" s="2306" t="s">
        <v>3532</v>
      </c>
      <c r="AL14" s="2306"/>
      <c r="AM14" s="2306"/>
      <c r="AN14" s="2306"/>
      <c r="AO14" s="2306"/>
      <c r="AP14" s="2306"/>
      <c r="AQ14" s="2306"/>
      <c r="AR14" s="2307"/>
      <c r="AS14" s="563"/>
      <c r="AT14" s="563"/>
      <c r="AU14" s="563"/>
      <c r="AV14" s="563"/>
      <c r="AW14" s="563"/>
      <c r="AX14" s="563"/>
      <c r="AY14" s="563"/>
      <c r="AZ14" s="563"/>
      <c r="BA14" s="563"/>
      <c r="BB14" s="563"/>
      <c r="BC14" s="563"/>
      <c r="BD14" s="564"/>
      <c r="BE14" s="564"/>
      <c r="BF14" s="564"/>
      <c r="BG14" s="564"/>
      <c r="BH14" s="564"/>
      <c r="BI14" s="564"/>
      <c r="BJ14" s="564"/>
      <c r="BK14" s="564"/>
      <c r="BL14" s="564"/>
      <c r="BM14" s="564"/>
      <c r="BN14" s="564"/>
      <c r="BO14" s="564"/>
      <c r="BP14" s="564"/>
      <c r="BQ14" s="564"/>
      <c r="BR14" s="564"/>
      <c r="BS14" s="564"/>
      <c r="BT14" s="564"/>
      <c r="BU14" s="564"/>
      <c r="BV14" s="564"/>
      <c r="BW14" s="564"/>
      <c r="BX14" s="564"/>
      <c r="BY14" s="564"/>
      <c r="BZ14" s="564"/>
      <c r="CA14" s="564"/>
      <c r="CB14" s="564"/>
      <c r="CC14" s="564"/>
      <c r="CD14" s="564"/>
      <c r="CE14" s="564"/>
      <c r="CF14" s="564"/>
      <c r="CG14" s="564"/>
      <c r="CH14" s="564"/>
      <c r="CI14" s="564"/>
      <c r="CJ14" s="564"/>
      <c r="CK14" s="564"/>
      <c r="CL14" s="564"/>
      <c r="CM14" s="564"/>
      <c r="CN14" s="564"/>
      <c r="CO14" s="564"/>
      <c r="CP14" s="564"/>
      <c r="CQ14" s="564"/>
      <c r="CR14" s="564"/>
      <c r="CS14" s="564"/>
      <c r="CT14" s="564"/>
      <c r="CU14" s="564"/>
      <c r="CV14" s="564"/>
      <c r="CW14" s="564"/>
      <c r="CX14" s="564"/>
    </row>
    <row r="15" spans="1:102" s="103" customFormat="1" ht="24" customHeight="1">
      <c r="A15" s="2308" t="str">
        <f>CONCATENATE(+ZAKL_DATA!B19)</f>
        <v/>
      </c>
      <c r="B15" s="2309"/>
      <c r="C15" s="2309"/>
      <c r="D15" s="2309"/>
      <c r="E15" s="2309"/>
      <c r="F15" s="2310"/>
      <c r="G15" s="656"/>
      <c r="H15" s="2311" t="str">
        <f>+CONCATENATE(ZAKL_DATA!B18)</f>
        <v/>
      </c>
      <c r="I15" s="2312"/>
      <c r="J15" s="2312"/>
      <c r="K15" s="2312"/>
      <c r="L15" s="2312"/>
      <c r="M15" s="2312"/>
      <c r="N15" s="2312"/>
      <c r="O15" s="2312"/>
      <c r="P15" s="2312"/>
      <c r="Q15" s="2312"/>
      <c r="R15" s="2312"/>
      <c r="S15" s="2312"/>
      <c r="T15" s="2312"/>
      <c r="U15" s="2312"/>
      <c r="V15" s="2312"/>
      <c r="W15" s="2312"/>
      <c r="X15" s="2312"/>
      <c r="Y15" s="2312"/>
      <c r="Z15" s="2312"/>
      <c r="AA15" s="2312"/>
      <c r="AB15" s="2312"/>
      <c r="AC15" s="2312"/>
      <c r="AD15" s="2312"/>
      <c r="AE15" s="2312"/>
      <c r="AF15" s="2312"/>
      <c r="AG15" s="2312"/>
      <c r="AH15" s="2312"/>
      <c r="AI15" s="2313"/>
      <c r="AJ15" s="656"/>
      <c r="AK15" s="2314" t="str">
        <f>+CONCATENATE(+ZAKL_DATA!B10)</f>
        <v/>
      </c>
      <c r="AL15" s="2315"/>
      <c r="AM15" s="2315"/>
      <c r="AN15" s="2315"/>
      <c r="AO15" s="2315"/>
      <c r="AP15" s="2315"/>
      <c r="AQ15" s="2315"/>
      <c r="AR15" s="231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/>
      <c r="CV15" s="263"/>
      <c r="CW15" s="263"/>
      <c r="CX15" s="263"/>
    </row>
    <row r="16" spans="1:102" s="565" customFormat="1" ht="9.95" customHeight="1">
      <c r="A16" s="2334" t="s">
        <v>3533</v>
      </c>
      <c r="B16" s="2335"/>
      <c r="C16" s="2335"/>
      <c r="D16" s="2335"/>
      <c r="E16" s="2335"/>
      <c r="F16" s="2335"/>
      <c r="G16" s="2335"/>
      <c r="H16" s="2335"/>
      <c r="I16" s="2335"/>
      <c r="J16" s="2335"/>
      <c r="K16" s="2198"/>
      <c r="L16" s="2198"/>
      <c r="M16" s="2198"/>
      <c r="N16" s="2198"/>
      <c r="O16" s="2198"/>
      <c r="P16" s="2198"/>
      <c r="Q16" s="2198"/>
      <c r="R16" s="2198"/>
      <c r="S16" s="2198"/>
      <c r="T16" s="2198"/>
      <c r="U16" s="2198"/>
      <c r="V16" s="2198"/>
      <c r="W16" s="2198"/>
      <c r="X16" s="2198"/>
      <c r="Y16" s="2198"/>
      <c r="Z16" s="2198"/>
      <c r="AA16" s="2198"/>
      <c r="AB16" s="2198"/>
      <c r="AC16" s="2198"/>
      <c r="AD16" s="2198"/>
      <c r="AE16" s="2198"/>
      <c r="AF16" s="655"/>
      <c r="AG16" s="2305" t="s">
        <v>31</v>
      </c>
      <c r="AH16" s="2305"/>
      <c r="AI16" s="2305"/>
      <c r="AJ16" s="2305"/>
      <c r="AK16" s="2305"/>
      <c r="AL16" s="2305"/>
      <c r="AM16" s="2305"/>
      <c r="AN16" s="2305"/>
      <c r="AO16" s="2305"/>
      <c r="AP16" s="2305"/>
      <c r="AQ16" s="2305"/>
      <c r="AR16" s="2340"/>
      <c r="AS16" s="563"/>
      <c r="AT16" s="563"/>
      <c r="AU16" s="563"/>
      <c r="AV16" s="563"/>
      <c r="AW16" s="563"/>
      <c r="AX16" s="563"/>
      <c r="AY16" s="563"/>
      <c r="AZ16" s="563"/>
      <c r="BA16" s="563"/>
      <c r="BB16" s="563"/>
      <c r="BC16" s="563"/>
      <c r="BD16" s="564"/>
      <c r="BE16" s="564"/>
      <c r="BF16" s="564"/>
      <c r="BG16" s="564"/>
      <c r="BH16" s="564"/>
      <c r="BI16" s="564"/>
      <c r="BJ16" s="564"/>
      <c r="BK16" s="564"/>
      <c r="BL16" s="564"/>
      <c r="BM16" s="564"/>
      <c r="BN16" s="564"/>
      <c r="BO16" s="564"/>
      <c r="BP16" s="564"/>
      <c r="BQ16" s="564"/>
      <c r="BR16" s="564"/>
      <c r="BS16" s="564"/>
      <c r="BT16" s="564"/>
      <c r="BU16" s="564"/>
      <c r="BV16" s="564"/>
      <c r="BW16" s="564"/>
      <c r="BX16" s="564"/>
      <c r="BY16" s="564"/>
      <c r="BZ16" s="564"/>
      <c r="CA16" s="564"/>
      <c r="CB16" s="564"/>
      <c r="CC16" s="564"/>
      <c r="CD16" s="564"/>
      <c r="CE16" s="564"/>
      <c r="CF16" s="564"/>
      <c r="CG16" s="564"/>
      <c r="CH16" s="564"/>
      <c r="CI16" s="564"/>
      <c r="CJ16" s="564"/>
      <c r="CK16" s="564"/>
      <c r="CL16" s="564"/>
      <c r="CM16" s="564"/>
      <c r="CN16" s="564"/>
      <c r="CO16" s="564"/>
      <c r="CP16" s="564"/>
      <c r="CQ16" s="564"/>
      <c r="CR16" s="564"/>
      <c r="CS16" s="564"/>
      <c r="CT16" s="564"/>
      <c r="CU16" s="564"/>
      <c r="CV16" s="564"/>
      <c r="CW16" s="564"/>
      <c r="CX16" s="564"/>
    </row>
    <row r="17" spans="1:102" s="103" customFormat="1" ht="24" customHeight="1">
      <c r="A17" s="2336" t="str">
        <f>+CONCATENATE(ZAKL_DATA!B32," / ",ZAKL_DATA!B33)</f>
        <v xml:space="preserve"> / </v>
      </c>
      <c r="B17" s="2337"/>
      <c r="C17" s="2337"/>
      <c r="D17" s="2337"/>
      <c r="E17" s="2337"/>
      <c r="F17" s="2337"/>
      <c r="G17" s="2337"/>
      <c r="H17" s="2337"/>
      <c r="I17" s="2337"/>
      <c r="J17" s="2337"/>
      <c r="K17" s="2337"/>
      <c r="L17" s="2337"/>
      <c r="M17" s="2337"/>
      <c r="N17" s="2337"/>
      <c r="O17" s="2337"/>
      <c r="P17" s="2337"/>
      <c r="Q17" s="2337"/>
      <c r="R17" s="2337"/>
      <c r="S17" s="2337"/>
      <c r="T17" s="2337"/>
      <c r="U17" s="2337"/>
      <c r="V17" s="2337"/>
      <c r="W17" s="2337"/>
      <c r="X17" s="2337"/>
      <c r="Y17" s="2337"/>
      <c r="Z17" s="2337"/>
      <c r="AA17" s="2337"/>
      <c r="AB17" s="2337"/>
      <c r="AC17" s="2337"/>
      <c r="AD17" s="2337"/>
      <c r="AE17" s="2338"/>
      <c r="AF17" s="658"/>
      <c r="AG17" s="2341" t="str">
        <f>++CONCATENATE(ZAKL_DATA!B25)</f>
        <v/>
      </c>
      <c r="AH17" s="2342"/>
      <c r="AI17" s="2342"/>
      <c r="AJ17" s="2342"/>
      <c r="AK17" s="2342"/>
      <c r="AL17" s="2342"/>
      <c r="AM17" s="2342"/>
      <c r="AN17" s="2342"/>
      <c r="AO17" s="2342"/>
      <c r="AP17" s="2342"/>
      <c r="AQ17" s="2342"/>
      <c r="AR17" s="2343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263"/>
      <c r="BE17" s="263"/>
      <c r="BF17" s="263"/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/>
      <c r="BS17" s="263"/>
      <c r="BT17" s="263"/>
      <c r="BU17" s="263"/>
      <c r="BV17" s="263"/>
      <c r="BW17" s="263"/>
      <c r="BX17" s="263"/>
      <c r="BY17" s="263"/>
      <c r="BZ17" s="263"/>
      <c r="CA17" s="263"/>
      <c r="CB17" s="263"/>
      <c r="CC17" s="263"/>
      <c r="CD17" s="263"/>
      <c r="CE17" s="263"/>
      <c r="CF17" s="263"/>
      <c r="CG17" s="263"/>
      <c r="CH17" s="263"/>
      <c r="CI17" s="263"/>
      <c r="CJ17" s="263"/>
      <c r="CK17" s="263"/>
      <c r="CL17" s="263"/>
      <c r="CM17" s="263"/>
      <c r="CN17" s="263"/>
      <c r="CO17" s="263"/>
      <c r="CP17" s="263"/>
      <c r="CQ17" s="263"/>
      <c r="CR17" s="263"/>
      <c r="CS17" s="263"/>
      <c r="CT17" s="263"/>
      <c r="CU17" s="263"/>
      <c r="CV17" s="263"/>
      <c r="CW17" s="263"/>
      <c r="CX17" s="263"/>
    </row>
    <row r="18" spans="1:102" s="565" customFormat="1" ht="9.95" customHeight="1">
      <c r="A18" s="2317" t="s">
        <v>215</v>
      </c>
      <c r="B18" s="2318"/>
      <c r="C18" s="2318"/>
      <c r="D18" s="2318"/>
      <c r="E18" s="2318"/>
      <c r="F18" s="2318"/>
      <c r="G18" s="2318"/>
      <c r="H18" s="2318"/>
      <c r="I18" s="2318"/>
      <c r="J18" s="2318"/>
      <c r="K18" s="2318"/>
      <c r="L18" s="2318"/>
      <c r="M18" s="2318"/>
      <c r="N18" s="2318"/>
      <c r="O18" s="2318"/>
      <c r="P18" s="2318"/>
      <c r="Q18" s="2318"/>
      <c r="R18" s="2318"/>
      <c r="S18" s="2318"/>
      <c r="T18" s="2318"/>
      <c r="U18" s="2318"/>
      <c r="V18" s="2318"/>
      <c r="W18" s="2318"/>
      <c r="X18" s="2318"/>
      <c r="Y18" s="2318"/>
      <c r="Z18" s="2318"/>
      <c r="AA18" s="2318"/>
      <c r="AB18" s="2318"/>
      <c r="AC18" s="2318"/>
      <c r="AD18" s="2318"/>
      <c r="AE18" s="2318"/>
      <c r="AF18" s="2318"/>
      <c r="AG18" s="2318"/>
      <c r="AH18" s="2318"/>
      <c r="AI18" s="2318"/>
      <c r="AJ18" s="2318"/>
      <c r="AK18" s="2318"/>
      <c r="AL18" s="2318"/>
      <c r="AM18" s="2318"/>
      <c r="AN18" s="2318"/>
      <c r="AO18" s="2318"/>
      <c r="AP18" s="2318"/>
      <c r="AQ18" s="2318"/>
      <c r="AR18" s="2319"/>
      <c r="AS18" s="563"/>
      <c r="AT18" s="563"/>
      <c r="AU18" s="563"/>
      <c r="AV18" s="563"/>
      <c r="AW18" s="563"/>
      <c r="AX18" s="563"/>
      <c r="AY18" s="563"/>
      <c r="AZ18" s="563"/>
      <c r="BA18" s="563"/>
      <c r="BB18" s="563"/>
      <c r="BC18" s="563"/>
      <c r="BD18" s="564"/>
      <c r="BE18" s="564"/>
      <c r="BF18" s="564"/>
      <c r="BG18" s="564"/>
      <c r="BH18" s="564"/>
      <c r="BI18" s="564"/>
      <c r="BJ18" s="564"/>
      <c r="BK18" s="564"/>
      <c r="BL18" s="564"/>
      <c r="BM18" s="564"/>
      <c r="BN18" s="564"/>
      <c r="BO18" s="564"/>
      <c r="BP18" s="564"/>
      <c r="BQ18" s="564"/>
      <c r="BR18" s="564"/>
      <c r="BS18" s="564"/>
      <c r="BT18" s="564"/>
      <c r="BU18" s="564"/>
      <c r="BV18" s="564"/>
      <c r="BW18" s="564"/>
      <c r="BX18" s="564"/>
      <c r="BY18" s="564"/>
      <c r="BZ18" s="564"/>
      <c r="CA18" s="564"/>
      <c r="CB18" s="564"/>
      <c r="CC18" s="564"/>
      <c r="CD18" s="564"/>
      <c r="CE18" s="564"/>
      <c r="CF18" s="564"/>
      <c r="CG18" s="564"/>
      <c r="CH18" s="564"/>
      <c r="CI18" s="564"/>
      <c r="CJ18" s="564"/>
      <c r="CK18" s="564"/>
      <c r="CL18" s="564"/>
      <c r="CM18" s="564"/>
      <c r="CN18" s="564"/>
      <c r="CO18" s="564"/>
      <c r="CP18" s="564"/>
      <c r="CQ18" s="564"/>
      <c r="CR18" s="564"/>
      <c r="CS18" s="564"/>
      <c r="CT18" s="564"/>
      <c r="CU18" s="564"/>
      <c r="CV18" s="564"/>
      <c r="CW18" s="564"/>
      <c r="CX18" s="564"/>
    </row>
    <row r="19" spans="1:102" s="103" customFormat="1" ht="24" customHeight="1">
      <c r="A19" s="2320" t="str">
        <f>+CONCATENATE(ZAKL_DATA!B27)</f>
        <v/>
      </c>
      <c r="B19" s="2321"/>
      <c r="C19" s="2321"/>
      <c r="D19" s="2321"/>
      <c r="E19" s="2321"/>
      <c r="F19" s="2321"/>
      <c r="G19" s="2321"/>
      <c r="H19" s="2321"/>
      <c r="I19" s="2321"/>
      <c r="J19" s="2321"/>
      <c r="K19" s="2321"/>
      <c r="L19" s="2321"/>
      <c r="M19" s="2321"/>
      <c r="N19" s="2321"/>
      <c r="O19" s="2321"/>
      <c r="P19" s="2321"/>
      <c r="Q19" s="2321"/>
      <c r="R19" s="2321"/>
      <c r="S19" s="2321"/>
      <c r="T19" s="2321"/>
      <c r="U19" s="2321"/>
      <c r="V19" s="2321"/>
      <c r="W19" s="2321"/>
      <c r="X19" s="2321"/>
      <c r="Y19" s="2321"/>
      <c r="Z19" s="2321"/>
      <c r="AA19" s="2321"/>
      <c r="AB19" s="2321"/>
      <c r="AC19" s="2321"/>
      <c r="AD19" s="2321"/>
      <c r="AE19" s="2321"/>
      <c r="AF19" s="2321"/>
      <c r="AG19" s="2321"/>
      <c r="AH19" s="2321"/>
      <c r="AI19" s="2321"/>
      <c r="AJ19" s="2321"/>
      <c r="AK19" s="2321"/>
      <c r="AL19" s="2321"/>
      <c r="AM19" s="2321"/>
      <c r="AN19" s="2321"/>
      <c r="AO19" s="2321"/>
      <c r="AP19" s="2321"/>
      <c r="AQ19" s="2321"/>
      <c r="AR19" s="2322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3"/>
      <c r="BE19" s="263"/>
      <c r="BF19" s="263"/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/>
      <c r="CG19" s="263"/>
      <c r="CH19" s="263"/>
      <c r="CI19" s="263"/>
      <c r="CJ19" s="263"/>
      <c r="CK19" s="263"/>
      <c r="CL19" s="263"/>
      <c r="CM19" s="263"/>
      <c r="CN19" s="263"/>
      <c r="CO19" s="263"/>
      <c r="CP19" s="263"/>
      <c r="CQ19" s="263"/>
      <c r="CR19" s="263"/>
      <c r="CS19" s="263"/>
      <c r="CT19" s="263"/>
      <c r="CU19" s="263"/>
      <c r="CV19" s="263"/>
      <c r="CW19" s="263"/>
      <c r="CX19" s="263"/>
    </row>
    <row r="20" spans="1:44" ht="5.1" customHeight="1">
      <c r="A20" s="2323"/>
      <c r="B20" s="2324"/>
      <c r="C20" s="2324"/>
      <c r="D20" s="2324"/>
      <c r="E20" s="2324"/>
      <c r="F20" s="2324"/>
      <c r="G20" s="2324"/>
      <c r="H20" s="2324"/>
      <c r="I20" s="2324"/>
      <c r="J20" s="2324"/>
      <c r="K20" s="2324"/>
      <c r="L20" s="2324"/>
      <c r="M20" s="2324"/>
      <c r="N20" s="2324"/>
      <c r="O20" s="2324"/>
      <c r="P20" s="2324"/>
      <c r="Q20" s="2324"/>
      <c r="R20" s="2324"/>
      <c r="S20" s="2324"/>
      <c r="T20" s="2324"/>
      <c r="U20" s="2324"/>
      <c r="V20" s="2324"/>
      <c r="W20" s="2324"/>
      <c r="X20" s="2324"/>
      <c r="Y20" s="2324"/>
      <c r="Z20" s="2324"/>
      <c r="AA20" s="2324"/>
      <c r="AB20" s="2324"/>
      <c r="AC20" s="2324"/>
      <c r="AD20" s="2324"/>
      <c r="AE20" s="2324"/>
      <c r="AF20" s="2324"/>
      <c r="AG20" s="2324"/>
      <c r="AH20" s="2324"/>
      <c r="AI20" s="2324"/>
      <c r="AJ20" s="2324"/>
      <c r="AK20" s="2324"/>
      <c r="AL20" s="2324"/>
      <c r="AM20" s="2324"/>
      <c r="AN20" s="2324"/>
      <c r="AO20" s="2324"/>
      <c r="AP20" s="2324"/>
      <c r="AQ20" s="2324"/>
      <c r="AR20" s="2325"/>
    </row>
    <row r="21" spans="1:44" ht="15" customHeight="1">
      <c r="A21" s="2207" t="s">
        <v>216</v>
      </c>
      <c r="B21" s="2326"/>
      <c r="C21" s="2326"/>
      <c r="D21" s="2326"/>
      <c r="E21" s="2326"/>
      <c r="F21" s="2326"/>
      <c r="G21" s="2326"/>
      <c r="H21" s="2326"/>
      <c r="I21" s="2326"/>
      <c r="J21" s="2326"/>
      <c r="K21" s="2326"/>
      <c r="L21" s="2326"/>
      <c r="M21" s="2326"/>
      <c r="N21" s="2326"/>
      <c r="O21" s="2326"/>
      <c r="P21" s="2326"/>
      <c r="Q21" s="2326"/>
      <c r="R21" s="2326"/>
      <c r="S21" s="2326"/>
      <c r="T21" s="2326"/>
      <c r="U21" s="2326"/>
      <c r="V21" s="2326"/>
      <c r="W21" s="2326"/>
      <c r="X21" s="2326"/>
      <c r="Y21" s="2326"/>
      <c r="Z21" s="2326"/>
      <c r="AA21" s="2326"/>
      <c r="AB21" s="2326"/>
      <c r="AC21" s="2208"/>
      <c r="AD21" s="2208"/>
      <c r="AE21" s="2208"/>
      <c r="AF21" s="2208"/>
      <c r="AG21" s="2208"/>
      <c r="AH21" s="2208"/>
      <c r="AI21" s="2208"/>
      <c r="AJ21" s="2208"/>
      <c r="AK21" s="2208"/>
      <c r="AL21" s="2208"/>
      <c r="AM21" s="2208"/>
      <c r="AN21" s="2208"/>
      <c r="AO21" s="2208"/>
      <c r="AP21" s="2208"/>
      <c r="AQ21" s="2208"/>
      <c r="AR21" s="2327"/>
    </row>
    <row r="22" spans="1:44" ht="14.1" customHeight="1">
      <c r="A22" s="700"/>
      <c r="B22" s="2328" t="s">
        <v>3981</v>
      </c>
      <c r="C22" s="2329"/>
      <c r="D22" s="2329"/>
      <c r="E22" s="2329"/>
      <c r="F22" s="2329"/>
      <c r="G22" s="2329"/>
      <c r="H22" s="2329"/>
      <c r="I22" s="2329"/>
      <c r="J22" s="2329"/>
      <c r="K22" s="2329"/>
      <c r="L22" s="2329"/>
      <c r="M22" s="2329"/>
      <c r="N22" s="2329"/>
      <c r="O22" s="2329"/>
      <c r="P22" s="2329"/>
      <c r="Q22" s="2329"/>
      <c r="R22" s="2329"/>
      <c r="S22" s="2329"/>
      <c r="T22" s="2329"/>
      <c r="U22" s="2329"/>
      <c r="V22" s="2329"/>
      <c r="W22" s="2329"/>
      <c r="X22" s="2329"/>
      <c r="Y22" s="2329"/>
      <c r="Z22" s="2329"/>
      <c r="AA22" s="2330"/>
      <c r="AB22" s="2331"/>
      <c r="AC22" s="2332"/>
      <c r="AD22" s="2332"/>
      <c r="AE22" s="2332"/>
      <c r="AF22" s="2332"/>
      <c r="AG22" s="2332"/>
      <c r="AH22" s="2332"/>
      <c r="AI22" s="2332"/>
      <c r="AJ22" s="2332"/>
      <c r="AK22" s="2332"/>
      <c r="AL22" s="2332"/>
      <c r="AM22" s="2332"/>
      <c r="AN22" s="2332"/>
      <c r="AO22" s="2332"/>
      <c r="AP22" s="2332"/>
      <c r="AQ22" s="2332"/>
      <c r="AR22" s="2333"/>
    </row>
    <row r="23" spans="1:44" ht="14.1" customHeight="1">
      <c r="A23" s="696"/>
      <c r="B23" s="660">
        <v>1</v>
      </c>
      <c r="C23" s="660">
        <v>2</v>
      </c>
      <c r="D23" s="660">
        <v>3</v>
      </c>
      <c r="E23" s="660">
        <v>4</v>
      </c>
      <c r="F23" s="660">
        <v>5</v>
      </c>
      <c r="G23" s="660">
        <v>6</v>
      </c>
      <c r="H23" s="660">
        <v>7</v>
      </c>
      <c r="I23" s="660">
        <v>8</v>
      </c>
      <c r="J23" s="660">
        <v>9</v>
      </c>
      <c r="K23" s="660">
        <v>10</v>
      </c>
      <c r="L23" s="660">
        <v>11</v>
      </c>
      <c r="M23" s="660">
        <v>12</v>
      </c>
      <c r="N23" s="2204" t="s">
        <v>239</v>
      </c>
      <c r="O23" s="2205"/>
      <c r="P23" s="2339"/>
      <c r="Q23" s="2195"/>
      <c r="R23" s="2195"/>
      <c r="S23" s="2195"/>
      <c r="T23" s="2195"/>
      <c r="U23" s="2195"/>
      <c r="V23" s="2195"/>
      <c r="W23" s="2195"/>
      <c r="X23" s="2195"/>
      <c r="Y23" s="2195"/>
      <c r="Z23" s="2195"/>
      <c r="AA23" s="2196"/>
      <c r="AB23" s="650"/>
      <c r="AC23" s="649"/>
      <c r="AD23" s="2178" t="s">
        <v>3982</v>
      </c>
      <c r="AE23" s="2178"/>
      <c r="AF23" s="2178"/>
      <c r="AG23" s="2178"/>
      <c r="AH23" s="2178"/>
      <c r="AI23" s="2178"/>
      <c r="AJ23" s="2178"/>
      <c r="AK23" s="2178"/>
      <c r="AL23" s="2178"/>
      <c r="AM23" s="2178"/>
      <c r="AN23" s="2178"/>
      <c r="AO23" s="2178"/>
      <c r="AP23" s="2178"/>
      <c r="AQ23" s="2178"/>
      <c r="AR23" s="2179"/>
    </row>
    <row r="24" spans="1:44" ht="14.1" customHeight="1">
      <c r="A24" s="696"/>
      <c r="B24" s="649"/>
      <c r="C24" s="649"/>
      <c r="D24" s="649"/>
      <c r="E24" s="649"/>
      <c r="F24" s="649"/>
      <c r="G24" s="649"/>
      <c r="H24" s="649"/>
      <c r="I24" s="649"/>
      <c r="J24" s="649"/>
      <c r="K24" s="649"/>
      <c r="L24" s="649"/>
      <c r="M24" s="649"/>
      <c r="N24" s="702"/>
      <c r="O24" s="703"/>
      <c r="P24" s="2195"/>
      <c r="Q24" s="2195"/>
      <c r="R24" s="2195"/>
      <c r="S24" s="2195"/>
      <c r="T24" s="2195"/>
      <c r="U24" s="2195"/>
      <c r="V24" s="2195"/>
      <c r="W24" s="2195"/>
      <c r="X24" s="2195"/>
      <c r="Y24" s="2195"/>
      <c r="Z24" s="2195"/>
      <c r="AA24" s="2196"/>
      <c r="AB24" s="2180"/>
      <c r="AC24" s="2189"/>
      <c r="AD24" s="2189"/>
      <c r="AE24" s="2189"/>
      <c r="AF24" s="2189"/>
      <c r="AG24" s="2189"/>
      <c r="AH24" s="2189"/>
      <c r="AI24" s="2189"/>
      <c r="AJ24" s="2189"/>
      <c r="AK24" s="2189"/>
      <c r="AL24" s="2189"/>
      <c r="AM24" s="2189"/>
      <c r="AN24" s="2189"/>
      <c r="AO24" s="2189"/>
      <c r="AP24" s="2189"/>
      <c r="AQ24" s="2189"/>
      <c r="AR24" s="2190"/>
    </row>
    <row r="25" spans="1:44" ht="14.1" customHeight="1">
      <c r="A25" s="700"/>
      <c r="B25" s="2197" t="s">
        <v>3975</v>
      </c>
      <c r="C25" s="2198"/>
      <c r="D25" s="2198"/>
      <c r="E25" s="2198"/>
      <c r="F25" s="2198"/>
      <c r="G25" s="2198"/>
      <c r="H25" s="2198"/>
      <c r="I25" s="2198"/>
      <c r="J25" s="2198"/>
      <c r="K25" s="2198"/>
      <c r="L25" s="2198"/>
      <c r="M25" s="2198"/>
      <c r="N25" s="2198"/>
      <c r="O25" s="2329"/>
      <c r="P25" s="2198"/>
      <c r="Q25" s="2198"/>
      <c r="R25" s="2198"/>
      <c r="S25" s="2198"/>
      <c r="T25" s="2198"/>
      <c r="U25" s="2198"/>
      <c r="V25" s="2198"/>
      <c r="W25" s="2198"/>
      <c r="X25" s="2198"/>
      <c r="Y25" s="2198"/>
      <c r="Z25" s="2198"/>
      <c r="AA25" s="2199"/>
      <c r="AB25" s="650"/>
      <c r="AC25" s="649"/>
      <c r="AD25" s="2177" t="s">
        <v>3983</v>
      </c>
      <c r="AE25" s="2178"/>
      <c r="AF25" s="2178"/>
      <c r="AG25" s="2178"/>
      <c r="AH25" s="2178"/>
      <c r="AI25" s="2178"/>
      <c r="AJ25" s="2178"/>
      <c r="AK25" s="2178"/>
      <c r="AL25" s="2178"/>
      <c r="AM25" s="2178"/>
      <c r="AN25" s="2178"/>
      <c r="AO25" s="2178"/>
      <c r="AP25" s="2178"/>
      <c r="AQ25" s="2178"/>
      <c r="AR25" s="2179"/>
    </row>
    <row r="26" spans="1:44" ht="14.1" customHeight="1">
      <c r="A26" s="696"/>
      <c r="B26" s="660">
        <v>1</v>
      </c>
      <c r="C26" s="660">
        <v>2</v>
      </c>
      <c r="D26" s="660">
        <v>3</v>
      </c>
      <c r="E26" s="660">
        <v>4</v>
      </c>
      <c r="F26" s="660">
        <v>5</v>
      </c>
      <c r="G26" s="660">
        <v>6</v>
      </c>
      <c r="H26" s="660">
        <v>7</v>
      </c>
      <c r="I26" s="660">
        <v>8</v>
      </c>
      <c r="J26" s="660">
        <v>9</v>
      </c>
      <c r="K26" s="660">
        <v>10</v>
      </c>
      <c r="L26" s="660">
        <v>11</v>
      </c>
      <c r="M26" s="660">
        <v>12</v>
      </c>
      <c r="N26" s="2204" t="s">
        <v>239</v>
      </c>
      <c r="O26" s="2205"/>
      <c r="P26" s="2176"/>
      <c r="Q26" s="2176"/>
      <c r="R26" s="2176"/>
      <c r="S26" s="2176"/>
      <c r="T26" s="2186" t="s">
        <v>217</v>
      </c>
      <c r="U26" s="2187"/>
      <c r="V26" s="2187"/>
      <c r="W26" s="2187"/>
      <c r="X26" s="2186" t="s">
        <v>218</v>
      </c>
      <c r="Y26" s="2187"/>
      <c r="Z26" s="2187"/>
      <c r="AA26" s="2188"/>
      <c r="AB26" s="2180"/>
      <c r="AC26" s="2189"/>
      <c r="AD26" s="2189"/>
      <c r="AE26" s="2189"/>
      <c r="AF26" s="2189"/>
      <c r="AG26" s="2189"/>
      <c r="AH26" s="2189"/>
      <c r="AI26" s="2189"/>
      <c r="AJ26" s="2189"/>
      <c r="AK26" s="2189"/>
      <c r="AL26" s="2189"/>
      <c r="AM26" s="2189"/>
      <c r="AN26" s="2189"/>
      <c r="AO26" s="2189"/>
      <c r="AP26" s="2189"/>
      <c r="AQ26" s="2189"/>
      <c r="AR26" s="2190"/>
    </row>
    <row r="27" spans="1:44" ht="14.1" customHeight="1">
      <c r="A27" s="696"/>
      <c r="B27" s="649"/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702"/>
      <c r="O27" s="703"/>
      <c r="P27" s="2191" t="s">
        <v>3534</v>
      </c>
      <c r="Q27" s="2192"/>
      <c r="R27" s="2192"/>
      <c r="S27" s="2192"/>
      <c r="T27" s="703"/>
      <c r="U27" s="2193"/>
      <c r="V27" s="2193"/>
      <c r="W27" s="2193"/>
      <c r="X27" s="703"/>
      <c r="Y27" s="2194"/>
      <c r="Z27" s="2195"/>
      <c r="AA27" s="2196"/>
      <c r="AB27" s="650"/>
      <c r="AC27" s="649"/>
      <c r="AD27" s="2177" t="s">
        <v>3984</v>
      </c>
      <c r="AE27" s="2178"/>
      <c r="AF27" s="2178"/>
      <c r="AG27" s="2178"/>
      <c r="AH27" s="2178"/>
      <c r="AI27" s="2178"/>
      <c r="AJ27" s="2178"/>
      <c r="AK27" s="2178"/>
      <c r="AL27" s="2178"/>
      <c r="AM27" s="2178"/>
      <c r="AN27" s="2178"/>
      <c r="AO27" s="2178"/>
      <c r="AP27" s="2178"/>
      <c r="AQ27" s="2178"/>
      <c r="AR27" s="2179"/>
    </row>
    <row r="28" spans="1:44" ht="14.1" customHeight="1">
      <c r="A28" s="700"/>
      <c r="B28" s="2197" t="s">
        <v>3976</v>
      </c>
      <c r="C28" s="2198"/>
      <c r="D28" s="2198"/>
      <c r="E28" s="2198"/>
      <c r="F28" s="2198"/>
      <c r="G28" s="2198"/>
      <c r="H28" s="2198"/>
      <c r="I28" s="2198"/>
      <c r="J28" s="2198"/>
      <c r="K28" s="2198"/>
      <c r="L28" s="2198"/>
      <c r="M28" s="2198"/>
      <c r="N28" s="2198"/>
      <c r="O28" s="2198"/>
      <c r="P28" s="2198"/>
      <c r="Q28" s="2198"/>
      <c r="R28" s="2198"/>
      <c r="S28" s="2198"/>
      <c r="T28" s="2198"/>
      <c r="U28" s="2198"/>
      <c r="V28" s="2198"/>
      <c r="W28" s="2198"/>
      <c r="X28" s="2198"/>
      <c r="Y28" s="2198"/>
      <c r="Z28" s="2198"/>
      <c r="AA28" s="2199"/>
      <c r="AB28" s="2180"/>
      <c r="AC28" s="2189"/>
      <c r="AD28" s="2189"/>
      <c r="AE28" s="2189"/>
      <c r="AF28" s="2189"/>
      <c r="AG28" s="2189"/>
      <c r="AH28" s="2189"/>
      <c r="AI28" s="2189"/>
      <c r="AJ28" s="2189"/>
      <c r="AK28" s="2189"/>
      <c r="AL28" s="2189"/>
      <c r="AM28" s="2189"/>
      <c r="AN28" s="2189"/>
      <c r="AO28" s="2189"/>
      <c r="AP28" s="2189"/>
      <c r="AQ28" s="2189"/>
      <c r="AR28" s="2190"/>
    </row>
    <row r="29" spans="1:44" ht="14.1" customHeight="1">
      <c r="A29" s="696"/>
      <c r="B29" s="660">
        <v>1</v>
      </c>
      <c r="C29" s="660">
        <v>2</v>
      </c>
      <c r="D29" s="660">
        <v>3</v>
      </c>
      <c r="E29" s="660">
        <v>4</v>
      </c>
      <c r="F29" s="660">
        <v>5</v>
      </c>
      <c r="G29" s="660">
        <v>6</v>
      </c>
      <c r="H29" s="660">
        <v>7</v>
      </c>
      <c r="I29" s="660">
        <v>8</v>
      </c>
      <c r="J29" s="660">
        <v>9</v>
      </c>
      <c r="K29" s="660">
        <v>10</v>
      </c>
      <c r="L29" s="660">
        <v>11</v>
      </c>
      <c r="M29" s="660">
        <v>12</v>
      </c>
      <c r="N29" s="2204" t="s">
        <v>239</v>
      </c>
      <c r="O29" s="2205"/>
      <c r="P29" s="2176"/>
      <c r="Q29" s="2176"/>
      <c r="R29" s="2176"/>
      <c r="S29" s="2176"/>
      <c r="T29" s="662" t="s">
        <v>234</v>
      </c>
      <c r="U29" s="662" t="s">
        <v>235</v>
      </c>
      <c r="V29" s="662" t="s">
        <v>219</v>
      </c>
      <c r="W29" s="662" t="s">
        <v>220</v>
      </c>
      <c r="X29" s="662" t="s">
        <v>221</v>
      </c>
      <c r="Y29" s="662" t="s">
        <v>222</v>
      </c>
      <c r="Z29" s="695"/>
      <c r="AA29" s="704"/>
      <c r="AB29" s="697"/>
      <c r="AC29" s="649"/>
      <c r="AD29" s="2177" t="s">
        <v>3896</v>
      </c>
      <c r="AE29" s="2178"/>
      <c r="AF29" s="2178"/>
      <c r="AG29" s="2178"/>
      <c r="AH29" s="2178"/>
      <c r="AI29" s="2178"/>
      <c r="AJ29" s="2178"/>
      <c r="AK29" s="2178"/>
      <c r="AL29" s="2178"/>
      <c r="AM29" s="2178"/>
      <c r="AN29" s="2178"/>
      <c r="AO29" s="2178"/>
      <c r="AP29" s="2178"/>
      <c r="AQ29" s="2178"/>
      <c r="AR29" s="2179"/>
    </row>
    <row r="30" spans="1:64" ht="14.1" customHeight="1">
      <c r="A30" s="696"/>
      <c r="B30" s="649"/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702"/>
      <c r="O30" s="703"/>
      <c r="P30" s="2191" t="s">
        <v>3534</v>
      </c>
      <c r="Q30" s="2192"/>
      <c r="R30" s="2192"/>
      <c r="S30" s="2192"/>
      <c r="T30" s="649"/>
      <c r="U30" s="649"/>
      <c r="V30" s="649"/>
      <c r="W30" s="649"/>
      <c r="X30" s="649"/>
      <c r="Y30" s="649"/>
      <c r="Z30" s="392"/>
      <c r="AA30" s="701"/>
      <c r="AB30" s="2180"/>
      <c r="AC30" s="733"/>
      <c r="AD30" s="733"/>
      <c r="AE30" s="733"/>
      <c r="AF30" s="733"/>
      <c r="AG30" s="733"/>
      <c r="AH30" s="733"/>
      <c r="AI30" s="733"/>
      <c r="AJ30" s="733"/>
      <c r="AK30" s="733"/>
      <c r="AL30" s="733"/>
      <c r="AM30" s="733"/>
      <c r="AN30" s="733"/>
      <c r="AO30" s="733"/>
      <c r="AP30" s="733"/>
      <c r="AQ30" s="733"/>
      <c r="AR30" s="2181"/>
      <c r="AY30" s="22">
        <f>+IF(EXACT(O30,"X"),12,0)</f>
        <v>0</v>
      </c>
      <c r="AZ30" s="22">
        <f>+IF(EXACT(B30,"X"),1,0)</f>
        <v>0</v>
      </c>
      <c r="BA30" s="22">
        <f t="shared" si="0" ref="BA30:BK30">+IF(EXACT(C30,"X"),1,0)</f>
        <v>0</v>
      </c>
      <c r="BB30" s="22">
        <f t="shared" si="0"/>
        <v>0</v>
      </c>
      <c r="BC30" s="22">
        <f t="shared" si="0"/>
        <v>0</v>
      </c>
      <c r="BD30" s="22">
        <f t="shared" si="0"/>
        <v>0</v>
      </c>
      <c r="BE30" s="22">
        <f t="shared" si="0"/>
        <v>0</v>
      </c>
      <c r="BF30" s="22">
        <f t="shared" si="0"/>
        <v>0</v>
      </c>
      <c r="BG30" s="22">
        <f t="shared" si="0"/>
        <v>0</v>
      </c>
      <c r="BH30" s="22">
        <f t="shared" si="0"/>
        <v>0</v>
      </c>
      <c r="BI30" s="22">
        <f t="shared" si="0"/>
        <v>0</v>
      </c>
      <c r="BJ30" s="22">
        <f t="shared" si="0"/>
        <v>0</v>
      </c>
      <c r="BK30" s="22">
        <f t="shared" si="0"/>
        <v>0</v>
      </c>
      <c r="BL30" s="22">
        <f>+IF(AY30=12,12,+SUM(AZ30:BK30))</f>
        <v>0</v>
      </c>
    </row>
    <row r="31" spans="1:44" ht="14.1" customHeight="1">
      <c r="A31" s="661"/>
      <c r="B31" s="2356" t="s">
        <v>3806</v>
      </c>
      <c r="C31" s="825"/>
      <c r="D31" s="825"/>
      <c r="E31" s="825"/>
      <c r="F31" s="825"/>
      <c r="G31" s="825"/>
      <c r="H31" s="694" t="s">
        <v>223</v>
      </c>
      <c r="I31" s="693"/>
      <c r="J31" s="693"/>
      <c r="K31" s="693"/>
      <c r="L31" s="693"/>
      <c r="M31" s="693"/>
      <c r="N31" s="693"/>
      <c r="O31" s="693"/>
      <c r="P31" s="693"/>
      <c r="Q31" s="693"/>
      <c r="R31" s="694" t="s">
        <v>224</v>
      </c>
      <c r="S31" s="693"/>
      <c r="T31" s="693"/>
      <c r="U31" s="693"/>
      <c r="V31" s="693"/>
      <c r="W31" s="693"/>
      <c r="X31" s="693"/>
      <c r="Y31" s="693"/>
      <c r="Z31" s="693"/>
      <c r="AA31" s="693"/>
      <c r="AB31" s="2182"/>
      <c r="AC31" s="733"/>
      <c r="AD31" s="733"/>
      <c r="AE31" s="733"/>
      <c r="AF31" s="733"/>
      <c r="AG31" s="733"/>
      <c r="AH31" s="733"/>
      <c r="AI31" s="733"/>
      <c r="AJ31" s="733"/>
      <c r="AK31" s="733"/>
      <c r="AL31" s="733"/>
      <c r="AM31" s="733"/>
      <c r="AN31" s="733"/>
      <c r="AO31" s="733"/>
      <c r="AP31" s="733"/>
      <c r="AQ31" s="733"/>
      <c r="AR31" s="2181"/>
    </row>
    <row r="32" spans="1:44" ht="18" customHeight="1">
      <c r="A32" s="661"/>
      <c r="B32" s="825"/>
      <c r="C32" s="825"/>
      <c r="D32" s="825"/>
      <c r="E32" s="825"/>
      <c r="F32" s="825"/>
      <c r="G32" s="825"/>
      <c r="H32" s="2200"/>
      <c r="I32" s="2201"/>
      <c r="J32" s="2201"/>
      <c r="K32" s="2201"/>
      <c r="L32" s="2201"/>
      <c r="M32" s="2201"/>
      <c r="N32" s="2201"/>
      <c r="O32" s="2201"/>
      <c r="P32" s="2202"/>
      <c r="Q32" s="648"/>
      <c r="R32" s="2200"/>
      <c r="S32" s="2201"/>
      <c r="T32" s="2201"/>
      <c r="U32" s="2201"/>
      <c r="V32" s="2201"/>
      <c r="W32" s="2201"/>
      <c r="X32" s="2201"/>
      <c r="Y32" s="2201"/>
      <c r="Z32" s="2202"/>
      <c r="AA32" s="388"/>
      <c r="AB32" s="2182"/>
      <c r="AC32" s="733"/>
      <c r="AD32" s="733"/>
      <c r="AE32" s="733"/>
      <c r="AF32" s="733"/>
      <c r="AG32" s="733"/>
      <c r="AH32" s="733"/>
      <c r="AI32" s="733"/>
      <c r="AJ32" s="733"/>
      <c r="AK32" s="733"/>
      <c r="AL32" s="733"/>
      <c r="AM32" s="733"/>
      <c r="AN32" s="733"/>
      <c r="AO32" s="733"/>
      <c r="AP32" s="733"/>
      <c r="AQ32" s="733"/>
      <c r="AR32" s="2181"/>
    </row>
    <row r="33" spans="1:44" ht="6" customHeight="1">
      <c r="A33" s="2203"/>
      <c r="B33" s="2184"/>
      <c r="C33" s="2184"/>
      <c r="D33" s="2184"/>
      <c r="E33" s="2184"/>
      <c r="F33" s="2184"/>
      <c r="G33" s="2184"/>
      <c r="H33" s="2184"/>
      <c r="I33" s="2184"/>
      <c r="J33" s="2184"/>
      <c r="K33" s="2184"/>
      <c r="L33" s="2184"/>
      <c r="M33" s="2184"/>
      <c r="N33" s="2184"/>
      <c r="O33" s="2184"/>
      <c r="P33" s="2184"/>
      <c r="Q33" s="2184"/>
      <c r="R33" s="2184"/>
      <c r="S33" s="2184"/>
      <c r="T33" s="2184"/>
      <c r="U33" s="2184"/>
      <c r="V33" s="2184"/>
      <c r="W33" s="2184"/>
      <c r="X33" s="2184"/>
      <c r="Y33" s="2184"/>
      <c r="Z33" s="2184"/>
      <c r="AA33" s="2184"/>
      <c r="AB33" s="2183"/>
      <c r="AC33" s="2184"/>
      <c r="AD33" s="2184"/>
      <c r="AE33" s="2184"/>
      <c r="AF33" s="2184"/>
      <c r="AG33" s="2184"/>
      <c r="AH33" s="2184"/>
      <c r="AI33" s="2184"/>
      <c r="AJ33" s="2184"/>
      <c r="AK33" s="2184"/>
      <c r="AL33" s="2184"/>
      <c r="AM33" s="2184"/>
      <c r="AN33" s="2184"/>
      <c r="AO33" s="2184"/>
      <c r="AP33" s="2184"/>
      <c r="AQ33" s="2184"/>
      <c r="AR33" s="2185"/>
    </row>
    <row r="34" spans="1:44" ht="18" customHeight="1">
      <c r="A34" s="2291" t="s">
        <v>344</v>
      </c>
      <c r="B34" s="2292"/>
      <c r="C34" s="2292"/>
      <c r="D34" s="2292"/>
      <c r="E34" s="2292"/>
      <c r="F34" s="2292"/>
      <c r="G34" s="2292"/>
      <c r="H34" s="2292"/>
      <c r="I34" s="2292"/>
      <c r="J34" s="2292"/>
      <c r="K34" s="2292"/>
      <c r="L34" s="2292"/>
      <c r="M34" s="2292"/>
      <c r="N34" s="2292"/>
      <c r="O34" s="2292"/>
      <c r="P34" s="2292"/>
      <c r="Q34" s="2292"/>
      <c r="R34" s="2292"/>
      <c r="S34" s="2292"/>
      <c r="T34" s="2292"/>
      <c r="U34" s="2292"/>
      <c r="V34" s="2292"/>
      <c r="W34" s="2293" t="s">
        <v>3535</v>
      </c>
      <c r="X34" s="2293"/>
      <c r="Y34" s="2293"/>
      <c r="Z34" s="2293"/>
      <c r="AA34" s="2293"/>
      <c r="AB34" s="2293"/>
      <c r="AC34" s="2293"/>
      <c r="AD34" s="2293"/>
      <c r="AE34" s="2293"/>
      <c r="AF34" s="2293"/>
      <c r="AG34" s="2293"/>
      <c r="AH34" s="2293"/>
      <c r="AI34" s="2293"/>
      <c r="AJ34" s="2293"/>
      <c r="AK34" s="2293"/>
      <c r="AL34" s="2293"/>
      <c r="AM34" s="2292"/>
      <c r="AN34" s="2292"/>
      <c r="AO34" s="2292"/>
      <c r="AP34" s="2292"/>
      <c r="AQ34" s="2292"/>
      <c r="AR34" s="2294"/>
    </row>
    <row r="35" spans="1:44" ht="18" customHeight="1">
      <c r="A35" s="661"/>
      <c r="B35" s="2298"/>
      <c r="C35" s="2298"/>
      <c r="D35" s="2298"/>
      <c r="E35" s="2298"/>
      <c r="F35" s="2298"/>
      <c r="G35" s="2298"/>
      <c r="H35" s="2298"/>
      <c r="I35" s="2299" t="s">
        <v>3897</v>
      </c>
      <c r="J35" s="2299"/>
      <c r="K35" s="2299"/>
      <c r="L35" s="2299"/>
      <c r="M35" s="2299"/>
      <c r="N35" s="2299"/>
      <c r="O35" s="2299"/>
      <c r="P35" s="2299"/>
      <c r="Q35" s="2299"/>
      <c r="R35" s="2299"/>
      <c r="S35" s="2299"/>
      <c r="T35" s="2176"/>
      <c r="U35" s="2187"/>
      <c r="V35" s="2187"/>
      <c r="W35" s="2295" t="s">
        <v>3987</v>
      </c>
      <c r="X35" s="2296"/>
      <c r="Y35" s="2296"/>
      <c r="Z35" s="2296"/>
      <c r="AA35" s="2296"/>
      <c r="AB35" s="2296"/>
      <c r="AC35" s="2296"/>
      <c r="AD35" s="2296"/>
      <c r="AE35" s="2296"/>
      <c r="AF35" s="2296"/>
      <c r="AG35" s="2296"/>
      <c r="AH35" s="2296"/>
      <c r="AI35" s="2296"/>
      <c r="AJ35" s="2296"/>
      <c r="AK35" s="2296"/>
      <c r="AL35" s="2296"/>
      <c r="AM35" s="2296"/>
      <c r="AN35" s="2296"/>
      <c r="AO35" s="2296"/>
      <c r="AP35" s="2296"/>
      <c r="AQ35" s="2296"/>
      <c r="AR35" s="2297"/>
    </row>
    <row r="36" spans="1:44" ht="18" customHeight="1">
      <c r="A36" s="663"/>
      <c r="B36" s="2228" t="s">
        <v>3898</v>
      </c>
      <c r="C36" s="2229"/>
      <c r="D36" s="2229"/>
      <c r="E36" s="2229"/>
      <c r="F36" s="2229"/>
      <c r="G36" s="2229"/>
      <c r="H36" s="2229"/>
      <c r="I36" s="2300">
        <f>+IF(AND('1Př1'!F11=0,'1Př1'!F12=0),+'1Př1'!F14+'1Př1'!F15-'1Př1'!F17+'1Př1'!F19+'1Př1'!F22-('1Př1'!F12+'1Př1'!F16-'1Př1'!F18+'1Př1'!F20),+'1Př1'!F11+'1Př1'!F15-'1Př1'!F17+'1Př1'!F19+'1Př1'!F22-('1Př1'!F12+'1Př1'!F16-'1Př1'!F18+'1Př1'!F20))</f>
        <v>0</v>
      </c>
      <c r="J36" s="2301"/>
      <c r="K36" s="2301"/>
      <c r="L36" s="2301"/>
      <c r="M36" s="2301"/>
      <c r="N36" s="2301"/>
      <c r="O36" s="2301"/>
      <c r="P36" s="2301"/>
      <c r="Q36" s="2301"/>
      <c r="R36" s="2301"/>
      <c r="S36" s="2302"/>
      <c r="T36" s="2233" t="s">
        <v>202</v>
      </c>
      <c r="U36" s="2198"/>
      <c r="V36" s="2198"/>
      <c r="W36" s="651"/>
      <c r="X36" s="2228" t="s">
        <v>350</v>
      </c>
      <c r="Y36" s="2198"/>
      <c r="Z36" s="2198"/>
      <c r="AA36" s="2198"/>
      <c r="AB36" s="2198"/>
      <c r="AC36" s="2198"/>
      <c r="AD36" s="2198"/>
      <c r="AE36" s="2283">
        <v>0</v>
      </c>
      <c r="AF36" s="2289"/>
      <c r="AG36" s="2289"/>
      <c r="AH36" s="2289"/>
      <c r="AI36" s="2289"/>
      <c r="AJ36" s="2289"/>
      <c r="AK36" s="2289"/>
      <c r="AL36" s="2289"/>
      <c r="AM36" s="2289"/>
      <c r="AN36" s="2290"/>
      <c r="AO36" s="2233" t="s">
        <v>202</v>
      </c>
      <c r="AP36" s="2198"/>
      <c r="AQ36" s="2198"/>
      <c r="AR36" s="2274"/>
    </row>
    <row r="37" spans="1:44" ht="18" customHeight="1">
      <c r="A37" s="663"/>
      <c r="B37" s="2255" t="s">
        <v>3978</v>
      </c>
      <c r="C37" s="2286"/>
      <c r="D37" s="2286"/>
      <c r="E37" s="2286"/>
      <c r="F37" s="2286"/>
      <c r="G37" s="2286"/>
      <c r="H37" s="2286"/>
      <c r="I37" s="2286"/>
      <c r="J37" s="2286"/>
      <c r="K37" s="2286"/>
      <c r="L37" s="2286"/>
      <c r="M37" s="2286"/>
      <c r="N37" s="2286"/>
      <c r="O37" s="2286"/>
      <c r="P37" s="2286"/>
      <c r="Q37" s="2286"/>
      <c r="R37" s="2286"/>
      <c r="S37" s="2286"/>
      <c r="T37" s="2286"/>
      <c r="U37" s="2286"/>
      <c r="V37" s="2286"/>
      <c r="W37" s="2287" t="s">
        <v>3899</v>
      </c>
      <c r="X37" s="2279"/>
      <c r="Y37" s="2279"/>
      <c r="Z37" s="2279"/>
      <c r="AA37" s="2279"/>
      <c r="AB37" s="2279"/>
      <c r="AC37" s="2279"/>
      <c r="AD37" s="2279"/>
      <c r="AE37" s="2279"/>
      <c r="AF37" s="2279"/>
      <c r="AG37" s="2279"/>
      <c r="AH37" s="2279"/>
      <c r="AI37" s="2279"/>
      <c r="AJ37" s="2279"/>
      <c r="AK37" s="2279"/>
      <c r="AL37" s="2279"/>
      <c r="AM37" s="2279"/>
      <c r="AN37" s="2279"/>
      <c r="AO37" s="2279"/>
      <c r="AP37" s="2279"/>
      <c r="AQ37" s="2279"/>
      <c r="AR37" s="2288"/>
    </row>
    <row r="38" spans="1:44" ht="18" customHeight="1">
      <c r="A38" s="663"/>
      <c r="B38" s="2228" t="s">
        <v>345</v>
      </c>
      <c r="C38" s="2229"/>
      <c r="D38" s="2229"/>
      <c r="E38" s="2229"/>
      <c r="F38" s="2229"/>
      <c r="G38" s="2229"/>
      <c r="H38" s="2229"/>
      <c r="I38" s="2229"/>
      <c r="J38" s="2229"/>
      <c r="K38" s="2229"/>
      <c r="L38" s="2229"/>
      <c r="M38" s="2229"/>
      <c r="N38" s="2275">
        <f>+'1Př2'!G3</f>
        <v>12</v>
      </c>
      <c r="O38" s="2276"/>
      <c r="P38" s="2277"/>
      <c r="Q38" s="1718"/>
      <c r="R38" s="1718"/>
      <c r="S38" s="1718"/>
      <c r="T38" s="1718"/>
      <c r="U38" s="1718"/>
      <c r="V38" s="1718"/>
      <c r="W38" s="651"/>
      <c r="X38" s="2228" t="s">
        <v>187</v>
      </c>
      <c r="Y38" s="2229"/>
      <c r="Z38" s="2229"/>
      <c r="AA38" s="2229"/>
      <c r="AB38" s="2229"/>
      <c r="AC38" s="2229"/>
      <c r="AD38" s="2229"/>
      <c r="AE38" s="2265">
        <f>+AE36-I49</f>
        <v>-31518</v>
      </c>
      <c r="AF38" s="2266"/>
      <c r="AG38" s="2266"/>
      <c r="AH38" s="2266"/>
      <c r="AI38" s="2266"/>
      <c r="AJ38" s="2266"/>
      <c r="AK38" s="2266"/>
      <c r="AL38" s="2266"/>
      <c r="AM38" s="2266"/>
      <c r="AN38" s="2267"/>
      <c r="AO38" s="2233" t="s">
        <v>202</v>
      </c>
      <c r="AP38" s="2198"/>
      <c r="AQ38" s="2198"/>
      <c r="AR38" s="2274"/>
    </row>
    <row r="39" spans="1:44" ht="18" customHeight="1">
      <c r="A39" s="663"/>
      <c r="B39" s="2255" t="s">
        <v>3927</v>
      </c>
      <c r="C39" s="2286"/>
      <c r="D39" s="2286"/>
      <c r="E39" s="2286"/>
      <c r="F39" s="2286"/>
      <c r="G39" s="2286"/>
      <c r="H39" s="2286"/>
      <c r="I39" s="2286"/>
      <c r="J39" s="2286"/>
      <c r="K39" s="2286"/>
      <c r="L39" s="2286"/>
      <c r="M39" s="2286"/>
      <c r="N39" s="2286"/>
      <c r="O39" s="2286"/>
      <c r="P39" s="2286"/>
      <c r="Q39" s="2286"/>
      <c r="R39" s="2286"/>
      <c r="S39" s="2286"/>
      <c r="T39" s="2286"/>
      <c r="U39" s="2286"/>
      <c r="V39" s="2286"/>
      <c r="W39" s="2272"/>
      <c r="X39" s="2198"/>
      <c r="Y39" s="2198"/>
      <c r="Z39" s="2198"/>
      <c r="AA39" s="2198"/>
      <c r="AB39" s="2198"/>
      <c r="AC39" s="2198"/>
      <c r="AD39" s="2198"/>
      <c r="AE39" s="2198"/>
      <c r="AF39" s="2198"/>
      <c r="AG39" s="2198"/>
      <c r="AH39" s="2198"/>
      <c r="AI39" s="2198"/>
      <c r="AJ39" s="2198"/>
      <c r="AK39" s="2198"/>
      <c r="AL39" s="2198"/>
      <c r="AM39" s="2198"/>
      <c r="AN39" s="2198"/>
      <c r="AO39" s="2198"/>
      <c r="AP39" s="2198"/>
      <c r="AQ39" s="2198"/>
      <c r="AR39" s="2274"/>
    </row>
    <row r="40" spans="1:44" ht="18" customHeight="1">
      <c r="A40" s="664" t="s">
        <v>3807</v>
      </c>
      <c r="B40" s="2228" t="s">
        <v>3900</v>
      </c>
      <c r="C40" s="2229"/>
      <c r="D40" s="2229"/>
      <c r="E40" s="2229"/>
      <c r="F40" s="2229"/>
      <c r="G40" s="2229"/>
      <c r="H40" s="2229"/>
      <c r="I40" s="2229"/>
      <c r="J40" s="2229"/>
      <c r="K40" s="2229"/>
      <c r="L40" s="2229"/>
      <c r="M40" s="2229"/>
      <c r="N40" s="2275">
        <f>+N38</f>
        <v>12</v>
      </c>
      <c r="O40" s="2276"/>
      <c r="P40" s="2277"/>
      <c r="Q40" s="1718"/>
      <c r="R40" s="1718"/>
      <c r="S40" s="1718"/>
      <c r="T40" s="1718"/>
      <c r="U40" s="1718"/>
      <c r="V40" s="1718"/>
      <c r="W40" s="651"/>
      <c r="X40" s="2233" t="s">
        <v>351</v>
      </c>
      <c r="Y40" s="2233"/>
      <c r="Z40" s="2233"/>
      <c r="AA40" s="2233"/>
      <c r="AB40" s="2233"/>
      <c r="AC40" s="2233"/>
      <c r="AD40" s="2233"/>
      <c r="AE40" s="2233"/>
      <c r="AF40" s="2233"/>
      <c r="AG40" s="2233"/>
      <c r="AH40" s="2233"/>
      <c r="AI40" s="2233"/>
      <c r="AJ40" s="2233"/>
      <c r="AK40" s="2233"/>
      <c r="AL40" s="2233"/>
      <c r="AM40" s="2233"/>
      <c r="AN40" s="2233"/>
      <c r="AO40" s="2233"/>
      <c r="AP40" s="2233"/>
      <c r="AQ40" s="2233"/>
      <c r="AR40" s="2278"/>
    </row>
    <row r="41" spans="1:55" ht="18" customHeight="1">
      <c r="A41" s="663"/>
      <c r="B41" s="2279" t="s">
        <v>346</v>
      </c>
      <c r="C41" s="2280"/>
      <c r="D41" s="2280"/>
      <c r="E41" s="2280"/>
      <c r="F41" s="2280"/>
      <c r="G41" s="2280"/>
      <c r="H41" s="2280"/>
      <c r="I41" s="2280"/>
      <c r="J41" s="2280"/>
      <c r="K41" s="2280"/>
      <c r="L41" s="2280"/>
      <c r="M41" s="2280"/>
      <c r="N41" s="2280"/>
      <c r="O41" s="2280"/>
      <c r="P41" s="2280"/>
      <c r="Q41" s="2280"/>
      <c r="R41" s="2280"/>
      <c r="S41" s="2280"/>
      <c r="T41" s="2280"/>
      <c r="U41" s="2280"/>
      <c r="V41" s="2280"/>
      <c r="W41" s="652"/>
      <c r="X41" s="649" t="str">
        <f>+IF(AE38&lt;0,"X"," ")</f>
        <v>X</v>
      </c>
      <c r="Y41" s="2243" t="s">
        <v>3905</v>
      </c>
      <c r="Z41" s="2243"/>
      <c r="AA41" s="2243"/>
      <c r="AB41" s="2243"/>
      <c r="AC41" s="2243"/>
      <c r="AD41" s="2243"/>
      <c r="AE41" s="2243"/>
      <c r="AF41" s="2243"/>
      <c r="AG41" s="2243"/>
      <c r="AH41" s="2243"/>
      <c r="AI41" s="2243"/>
      <c r="AJ41" s="2243"/>
      <c r="AK41" s="2243"/>
      <c r="AL41" s="2243"/>
      <c r="AM41" s="2243"/>
      <c r="AN41" s="2243"/>
      <c r="AO41" s="2243"/>
      <c r="AP41" s="2243"/>
      <c r="AQ41" s="2243"/>
      <c r="AR41" s="2281"/>
      <c r="AT41" s="21"/>
      <c r="AU41" s="21"/>
      <c r="AV41" s="21"/>
      <c r="AW41" s="21"/>
      <c r="AX41" s="21"/>
      <c r="AY41" s="21"/>
      <c r="AZ41" s="21"/>
      <c r="BA41" s="21"/>
      <c r="BB41" s="21"/>
      <c r="BC41" s="21"/>
    </row>
    <row r="42" spans="1:55" ht="18" customHeight="1">
      <c r="A42" s="663"/>
      <c r="B42" s="2228" t="s">
        <v>347</v>
      </c>
      <c r="C42" s="2229"/>
      <c r="D42" s="2229"/>
      <c r="E42" s="2229"/>
      <c r="F42" s="2229"/>
      <c r="G42" s="2229"/>
      <c r="H42" s="2229"/>
      <c r="I42" s="2229"/>
      <c r="J42" s="2229"/>
      <c r="K42" s="2229"/>
      <c r="L42" s="2229"/>
      <c r="M42" s="2229"/>
      <c r="N42" s="2275">
        <f>12-BL30</f>
        <v>12</v>
      </c>
      <c r="O42" s="2282"/>
      <c r="P42" s="2277"/>
      <c r="Q42" s="1718"/>
      <c r="R42" s="1718"/>
      <c r="S42" s="1718"/>
      <c r="T42" s="1718"/>
      <c r="U42" s="1718"/>
      <c r="V42" s="1718"/>
      <c r="W42" s="652"/>
      <c r="X42" s="649" t="str">
        <f>+IF(AE38&gt;0,"X"," ")</f>
        <v xml:space="preserve"> </v>
      </c>
      <c r="Y42" s="2243" t="s">
        <v>3633</v>
      </c>
      <c r="Z42" s="2198"/>
      <c r="AA42" s="2198"/>
      <c r="AB42" s="2198"/>
      <c r="AC42" s="2198"/>
      <c r="AD42" s="2198"/>
      <c r="AE42" s="2198"/>
      <c r="AF42" s="2198"/>
      <c r="AG42" s="2198"/>
      <c r="AH42" s="2283">
        <f>+MAX(0,AE38)</f>
        <v>0</v>
      </c>
      <c r="AI42" s="2284"/>
      <c r="AJ42" s="2284"/>
      <c r="AK42" s="2284"/>
      <c r="AL42" s="2284"/>
      <c r="AM42" s="2284"/>
      <c r="AN42" s="2284"/>
      <c r="AO42" s="2285"/>
      <c r="AP42" s="2233" t="s">
        <v>202</v>
      </c>
      <c r="AQ42" s="2198"/>
      <c r="AR42" s="2274"/>
      <c r="AT42" s="21"/>
      <c r="AU42" s="21"/>
      <c r="AV42" s="21"/>
      <c r="AW42" s="21"/>
      <c r="AX42" s="21"/>
      <c r="AY42" s="21"/>
      <c r="AZ42" s="21"/>
      <c r="BA42" s="21"/>
      <c r="BB42" s="21"/>
      <c r="BC42" s="21"/>
    </row>
    <row r="43" spans="1:55" ht="18" customHeight="1">
      <c r="A43" s="663"/>
      <c r="B43" s="2233"/>
      <c r="C43" s="2233"/>
      <c r="D43" s="2233"/>
      <c r="E43" s="2233"/>
      <c r="F43" s="2233"/>
      <c r="G43" s="2233"/>
      <c r="H43" s="2233"/>
      <c r="I43" s="2268" t="s">
        <v>3989</v>
      </c>
      <c r="J43" s="2268"/>
      <c r="K43" s="2268"/>
      <c r="L43" s="2268"/>
      <c r="M43" s="2268"/>
      <c r="N43" s="2268"/>
      <c r="O43" s="2268"/>
      <c r="P43" s="2268"/>
      <c r="Q43" s="2268"/>
      <c r="R43" s="2268"/>
      <c r="S43" s="2268"/>
      <c r="T43" s="2244"/>
      <c r="U43" s="2198"/>
      <c r="V43" s="2198"/>
      <c r="W43" s="2272"/>
      <c r="X43" s="2198"/>
      <c r="Y43" s="2273" t="s">
        <v>3901</v>
      </c>
      <c r="Z43" s="2198"/>
      <c r="AA43" s="2198"/>
      <c r="AB43" s="2198"/>
      <c r="AC43" s="2198"/>
      <c r="AD43" s="649" t="str">
        <f>+X42</f>
        <v xml:space="preserve"> </v>
      </c>
      <c r="AE43" s="2273" t="s">
        <v>3902</v>
      </c>
      <c r="AF43" s="2198"/>
      <c r="AG43" s="2198"/>
      <c r="AH43" s="2198"/>
      <c r="AI43" s="2198"/>
      <c r="AJ43" s="2198"/>
      <c r="AK43" s="2198"/>
      <c r="AL43" s="2198"/>
      <c r="AM43" s="2198"/>
      <c r="AN43" s="2198"/>
      <c r="AO43" s="2198"/>
      <c r="AP43" s="2198"/>
      <c r="AQ43" s="2198"/>
      <c r="AR43" s="2274"/>
      <c r="AT43" s="21"/>
      <c r="AU43" s="21"/>
      <c r="AV43" s="21"/>
      <c r="AW43" s="21"/>
      <c r="AX43" s="21"/>
      <c r="AY43" s="21"/>
      <c r="AZ43" s="21"/>
      <c r="BA43" s="21"/>
      <c r="BB43" s="21"/>
      <c r="BC43" s="21"/>
    </row>
    <row r="44" spans="1:55" ht="18" customHeight="1">
      <c r="A44" s="663"/>
      <c r="B44" s="2228" t="s">
        <v>348</v>
      </c>
      <c r="C44" s="2198"/>
      <c r="D44" s="2198"/>
      <c r="E44" s="2198"/>
      <c r="F44" s="2198"/>
      <c r="G44" s="2198"/>
      <c r="H44" s="2198"/>
      <c r="I44" s="2269">
        <f>+N42*19455.5</f>
        <v>233466</v>
      </c>
      <c r="J44" s="2270"/>
      <c r="K44" s="2270"/>
      <c r="L44" s="2270"/>
      <c r="M44" s="2270"/>
      <c r="N44" s="2270"/>
      <c r="O44" s="2270"/>
      <c r="P44" s="2270"/>
      <c r="Q44" s="2270"/>
      <c r="R44" s="2270"/>
      <c r="S44" s="2271"/>
      <c r="T44" s="2233" t="s">
        <v>202</v>
      </c>
      <c r="U44" s="2198"/>
      <c r="V44" s="2198"/>
      <c r="W44" s="2272"/>
      <c r="X44" s="2198"/>
      <c r="Y44" s="2198"/>
      <c r="Z44" s="2198"/>
      <c r="AA44" s="2198"/>
      <c r="AB44" s="2198"/>
      <c r="AC44" s="2198"/>
      <c r="AD44" s="649"/>
      <c r="AE44" s="2273" t="s">
        <v>3903</v>
      </c>
      <c r="AF44" s="2198"/>
      <c r="AG44" s="2198"/>
      <c r="AH44" s="2198"/>
      <c r="AI44" s="2198"/>
      <c r="AJ44" s="2198"/>
      <c r="AK44" s="2198"/>
      <c r="AL44" s="2198"/>
      <c r="AM44" s="2198"/>
      <c r="AN44" s="2198"/>
      <c r="AO44" s="2198"/>
      <c r="AP44" s="2198"/>
      <c r="AQ44" s="2198"/>
      <c r="AR44" s="2274"/>
      <c r="AT44" s="21"/>
      <c r="AU44" s="21"/>
      <c r="AV44" s="21"/>
      <c r="AW44" s="21"/>
      <c r="AX44" s="21"/>
      <c r="AY44" s="21"/>
      <c r="AZ44" s="21"/>
      <c r="BA44" s="21"/>
      <c r="BB44" s="21"/>
      <c r="BC44" s="21"/>
    </row>
    <row r="45" spans="1:55" ht="18" customHeight="1">
      <c r="A45" s="2253" t="s">
        <v>3979</v>
      </c>
      <c r="B45" s="2198"/>
      <c r="C45" s="2198"/>
      <c r="D45" s="2198"/>
      <c r="E45" s="2198"/>
      <c r="F45" s="2198"/>
      <c r="G45" s="2198"/>
      <c r="H45" s="2198"/>
      <c r="I45" s="2198"/>
      <c r="J45" s="2198"/>
      <c r="K45" s="2198"/>
      <c r="L45" s="2198"/>
      <c r="M45" s="2198"/>
      <c r="N45" s="2198"/>
      <c r="O45" s="2198"/>
      <c r="P45" s="2198"/>
      <c r="Q45" s="2198"/>
      <c r="R45" s="2198"/>
      <c r="S45" s="2198"/>
      <c r="T45" s="2198"/>
      <c r="U45" s="2198"/>
      <c r="V45" s="2198"/>
      <c r="W45" s="2257" t="s">
        <v>3536</v>
      </c>
      <c r="X45" s="2258"/>
      <c r="Y45" s="2258"/>
      <c r="Z45" s="2258"/>
      <c r="AA45" s="2258"/>
      <c r="AB45" s="2258"/>
      <c r="AC45" s="2258"/>
      <c r="AD45" s="2259"/>
      <c r="AE45" s="2258"/>
      <c r="AF45" s="2258"/>
      <c r="AG45" s="2258"/>
      <c r="AH45" s="2258"/>
      <c r="AI45" s="2258"/>
      <c r="AJ45" s="2258"/>
      <c r="AK45" s="2258"/>
      <c r="AL45" s="2258"/>
      <c r="AM45" s="2260"/>
      <c r="AN45" s="2260"/>
      <c r="AO45" s="2260"/>
      <c r="AP45" s="2260"/>
      <c r="AQ45" s="2260"/>
      <c r="AR45" s="2261"/>
      <c r="AT45" s="21"/>
      <c r="AU45" s="21"/>
      <c r="AV45" s="21"/>
      <c r="AW45" s="21"/>
      <c r="AX45" s="21"/>
      <c r="AY45" s="21"/>
      <c r="AZ45" s="21"/>
      <c r="BA45" s="21"/>
      <c r="BB45" s="21"/>
      <c r="BC45" s="21"/>
    </row>
    <row r="46" spans="1:55" ht="18" customHeight="1">
      <c r="A46" s="663"/>
      <c r="B46" s="2228" t="s">
        <v>122</v>
      </c>
      <c r="C46" s="2229"/>
      <c r="D46" s="2229"/>
      <c r="E46" s="2229"/>
      <c r="F46" s="2229"/>
      <c r="G46" s="2229"/>
      <c r="H46" s="2229"/>
      <c r="I46" s="2230">
        <f>+MAX(I44,+I36*0.5)</f>
        <v>233466</v>
      </c>
      <c r="J46" s="2231"/>
      <c r="K46" s="2231"/>
      <c r="L46" s="2231"/>
      <c r="M46" s="2231"/>
      <c r="N46" s="2231"/>
      <c r="O46" s="2231"/>
      <c r="P46" s="2231"/>
      <c r="Q46" s="2231"/>
      <c r="R46" s="2231"/>
      <c r="S46" s="2232"/>
      <c r="T46" s="2233" t="s">
        <v>202</v>
      </c>
      <c r="U46" s="2198"/>
      <c r="V46" s="2198"/>
      <c r="W46" s="2254" t="s">
        <v>3904</v>
      </c>
      <c r="X46" s="2255"/>
      <c r="Y46" s="2255"/>
      <c r="Z46" s="2255"/>
      <c r="AA46" s="2255"/>
      <c r="AB46" s="2255"/>
      <c r="AC46" s="2255"/>
      <c r="AD46" s="2255"/>
      <c r="AE46" s="2255"/>
      <c r="AF46" s="2255"/>
      <c r="AG46" s="2255"/>
      <c r="AH46" s="2255"/>
      <c r="AI46" s="2255"/>
      <c r="AJ46" s="2255"/>
      <c r="AK46" s="2255"/>
      <c r="AL46" s="2255"/>
      <c r="AM46" s="2255"/>
      <c r="AN46" s="2255"/>
      <c r="AO46" s="2255"/>
      <c r="AP46" s="2255"/>
      <c r="AQ46" s="2255"/>
      <c r="AR46" s="2256"/>
      <c r="AT46" s="21"/>
      <c r="AU46" s="21"/>
      <c r="AV46" s="21"/>
      <c r="AW46" s="21"/>
      <c r="AX46" s="21"/>
      <c r="AY46" s="21"/>
      <c r="AZ46" s="21"/>
      <c r="BA46" s="21"/>
      <c r="BB46" s="21"/>
      <c r="BC46" s="21"/>
    </row>
    <row r="47" spans="1:55" ht="18" customHeight="1">
      <c r="A47" s="2262"/>
      <c r="B47" s="1718"/>
      <c r="C47" s="1718"/>
      <c r="D47" s="1718"/>
      <c r="E47" s="1718"/>
      <c r="F47" s="1718"/>
      <c r="G47" s="1718"/>
      <c r="H47" s="1718"/>
      <c r="I47" s="1718"/>
      <c r="J47" s="1718"/>
      <c r="K47" s="1718"/>
      <c r="L47" s="1718"/>
      <c r="M47" s="1718"/>
      <c r="N47" s="1718"/>
      <c r="O47" s="1718"/>
      <c r="P47" s="1718"/>
      <c r="Q47" s="1718"/>
      <c r="R47" s="1718"/>
      <c r="S47" s="1718"/>
      <c r="T47" s="1718"/>
      <c r="U47" s="1718"/>
      <c r="V47" s="1718"/>
      <c r="W47" s="651"/>
      <c r="X47" s="2228" t="s">
        <v>352</v>
      </c>
      <c r="Y47" s="2263"/>
      <c r="Z47" s="2263"/>
      <c r="AA47" s="2263"/>
      <c r="AB47" s="2263"/>
      <c r="AC47" s="2263"/>
      <c r="AD47" s="2264"/>
      <c r="AE47" s="2263"/>
      <c r="AF47" s="2263"/>
      <c r="AG47" s="2265">
        <f>+CEILING(0.135*0.5*MAX(0,I36)/N38,1)</f>
        <v>0</v>
      </c>
      <c r="AH47" s="2266"/>
      <c r="AI47" s="2266"/>
      <c r="AJ47" s="2266"/>
      <c r="AK47" s="2266"/>
      <c r="AL47" s="2266"/>
      <c r="AM47" s="2266"/>
      <c r="AN47" s="2267"/>
      <c r="AO47" s="2233" t="s">
        <v>202</v>
      </c>
      <c r="AP47" s="2244"/>
      <c r="AQ47" s="2244"/>
      <c r="AR47" s="2248"/>
      <c r="AT47" s="21"/>
      <c r="AU47" s="21"/>
      <c r="AV47" s="21"/>
      <c r="AW47" s="21"/>
      <c r="AX47" s="21"/>
      <c r="AY47" s="21"/>
      <c r="AZ47" s="21"/>
      <c r="BA47" s="21"/>
      <c r="BB47" s="21"/>
      <c r="BC47" s="21"/>
    </row>
    <row r="48" spans="1:55" ht="18" customHeight="1">
      <c r="A48" s="668"/>
      <c r="B48" s="2225" t="s">
        <v>3980</v>
      </c>
      <c r="C48" s="2226"/>
      <c r="D48" s="2226"/>
      <c r="E48" s="2226"/>
      <c r="F48" s="2226"/>
      <c r="G48" s="2226"/>
      <c r="H48" s="2226"/>
      <c r="I48" s="2226"/>
      <c r="J48" s="2226"/>
      <c r="K48" s="2226"/>
      <c r="L48" s="2226"/>
      <c r="M48" s="2226"/>
      <c r="N48" s="2226"/>
      <c r="O48" s="2226"/>
      <c r="P48" s="2226"/>
      <c r="Q48" s="2226"/>
      <c r="R48" s="2226"/>
      <c r="S48" s="2226"/>
      <c r="T48" s="2226"/>
      <c r="U48" s="2226"/>
      <c r="V48" s="2227"/>
      <c r="W48" s="653" t="s">
        <v>3809</v>
      </c>
      <c r="X48" s="654"/>
      <c r="Y48" s="654"/>
      <c r="Z48" s="654"/>
      <c r="AA48" s="654"/>
      <c r="AB48" s="654"/>
      <c r="AC48" s="654"/>
      <c r="AD48" s="654"/>
      <c r="AE48" s="654"/>
      <c r="AF48" s="654"/>
      <c r="AG48" s="654"/>
      <c r="AH48" s="654"/>
      <c r="AI48" s="654"/>
      <c r="AJ48" s="654"/>
      <c r="AK48" s="654"/>
      <c r="AL48" s="654"/>
      <c r="AM48" s="654"/>
      <c r="AN48" s="654"/>
      <c r="AO48" s="654"/>
      <c r="AP48" s="654"/>
      <c r="AQ48" s="654"/>
      <c r="AR48" s="665"/>
      <c r="AT48" s="21"/>
      <c r="AU48" s="21"/>
      <c r="AV48" s="21"/>
      <c r="AW48" s="21"/>
      <c r="AX48" s="21"/>
      <c r="AY48" s="21"/>
      <c r="AZ48" s="21"/>
      <c r="BA48" s="21"/>
      <c r="BB48" s="21"/>
      <c r="BC48" s="21"/>
    </row>
    <row r="49" spans="1:55" ht="18" customHeight="1">
      <c r="A49" s="659"/>
      <c r="B49" s="2228" t="s">
        <v>349</v>
      </c>
      <c r="C49" s="2229"/>
      <c r="D49" s="2229"/>
      <c r="E49" s="2229"/>
      <c r="F49" s="2229"/>
      <c r="G49" s="2229"/>
      <c r="H49" s="2229"/>
      <c r="I49" s="2230">
        <f>+CEILING(0.135*(I46*N40)/N38,1)</f>
        <v>31518</v>
      </c>
      <c r="J49" s="2231"/>
      <c r="K49" s="2231"/>
      <c r="L49" s="2231"/>
      <c r="M49" s="2231"/>
      <c r="N49" s="2231"/>
      <c r="O49" s="2231"/>
      <c r="P49" s="2231"/>
      <c r="Q49" s="2231"/>
      <c r="R49" s="2231"/>
      <c r="S49" s="2232"/>
      <c r="T49" s="2233" t="s">
        <v>202</v>
      </c>
      <c r="U49" s="2198"/>
      <c r="V49" s="2198"/>
      <c r="W49" s="652"/>
      <c r="X49" s="649"/>
      <c r="Y49" s="2243" t="s">
        <v>3985</v>
      </c>
      <c r="Z49" s="2244"/>
      <c r="AA49" s="2244"/>
      <c r="AB49" s="649" t="s">
        <v>258</v>
      </c>
      <c r="AC49" s="2243" t="s">
        <v>3537</v>
      </c>
      <c r="AD49" s="2244"/>
      <c r="AE49" s="2244"/>
      <c r="AF49" s="649"/>
      <c r="AG49" s="2243" t="s">
        <v>353</v>
      </c>
      <c r="AH49" s="2244"/>
      <c r="AI49" s="2244"/>
      <c r="AJ49" s="2245">
        <f>+IF(OR(EXACT(X49,"X"),EXACT(X49,"x")),MAX(AG47,2722),IF(OR(EXACT(AF49,"X"),EXACT(AF49,"x")),0,+AG47))</f>
        <v>0</v>
      </c>
      <c r="AK49" s="2246"/>
      <c r="AL49" s="2246"/>
      <c r="AM49" s="2246"/>
      <c r="AN49" s="2247"/>
      <c r="AO49" s="2233" t="s">
        <v>202</v>
      </c>
      <c r="AP49" s="2244"/>
      <c r="AQ49" s="2244"/>
      <c r="AR49" s="2248"/>
      <c r="AT49" s="21"/>
      <c r="AU49" s="21"/>
      <c r="AV49" s="21"/>
      <c r="AW49" s="21"/>
      <c r="AX49" s="21"/>
      <c r="AY49" s="21"/>
      <c r="AZ49" s="21"/>
      <c r="BA49" s="21"/>
      <c r="BB49" s="21"/>
      <c r="BC49" s="21"/>
    </row>
    <row r="50" spans="1:55" ht="6" customHeight="1">
      <c r="A50" s="2249"/>
      <c r="B50" s="2187"/>
      <c r="C50" s="2187"/>
      <c r="D50" s="2187"/>
      <c r="E50" s="2187"/>
      <c r="F50" s="2187"/>
      <c r="G50" s="2187"/>
      <c r="H50" s="2187"/>
      <c r="I50" s="2187"/>
      <c r="J50" s="2187"/>
      <c r="K50" s="2187"/>
      <c r="L50" s="2187"/>
      <c r="M50" s="2187"/>
      <c r="N50" s="2187"/>
      <c r="O50" s="2187"/>
      <c r="P50" s="2187"/>
      <c r="Q50" s="2187"/>
      <c r="R50" s="2187"/>
      <c r="S50" s="2187"/>
      <c r="T50" s="2187"/>
      <c r="U50" s="2187"/>
      <c r="V50" s="2187"/>
      <c r="W50" s="2250"/>
      <c r="X50" s="2251"/>
      <c r="Y50" s="2251"/>
      <c r="Z50" s="2251"/>
      <c r="AA50" s="2251"/>
      <c r="AB50" s="2251"/>
      <c r="AC50" s="2251"/>
      <c r="AD50" s="2251"/>
      <c r="AE50" s="2251"/>
      <c r="AF50" s="2251"/>
      <c r="AG50" s="2251"/>
      <c r="AH50" s="2251"/>
      <c r="AI50" s="2251"/>
      <c r="AJ50" s="2251"/>
      <c r="AK50" s="2251"/>
      <c r="AL50" s="2251"/>
      <c r="AM50" s="2251"/>
      <c r="AN50" s="2251"/>
      <c r="AO50" s="2251"/>
      <c r="AP50" s="2251"/>
      <c r="AQ50" s="2251"/>
      <c r="AR50" s="2252"/>
      <c r="AT50" s="21"/>
      <c r="AU50" s="21"/>
      <c r="AV50" s="21"/>
      <c r="AW50" s="21"/>
      <c r="AX50" s="21"/>
      <c r="AY50" s="21"/>
      <c r="AZ50" s="21"/>
      <c r="BA50" s="21"/>
      <c r="BB50" s="21"/>
      <c r="BC50" s="21"/>
    </row>
    <row r="51" spans="1:44" ht="18" customHeight="1">
      <c r="A51" s="2207" t="s">
        <v>3538</v>
      </c>
      <c r="B51" s="2208"/>
      <c r="C51" s="2208"/>
      <c r="D51" s="2208"/>
      <c r="E51" s="2208"/>
      <c r="F51" s="2208"/>
      <c r="G51" s="2208"/>
      <c r="H51" s="2208"/>
      <c r="I51" s="2208"/>
      <c r="J51" s="2208"/>
      <c r="K51" s="2208"/>
      <c r="L51" s="2208"/>
      <c r="M51" s="2208"/>
      <c r="N51" s="2208"/>
      <c r="O51" s="2208"/>
      <c r="P51" s="2208"/>
      <c r="Q51" s="2208"/>
      <c r="R51" s="2208"/>
      <c r="S51" s="2208"/>
      <c r="T51" s="2208"/>
      <c r="U51" s="2208"/>
      <c r="V51" s="2208"/>
      <c r="W51" s="2209"/>
      <c r="X51" s="2209"/>
      <c r="Y51" s="2209"/>
      <c r="Z51" s="2209"/>
      <c r="AA51" s="2209"/>
      <c r="AB51" s="2209"/>
      <c r="AC51" s="2209"/>
      <c r="AD51" s="2209"/>
      <c r="AE51" s="2209"/>
      <c r="AF51" s="2209"/>
      <c r="AG51" s="2209"/>
      <c r="AH51" s="2209"/>
      <c r="AI51" s="2209"/>
      <c r="AJ51" s="2209"/>
      <c r="AK51" s="2209"/>
      <c r="AL51" s="2209"/>
      <c r="AM51" s="2209"/>
      <c r="AN51" s="2209"/>
      <c r="AO51" s="2209"/>
      <c r="AP51" s="2209"/>
      <c r="AQ51" s="2209"/>
      <c r="AR51" s="2210"/>
    </row>
    <row r="52" spans="1:44" ht="18" customHeight="1">
      <c r="A52" s="2211" t="s">
        <v>3811</v>
      </c>
      <c r="B52" s="733"/>
      <c r="C52" s="733"/>
      <c r="D52" s="733"/>
      <c r="E52" s="733"/>
      <c r="F52" s="733"/>
      <c r="G52" s="733"/>
      <c r="H52" s="733"/>
      <c r="I52" s="733"/>
      <c r="J52" s="733"/>
      <c r="K52" s="733"/>
      <c r="L52" s="733"/>
      <c r="M52" s="733"/>
      <c r="N52" s="733"/>
      <c r="O52" s="733"/>
      <c r="P52" s="733"/>
      <c r="Q52" s="733"/>
      <c r="R52" s="733"/>
      <c r="S52" s="733"/>
      <c r="T52" s="733"/>
      <c r="U52" s="733"/>
      <c r="V52" s="733"/>
      <c r="W52" s="733"/>
      <c r="X52" s="733"/>
      <c r="Y52" s="733"/>
      <c r="Z52" s="73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641"/>
    </row>
    <row r="53" spans="1:44" ht="18" customHeight="1">
      <c r="A53" s="2212"/>
      <c r="B53" s="733"/>
      <c r="C53" s="733"/>
      <c r="D53" s="733"/>
      <c r="E53" s="733"/>
      <c r="F53" s="733"/>
      <c r="G53" s="733"/>
      <c r="H53" s="733"/>
      <c r="I53" s="733"/>
      <c r="J53" s="733"/>
      <c r="K53" s="733"/>
      <c r="L53" s="733"/>
      <c r="M53" s="733"/>
      <c r="N53" s="733"/>
      <c r="O53" s="733"/>
      <c r="P53" s="733"/>
      <c r="Q53" s="733"/>
      <c r="R53" s="733"/>
      <c r="S53" s="733"/>
      <c r="T53" s="733"/>
      <c r="U53" s="733"/>
      <c r="V53" s="733"/>
      <c r="W53" s="733"/>
      <c r="X53" s="733"/>
      <c r="Y53" s="733"/>
      <c r="Z53" s="733"/>
      <c r="AA53" s="73"/>
      <c r="AB53" s="2213" t="s">
        <v>354</v>
      </c>
      <c r="AC53" s="2214"/>
      <c r="AD53" s="2214"/>
      <c r="AE53" s="2214"/>
      <c r="AF53" s="2214"/>
      <c r="AG53" s="2214"/>
      <c r="AH53" s="2214"/>
      <c r="AI53" s="2214"/>
      <c r="AJ53" s="2214"/>
      <c r="AK53" s="2214"/>
      <c r="AL53" s="2214"/>
      <c r="AM53" s="2214"/>
      <c r="AN53" s="2215"/>
      <c r="AO53" s="2222"/>
      <c r="AP53" s="1154"/>
      <c r="AQ53" s="1154"/>
      <c r="AR53" s="2223"/>
    </row>
    <row r="54" spans="1:44" ht="18" customHeight="1">
      <c r="A54" s="2212"/>
      <c r="B54" s="733"/>
      <c r="C54" s="733"/>
      <c r="D54" s="733"/>
      <c r="E54" s="733"/>
      <c r="F54" s="733"/>
      <c r="G54" s="733"/>
      <c r="H54" s="733"/>
      <c r="I54" s="733"/>
      <c r="J54" s="733"/>
      <c r="K54" s="733"/>
      <c r="L54" s="733"/>
      <c r="M54" s="733"/>
      <c r="N54" s="733"/>
      <c r="O54" s="733"/>
      <c r="P54" s="733"/>
      <c r="Q54" s="733"/>
      <c r="R54" s="733"/>
      <c r="S54" s="733"/>
      <c r="T54" s="733"/>
      <c r="U54" s="733"/>
      <c r="V54" s="733"/>
      <c r="W54" s="733"/>
      <c r="X54" s="733"/>
      <c r="Y54" s="733"/>
      <c r="Z54" s="733"/>
      <c r="AA54" s="73"/>
      <c r="AB54" s="2216"/>
      <c r="AC54" s="2217"/>
      <c r="AD54" s="2217"/>
      <c r="AE54" s="2217"/>
      <c r="AF54" s="2217"/>
      <c r="AG54" s="2217"/>
      <c r="AH54" s="2217"/>
      <c r="AI54" s="2217"/>
      <c r="AJ54" s="2217"/>
      <c r="AK54" s="2217"/>
      <c r="AL54" s="2217"/>
      <c r="AM54" s="2217"/>
      <c r="AN54" s="2218"/>
      <c r="AO54" s="2222"/>
      <c r="AP54" s="1154"/>
      <c r="AQ54" s="1154"/>
      <c r="AR54" s="2223"/>
    </row>
    <row r="55" spans="1:44" ht="18" customHeight="1">
      <c r="A55" s="2212"/>
      <c r="B55" s="733"/>
      <c r="C55" s="733"/>
      <c r="D55" s="733"/>
      <c r="E55" s="733"/>
      <c r="F55" s="733"/>
      <c r="G55" s="733"/>
      <c r="H55" s="733"/>
      <c r="I55" s="733"/>
      <c r="J55" s="733"/>
      <c r="K55" s="733"/>
      <c r="L55" s="733"/>
      <c r="M55" s="733"/>
      <c r="N55" s="733"/>
      <c r="O55" s="733"/>
      <c r="P55" s="733"/>
      <c r="Q55" s="733"/>
      <c r="R55" s="733"/>
      <c r="S55" s="733"/>
      <c r="T55" s="733"/>
      <c r="U55" s="733"/>
      <c r="V55" s="733"/>
      <c r="W55" s="733"/>
      <c r="X55" s="733"/>
      <c r="Y55" s="733"/>
      <c r="Z55" s="733"/>
      <c r="AA55" s="73"/>
      <c r="AB55" s="2216"/>
      <c r="AC55" s="2217"/>
      <c r="AD55" s="2217"/>
      <c r="AE55" s="2217"/>
      <c r="AF55" s="2217"/>
      <c r="AG55" s="2217"/>
      <c r="AH55" s="2217"/>
      <c r="AI55" s="2217"/>
      <c r="AJ55" s="2217"/>
      <c r="AK55" s="2217"/>
      <c r="AL55" s="2217"/>
      <c r="AM55" s="2217"/>
      <c r="AN55" s="2218"/>
      <c r="AO55" s="2222"/>
      <c r="AP55" s="1154"/>
      <c r="AQ55" s="1154"/>
      <c r="AR55" s="2223"/>
    </row>
    <row r="56" spans="1:44" ht="12.75">
      <c r="A56" s="647"/>
      <c r="B56" s="2224" t="s">
        <v>3988</v>
      </c>
      <c r="C56" s="2224"/>
      <c r="D56" s="2224"/>
      <c r="E56" s="2224"/>
      <c r="F56" s="2224"/>
      <c r="G56" s="2224"/>
      <c r="H56" s="2224"/>
      <c r="I56" s="2224"/>
      <c r="J56" s="2224"/>
      <c r="K56" s="2224"/>
      <c r="L56" s="2224"/>
      <c r="M56" s="2224"/>
      <c r="N56" s="2224"/>
      <c r="O56" s="2224"/>
      <c r="P56" s="2224"/>
      <c r="Q56" s="666" t="s">
        <v>355</v>
      </c>
      <c r="R56" s="666"/>
      <c r="S56" s="666"/>
      <c r="T56" s="666"/>
      <c r="U56" s="666"/>
      <c r="V56" s="666"/>
      <c r="W56" s="666"/>
      <c r="X56" s="666"/>
      <c r="Y56" s="666"/>
      <c r="Z56" s="666"/>
      <c r="AA56" s="579"/>
      <c r="AB56" s="2216"/>
      <c r="AC56" s="2217"/>
      <c r="AD56" s="2217"/>
      <c r="AE56" s="2217"/>
      <c r="AF56" s="2217"/>
      <c r="AG56" s="2217"/>
      <c r="AH56" s="2217"/>
      <c r="AI56" s="2217"/>
      <c r="AJ56" s="2217"/>
      <c r="AK56" s="2217"/>
      <c r="AL56" s="2217"/>
      <c r="AM56" s="2217"/>
      <c r="AN56" s="2218"/>
      <c r="AO56" s="2222"/>
      <c r="AP56" s="1154"/>
      <c r="AQ56" s="1154"/>
      <c r="AR56" s="2223"/>
    </row>
    <row r="57" spans="1:44" ht="15" customHeight="1">
      <c r="A57" s="647"/>
      <c r="B57" s="559"/>
      <c r="C57" s="1154"/>
      <c r="D57" s="1154"/>
      <c r="E57" s="1154"/>
      <c r="F57" s="1154"/>
      <c r="G57" s="1154"/>
      <c r="H57" s="1154"/>
      <c r="I57" s="1154"/>
      <c r="J57" s="1154"/>
      <c r="K57" s="1154"/>
      <c r="L57" s="1154"/>
      <c r="M57" s="1154"/>
      <c r="N57" s="1154"/>
      <c r="O57" s="1154"/>
      <c r="P57" s="1154"/>
      <c r="Q57" s="2234">
        <f ca="1">+TODAY()</f>
        <v>44994</v>
      </c>
      <c r="R57" s="2235"/>
      <c r="S57" s="2235"/>
      <c r="T57" s="2235"/>
      <c r="U57" s="2235"/>
      <c r="V57" s="2235"/>
      <c r="W57" s="2235"/>
      <c r="X57" s="2235"/>
      <c r="Y57" s="2236"/>
      <c r="Z57" s="73"/>
      <c r="AA57" s="73"/>
      <c r="AB57" s="2216"/>
      <c r="AC57" s="2217"/>
      <c r="AD57" s="2217"/>
      <c r="AE57" s="2217"/>
      <c r="AF57" s="2217"/>
      <c r="AG57" s="2217"/>
      <c r="AH57" s="2217"/>
      <c r="AI57" s="2217"/>
      <c r="AJ57" s="2217"/>
      <c r="AK57" s="2217"/>
      <c r="AL57" s="2217"/>
      <c r="AM57" s="2217"/>
      <c r="AN57" s="2218"/>
      <c r="AO57" s="2222"/>
      <c r="AP57" s="1154"/>
      <c r="AQ57" s="559"/>
      <c r="AR57" s="2223"/>
    </row>
    <row r="58" spans="1:44" ht="12.75">
      <c r="A58" s="667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2237"/>
      <c r="R58" s="2238"/>
      <c r="S58" s="2238"/>
      <c r="T58" s="2238"/>
      <c r="U58" s="2238"/>
      <c r="V58" s="2238"/>
      <c r="W58" s="2238"/>
      <c r="X58" s="2238"/>
      <c r="Y58" s="2239"/>
      <c r="Z58" s="73"/>
      <c r="AA58" s="73"/>
      <c r="AB58" s="2219"/>
      <c r="AC58" s="2220"/>
      <c r="AD58" s="2220"/>
      <c r="AE58" s="2220"/>
      <c r="AF58" s="2220"/>
      <c r="AG58" s="2220"/>
      <c r="AH58" s="2220"/>
      <c r="AI58" s="2220"/>
      <c r="AJ58" s="2220"/>
      <c r="AK58" s="2220"/>
      <c r="AL58" s="2220"/>
      <c r="AM58" s="2220"/>
      <c r="AN58" s="2221"/>
      <c r="AO58" s="2222"/>
      <c r="AP58" s="1154"/>
      <c r="AQ58" s="73"/>
      <c r="AR58" s="2223"/>
    </row>
    <row r="59" spans="1:44" ht="8.1" customHeight="1">
      <c r="A59" s="2240"/>
      <c r="B59" s="2238"/>
      <c r="C59" s="2238"/>
      <c r="D59" s="2238"/>
      <c r="E59" s="2238"/>
      <c r="F59" s="2238"/>
      <c r="G59" s="2238"/>
      <c r="H59" s="2238"/>
      <c r="I59" s="2238"/>
      <c r="J59" s="2238"/>
      <c r="K59" s="2238"/>
      <c r="L59" s="2238"/>
      <c r="M59" s="2238"/>
      <c r="N59" s="2238"/>
      <c r="O59" s="2238"/>
      <c r="P59" s="2238"/>
      <c r="Q59" s="2238"/>
      <c r="R59" s="2238"/>
      <c r="S59" s="2238"/>
      <c r="T59" s="2238"/>
      <c r="U59" s="2238"/>
      <c r="V59" s="2238"/>
      <c r="W59" s="2238"/>
      <c r="X59" s="2238"/>
      <c r="Y59" s="2238"/>
      <c r="Z59" s="2238"/>
      <c r="AA59" s="2238"/>
      <c r="AB59" s="2238"/>
      <c r="AC59" s="2238"/>
      <c r="AD59" s="2238"/>
      <c r="AE59" s="2238"/>
      <c r="AF59" s="2238"/>
      <c r="AG59" s="2238"/>
      <c r="AH59" s="2238"/>
      <c r="AI59" s="2238"/>
      <c r="AJ59" s="2238"/>
      <c r="AK59" s="2238"/>
      <c r="AL59" s="2238"/>
      <c r="AM59" s="2238"/>
      <c r="AN59" s="2238"/>
      <c r="AO59" s="2238"/>
      <c r="AP59" s="2238"/>
      <c r="AQ59" s="2238"/>
      <c r="AR59" s="2239"/>
    </row>
    <row r="60" spans="1:44" ht="12.75">
      <c r="A60" s="2241" t="str">
        <f>+'SP1'!A69</f>
        <v>Formulář zpracovala ASPEKT HM, daňová, účetní a auditorská kancelář, www.danovapriznani.cz, business.center.cz</v>
      </c>
      <c r="B60" s="2242"/>
      <c r="C60" s="2242"/>
      <c r="D60" s="2242"/>
      <c r="E60" s="2242"/>
      <c r="F60" s="2242"/>
      <c r="G60" s="2242"/>
      <c r="H60" s="2242"/>
      <c r="I60" s="2242"/>
      <c r="J60" s="2242"/>
      <c r="K60" s="2242"/>
      <c r="L60" s="2242"/>
      <c r="M60" s="2242"/>
      <c r="N60" s="2242"/>
      <c r="O60" s="2242"/>
      <c r="P60" s="2242"/>
      <c r="Q60" s="2242"/>
      <c r="R60" s="2242"/>
      <c r="S60" s="2242"/>
      <c r="T60" s="2242"/>
      <c r="U60" s="2242"/>
      <c r="V60" s="2242"/>
      <c r="W60" s="2242"/>
      <c r="X60" s="2242"/>
      <c r="Y60" s="2242"/>
      <c r="Z60" s="2242"/>
      <c r="AA60" s="2242"/>
      <c r="AB60" s="2242"/>
      <c r="AC60" s="2242"/>
      <c r="AD60" s="2242"/>
      <c r="AE60" s="2242"/>
      <c r="AF60" s="2242"/>
      <c r="AG60" s="2242"/>
      <c r="AH60" s="2242"/>
      <c r="AI60" s="2242"/>
      <c r="AJ60" s="2242"/>
      <c r="AK60" s="2242"/>
      <c r="AL60" s="2242"/>
      <c r="AM60" s="2242"/>
      <c r="AN60" s="2242"/>
      <c r="AO60" s="2242"/>
      <c r="AP60" s="2242"/>
      <c r="AQ60" s="2242"/>
      <c r="AR60" s="2242"/>
    </row>
    <row r="61" spans="1:44" ht="12.75">
      <c r="A61" s="2206" t="str">
        <f>+CONCATENATE(ZAKL_DATA!A44)</f>
        <v/>
      </c>
      <c r="B61" s="733"/>
      <c r="C61" s="733"/>
      <c r="D61" s="733"/>
      <c r="E61" s="733"/>
      <c r="F61" s="733"/>
      <c r="G61" s="733"/>
      <c r="H61" s="733"/>
      <c r="I61" s="733"/>
      <c r="J61" s="733"/>
      <c r="K61" s="733"/>
      <c r="L61" s="733"/>
      <c r="M61" s="733"/>
      <c r="N61" s="733"/>
      <c r="O61" s="733"/>
      <c r="P61" s="733"/>
      <c r="Q61" s="733"/>
      <c r="R61" s="733"/>
      <c r="S61" s="733"/>
      <c r="T61" s="733"/>
      <c r="U61" s="733"/>
      <c r="V61" s="733"/>
      <c r="W61" s="733"/>
      <c r="X61" s="733"/>
      <c r="Y61" s="733"/>
      <c r="Z61" s="733"/>
      <c r="AA61" s="733"/>
      <c r="AB61" s="733"/>
      <c r="AC61" s="733"/>
      <c r="AD61" s="733"/>
      <c r="AE61" s="733"/>
      <c r="AF61" s="733"/>
      <c r="AG61" s="733"/>
      <c r="AH61" s="733"/>
      <c r="AI61" s="733"/>
      <c r="AJ61" s="733"/>
      <c r="AK61" s="733"/>
      <c r="AL61" s="733"/>
      <c r="AM61" s="733"/>
      <c r="AN61" s="733"/>
      <c r="AO61" s="733"/>
      <c r="AP61" s="733"/>
      <c r="AQ61" s="733"/>
      <c r="AR61" s="733"/>
    </row>
    <row r="62" spans="1:44" ht="12.7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</row>
    <row r="63" spans="1:44" ht="12.7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</row>
    <row r="64" spans="1:44" ht="12.7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</row>
    <row r="65" spans="1:44" ht="12.7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</row>
    <row r="66" spans="1:44" ht="12.7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</row>
    <row r="67" spans="1:44" ht="12.7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8" spans="1:44" ht="12.7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</row>
    <row r="69" spans="1:44" ht="12.7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</row>
    <row r="70" spans="1:44" ht="12.7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</row>
    <row r="71" spans="1:44" ht="12.7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</row>
    <row r="72" spans="1:44" ht="12.7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</row>
    <row r="73" spans="1:44" ht="12.7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</row>
    <row r="74" spans="1:44" ht="12.7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</row>
    <row r="75" spans="1:44" ht="12.7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</row>
    <row r="76" spans="1:44" ht="12.7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</row>
    <row r="77" spans="1:44" ht="12.7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</row>
    <row r="78" spans="1:44" ht="12.7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</row>
    <row r="79" spans="1:44" ht="12.7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</row>
    <row r="80" spans="1:44" ht="12.7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</row>
    <row r="81" spans="1:44" ht="12.7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</row>
    <row r="82" spans="1:44" ht="12.7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</row>
    <row r="83" spans="1:44" ht="12.7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</row>
    <row r="84" spans="1:44" ht="12.7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</row>
    <row r="85" spans="1:44" ht="12.7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</row>
    <row r="86" spans="1:44" ht="12.7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</row>
    <row r="87" spans="1:44" ht="12.7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</row>
    <row r="88" spans="1:44" ht="12.7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</row>
    <row r="89" spans="1:44" ht="12.7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</row>
    <row r="90" spans="1:44" ht="12.7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</row>
    <row r="91" spans="1:44" ht="12.7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</row>
    <row r="92" spans="1:44" ht="12.7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</row>
    <row r="93" spans="1:44" ht="12.7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</row>
    <row r="94" spans="1:44" ht="12.7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</row>
    <row r="95" spans="1:44" ht="12.7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</row>
    <row r="96" spans="1:44" ht="12.7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</row>
    <row r="97" spans="1:44" ht="12.7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</row>
    <row r="98" spans="1:44" ht="12.7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</row>
    <row r="99" spans="1:44" ht="12.7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</row>
    <row r="100" spans="1:44" ht="12.7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</row>
    <row r="101" spans="1:44" ht="12.7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</row>
    <row r="102" spans="1:44" ht="12.7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</row>
    <row r="103" spans="1:44" ht="12.7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</row>
    <row r="104" spans="1:44" ht="12.7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</row>
    <row r="105" spans="1:44" ht="12.7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</row>
    <row r="106" spans="1:44" ht="12.7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</row>
    <row r="107" spans="1:44" ht="12.7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</row>
    <row r="108" spans="1:44" ht="12.7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</row>
    <row r="109" spans="1:44" ht="12.7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</row>
    <row r="110" spans="1:44" ht="12.7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</row>
    <row r="111" spans="1:44" ht="12.7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</row>
    <row r="112" spans="2:44" ht="12.75"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</row>
    <row r="113" spans="2:44" ht="12.75"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</row>
  </sheetData>
  <sheetProtection algorithmName="SHA-512" hashValue="Oo47wDgomTmdsIhr5+n3Di7IEJAZixgsHw7rY72USiA85VHmYn5lFSkyLL6MmNWdcygALt5IUHDY5gJ5m/iBLg==" saltValue="NrIPYcUZl6JUjyunE7nNpA==" spinCount="100000" sheet="1" objects="1" scenarios="1"/>
  <mergeCells count="148">
    <mergeCell ref="B25:AA25"/>
    <mergeCell ref="AD25:AR25"/>
    <mergeCell ref="B31:G32"/>
    <mergeCell ref="N26:O26"/>
    <mergeCell ref="P26:S26"/>
    <mergeCell ref="AT1:AV1"/>
    <mergeCell ref="T2:AA2"/>
    <mergeCell ref="Q3:S4"/>
    <mergeCell ref="T3:AA3"/>
    <mergeCell ref="T4:AA4"/>
    <mergeCell ref="A5:R6"/>
    <mergeCell ref="T5:AA5"/>
    <mergeCell ref="U6:Z6"/>
    <mergeCell ref="A7:S7"/>
    <mergeCell ref="T7:V7"/>
    <mergeCell ref="X7:Y7"/>
    <mergeCell ref="A8:AR8"/>
    <mergeCell ref="A9:AR9"/>
    <mergeCell ref="A1:P4"/>
    <mergeCell ref="T1:AA1"/>
    <mergeCell ref="AF1:AR7"/>
    <mergeCell ref="A12:W12"/>
    <mergeCell ref="Y12:AF12"/>
    <mergeCell ref="AH12:AR12"/>
    <mergeCell ref="A13:W13"/>
    <mergeCell ref="Y13:AF13"/>
    <mergeCell ref="AH13:AR13"/>
    <mergeCell ref="A10:W10"/>
    <mergeCell ref="Y10:AL10"/>
    <mergeCell ref="AN10:AR10"/>
    <mergeCell ref="A11:W11"/>
    <mergeCell ref="Y11:AL11"/>
    <mergeCell ref="AN11:AR11"/>
    <mergeCell ref="A14:F14"/>
    <mergeCell ref="H14:AI14"/>
    <mergeCell ref="AK14:AR14"/>
    <mergeCell ref="A15:F15"/>
    <mergeCell ref="H15:AI15"/>
    <mergeCell ref="AK15:AR15"/>
    <mergeCell ref="N23:O23"/>
    <mergeCell ref="A18:AR18"/>
    <mergeCell ref="A19:AR19"/>
    <mergeCell ref="A20:AR20"/>
    <mergeCell ref="A21:AR21"/>
    <mergeCell ref="B22:AA22"/>
    <mergeCell ref="AB22:AR22"/>
    <mergeCell ref="AD23:AR23"/>
    <mergeCell ref="A16:AE16"/>
    <mergeCell ref="A17:AE17"/>
    <mergeCell ref="P23:AA24"/>
    <mergeCell ref="AG16:AR16"/>
    <mergeCell ref="AG17:AR17"/>
    <mergeCell ref="AB24:AR24"/>
    <mergeCell ref="T36:V36"/>
    <mergeCell ref="X36:AD36"/>
    <mergeCell ref="AE36:AN36"/>
    <mergeCell ref="AO36:AR36"/>
    <mergeCell ref="A34:V34"/>
    <mergeCell ref="W34:AR34"/>
    <mergeCell ref="W35:AR35"/>
    <mergeCell ref="B35:H35"/>
    <mergeCell ref="I35:S35"/>
    <mergeCell ref="T35:V35"/>
    <mergeCell ref="B36:H36"/>
    <mergeCell ref="I36:S36"/>
    <mergeCell ref="B37:V37"/>
    <mergeCell ref="W37:AR37"/>
    <mergeCell ref="B38:M38"/>
    <mergeCell ref="N38:O38"/>
    <mergeCell ref="P38:V38"/>
    <mergeCell ref="W39:AR39"/>
    <mergeCell ref="X38:AD38"/>
    <mergeCell ref="AE38:AN38"/>
    <mergeCell ref="AO38:AR38"/>
    <mergeCell ref="B39:V39"/>
    <mergeCell ref="B40:M40"/>
    <mergeCell ref="N40:O40"/>
    <mergeCell ref="P40:V40"/>
    <mergeCell ref="X40:AR40"/>
    <mergeCell ref="B41:V41"/>
    <mergeCell ref="Y41:AR41"/>
    <mergeCell ref="B42:M42"/>
    <mergeCell ref="N42:O42"/>
    <mergeCell ref="P42:V42"/>
    <mergeCell ref="Y42:AG42"/>
    <mergeCell ref="AH42:AO42"/>
    <mergeCell ref="AP42:AR42"/>
    <mergeCell ref="B43:H43"/>
    <mergeCell ref="I43:S43"/>
    <mergeCell ref="T43:V43"/>
    <mergeCell ref="B44:H44"/>
    <mergeCell ref="I44:S44"/>
    <mergeCell ref="T44:V44"/>
    <mergeCell ref="W43:X43"/>
    <mergeCell ref="Y43:AC43"/>
    <mergeCell ref="AE43:AR43"/>
    <mergeCell ref="W44:AC44"/>
    <mergeCell ref="AE44:AR44"/>
    <mergeCell ref="A45:V45"/>
    <mergeCell ref="B46:H46"/>
    <mergeCell ref="I46:S46"/>
    <mergeCell ref="T46:V46"/>
    <mergeCell ref="W46:AR46"/>
    <mergeCell ref="W45:AR45"/>
    <mergeCell ref="A47:V47"/>
    <mergeCell ref="X47:AF47"/>
    <mergeCell ref="AG47:AN47"/>
    <mergeCell ref="AO47:AR47"/>
    <mergeCell ref="A61:AR61"/>
    <mergeCell ref="A51:AR51"/>
    <mergeCell ref="A52:Z55"/>
    <mergeCell ref="AB53:AN58"/>
    <mergeCell ref="AO53:AR56"/>
    <mergeCell ref="B56:P56"/>
    <mergeCell ref="C57:P57"/>
    <mergeCell ref="B48:V48"/>
    <mergeCell ref="B49:H49"/>
    <mergeCell ref="I49:S49"/>
    <mergeCell ref="T49:V49"/>
    <mergeCell ref="Q57:Y58"/>
    <mergeCell ref="AO57:AP58"/>
    <mergeCell ref="AR57:AR58"/>
    <mergeCell ref="A59:AR59"/>
    <mergeCell ref="A60:AR60"/>
    <mergeCell ref="Y49:AA49"/>
    <mergeCell ref="AC49:AE49"/>
    <mergeCell ref="AG49:AI49"/>
    <mergeCell ref="AJ49:AN49"/>
    <mergeCell ref="AO49:AR49"/>
    <mergeCell ref="A50:V50"/>
    <mergeCell ref="W50:AR50"/>
    <mergeCell ref="P29:S29"/>
    <mergeCell ref="AD29:AR29"/>
    <mergeCell ref="AB30:AR33"/>
    <mergeCell ref="T26:W26"/>
    <mergeCell ref="X26:AA26"/>
    <mergeCell ref="AB26:AR26"/>
    <mergeCell ref="P27:S27"/>
    <mergeCell ref="U27:W27"/>
    <mergeCell ref="Y27:AA27"/>
    <mergeCell ref="AD27:AR27"/>
    <mergeCell ref="B28:AA28"/>
    <mergeCell ref="AB28:AR28"/>
    <mergeCell ref="H32:P32"/>
    <mergeCell ref="R32:Z32"/>
    <mergeCell ref="A33:AA33"/>
    <mergeCell ref="N29:O29"/>
    <mergeCell ref="P30:S30"/>
  </mergeCells>
  <printOptions horizontalCentered="1" verticalCentered="1"/>
  <pageMargins left="0.275590551181102" right="0.275590551181102" top="0.31496062992126" bottom="0" header="0.511811023622047" footer="0"/>
  <pageSetup orientation="portrait" paperSize="9" scale="83" r:id="rId4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B60B4C-FFCE-47EB-A4E1-A2CB6736EB08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" max="10" width="9.14285714285714" style="333"/>
    <col min="11" max="11" width="9.14285714285714" style="453"/>
    <col min="12" max="12" width="90.7142857142857" style="453" customWidth="1"/>
    <col min="13" max="30" width="9.14285714285714" style="453"/>
    <col min="31" max="16384" width="9.14285714285714" style="333"/>
  </cols>
  <sheetData>
    <row r="1" spans="1:12" ht="12.75" customHeight="1">
      <c r="A1" s="452"/>
      <c r="B1" s="452"/>
      <c r="C1" s="452"/>
      <c r="D1" s="452"/>
      <c r="E1" s="452"/>
      <c r="F1" s="452"/>
      <c r="G1" s="452"/>
      <c r="H1" s="452"/>
      <c r="I1" s="452"/>
      <c r="J1" s="452"/>
      <c r="L1" s="723"/>
    </row>
    <row r="2" spans="1:12" ht="12.75" customHeight="1">
      <c r="A2" s="452"/>
      <c r="B2" s="452"/>
      <c r="C2" s="452"/>
      <c r="D2" s="452"/>
      <c r="E2" s="452"/>
      <c r="F2" s="452"/>
      <c r="G2" s="452"/>
      <c r="H2" s="452"/>
      <c r="I2" s="452"/>
      <c r="J2" s="452"/>
      <c r="L2" s="723"/>
    </row>
    <row r="3" spans="1:12" ht="12.75" customHeight="1">
      <c r="A3" s="452"/>
      <c r="B3" s="452"/>
      <c r="C3" s="452"/>
      <c r="D3" s="452"/>
      <c r="E3" s="452"/>
      <c r="F3" s="452"/>
      <c r="G3" s="452"/>
      <c r="H3" s="452"/>
      <c r="I3" s="452"/>
      <c r="J3" s="452"/>
      <c r="L3" s="723"/>
    </row>
    <row r="4" spans="1:12" ht="12.75">
      <c r="A4" s="452"/>
      <c r="B4" s="452"/>
      <c r="C4" s="452"/>
      <c r="D4" s="452"/>
      <c r="E4" s="452"/>
      <c r="F4" s="452"/>
      <c r="G4" s="452"/>
      <c r="H4" s="452"/>
      <c r="I4" s="452"/>
      <c r="J4" s="452"/>
      <c r="L4" s="454"/>
    </row>
    <row r="5" spans="1:12" ht="12.75" customHeight="1">
      <c r="A5" s="452"/>
      <c r="B5" s="452"/>
      <c r="C5" s="452"/>
      <c r="D5" s="452"/>
      <c r="E5" s="452"/>
      <c r="F5" s="452"/>
      <c r="G5" s="452"/>
      <c r="H5" s="452"/>
      <c r="I5" s="452"/>
      <c r="J5" s="452"/>
      <c r="L5" s="717"/>
    </row>
    <row r="6" spans="1:12" ht="12.75">
      <c r="A6" s="452"/>
      <c r="B6" s="452"/>
      <c r="C6" s="452"/>
      <c r="D6" s="452"/>
      <c r="E6" s="452"/>
      <c r="F6" s="452"/>
      <c r="G6" s="452"/>
      <c r="H6" s="452"/>
      <c r="I6" s="452"/>
      <c r="J6" s="452"/>
      <c r="L6" s="717"/>
    </row>
    <row r="7" spans="1:12" ht="120" customHeight="1">
      <c r="A7" s="724" t="s">
        <v>3766</v>
      </c>
      <c r="B7" s="724"/>
      <c r="C7" s="724"/>
      <c r="D7" s="724"/>
      <c r="E7" s="724"/>
      <c r="F7" s="724"/>
      <c r="G7" s="724"/>
      <c r="H7" s="724"/>
      <c r="I7" s="724"/>
      <c r="J7" s="724"/>
      <c r="L7" s="717"/>
    </row>
    <row r="8" spans="1:12" ht="15" customHeight="1">
      <c r="A8" s="725" t="s">
        <v>3928</v>
      </c>
      <c r="B8" s="725"/>
      <c r="C8" s="725"/>
      <c r="D8" s="725"/>
      <c r="E8" s="725"/>
      <c r="F8" s="725"/>
      <c r="G8" s="725"/>
      <c r="H8" s="725"/>
      <c r="I8" s="725"/>
      <c r="J8" s="725"/>
      <c r="L8" s="717"/>
    </row>
    <row r="9" spans="1:12" ht="15" customHeight="1">
      <c r="A9" s="726" t="s">
        <v>3922</v>
      </c>
      <c r="B9" s="726"/>
      <c r="C9" s="726"/>
      <c r="D9" s="726"/>
      <c r="E9" s="726"/>
      <c r="F9" s="726"/>
      <c r="G9" s="726"/>
      <c r="H9" s="726"/>
      <c r="I9" s="726"/>
      <c r="J9" s="726"/>
      <c r="L9" s="717"/>
    </row>
    <row r="10" spans="1:12" ht="45" customHeight="1">
      <c r="A10" s="727"/>
      <c r="B10" s="727"/>
      <c r="C10" s="727"/>
      <c r="D10" s="727"/>
      <c r="E10" s="727"/>
      <c r="F10" s="727"/>
      <c r="G10" s="727"/>
      <c r="H10" s="727"/>
      <c r="I10" s="727"/>
      <c r="J10" s="727"/>
      <c r="L10" s="717"/>
    </row>
    <row r="11" spans="1:12" ht="15">
      <c r="A11" s="719" t="s">
        <v>3748</v>
      </c>
      <c r="B11" s="728"/>
      <c r="C11" s="728"/>
      <c r="D11" s="728"/>
      <c r="E11" s="728"/>
      <c r="F11" s="728"/>
      <c r="G11" s="728"/>
      <c r="H11" s="728"/>
      <c r="I11" s="728"/>
      <c r="J11" s="728"/>
      <c r="L11" s="717"/>
    </row>
    <row r="12" spans="1:12" ht="30" customHeight="1">
      <c r="A12" s="729" t="s">
        <v>3749</v>
      </c>
      <c r="B12" s="729"/>
      <c r="C12" s="729"/>
      <c r="D12" s="729"/>
      <c r="E12" s="729"/>
      <c r="F12" s="729"/>
      <c r="G12" s="729"/>
      <c r="H12" s="729"/>
      <c r="I12" s="729"/>
      <c r="J12" s="729"/>
      <c r="L12" s="717"/>
    </row>
    <row r="13" spans="1:12" ht="30" customHeight="1">
      <c r="A13" s="729" t="s">
        <v>3750</v>
      </c>
      <c r="B13" s="729"/>
      <c r="C13" s="729"/>
      <c r="D13" s="729"/>
      <c r="E13" s="729"/>
      <c r="F13" s="729"/>
      <c r="G13" s="729"/>
      <c r="H13" s="729"/>
      <c r="I13" s="729"/>
      <c r="J13" s="729"/>
      <c r="L13" s="717"/>
    </row>
    <row r="14" spans="1:12" ht="45" customHeight="1">
      <c r="A14" s="729" t="s">
        <v>3751</v>
      </c>
      <c r="B14" s="729"/>
      <c r="C14" s="729"/>
      <c r="D14" s="729"/>
      <c r="E14" s="729"/>
      <c r="F14" s="729"/>
      <c r="G14" s="729"/>
      <c r="H14" s="729"/>
      <c r="I14" s="729"/>
      <c r="J14" s="729"/>
      <c r="L14" s="717"/>
    </row>
    <row r="15" spans="1:12" ht="30" customHeight="1">
      <c r="A15" s="729" t="s">
        <v>3752</v>
      </c>
      <c r="B15" s="729"/>
      <c r="C15" s="729"/>
      <c r="D15" s="729"/>
      <c r="E15" s="729"/>
      <c r="F15" s="729"/>
      <c r="G15" s="729"/>
      <c r="H15" s="729"/>
      <c r="I15" s="729"/>
      <c r="J15" s="729"/>
      <c r="L15" s="717"/>
    </row>
    <row r="16" spans="1:12" ht="30" customHeight="1">
      <c r="A16" s="729" t="s">
        <v>3753</v>
      </c>
      <c r="B16" s="729"/>
      <c r="C16" s="729"/>
      <c r="D16" s="729"/>
      <c r="E16" s="729"/>
      <c r="F16" s="729"/>
      <c r="G16" s="729"/>
      <c r="H16" s="729"/>
      <c r="I16" s="729"/>
      <c r="J16" s="729"/>
      <c r="L16" s="717"/>
    </row>
    <row r="17" spans="1:12" ht="45" customHeight="1">
      <c r="A17" s="719"/>
      <c r="B17" s="720"/>
      <c r="C17" s="720"/>
      <c r="D17" s="720"/>
      <c r="E17" s="720"/>
      <c r="F17" s="720"/>
      <c r="G17" s="720"/>
      <c r="H17" s="720"/>
      <c r="I17" s="720"/>
      <c r="J17" s="720"/>
      <c r="L17" s="717"/>
    </row>
    <row r="18" spans="1:12" ht="45" customHeight="1">
      <c r="A18" s="714" t="s">
        <v>3923</v>
      </c>
      <c r="B18" s="714"/>
      <c r="C18" s="714"/>
      <c r="D18" s="714"/>
      <c r="E18" s="714"/>
      <c r="F18" s="714"/>
      <c r="G18" s="714"/>
      <c r="H18" s="714"/>
      <c r="I18" s="714"/>
      <c r="J18" s="714"/>
      <c r="L18" s="683"/>
    </row>
    <row r="19" spans="1:12" ht="34.5" customHeight="1">
      <c r="A19" s="715" t="str">
        <f>HYPERLINK("http://business.center.cz/business/sablony/s3-priznani-k-dani-z-prijmu-fyzickych-osob.aspx")</f>
        <v>http://business.center.cz/business/sablony/s3-priznani-k-dani-z-prijmu-fyzickych-osob.aspx</v>
      </c>
      <c r="B19" s="716"/>
      <c r="C19" s="716"/>
      <c r="D19" s="716"/>
      <c r="E19" s="716"/>
      <c r="F19" s="716"/>
      <c r="G19" s="716"/>
      <c r="H19" s="716"/>
      <c r="I19" s="716"/>
      <c r="J19" s="716"/>
      <c r="L19" s="717"/>
    </row>
    <row r="20" spans="1:12" ht="45" customHeight="1">
      <c r="A20" s="718"/>
      <c r="B20" s="718"/>
      <c r="C20" s="718"/>
      <c r="D20" s="718"/>
      <c r="E20" s="718"/>
      <c r="F20" s="718"/>
      <c r="G20" s="718"/>
      <c r="H20" s="718"/>
      <c r="I20" s="718"/>
      <c r="J20" s="718"/>
      <c r="L20" s="717"/>
    </row>
    <row r="21" spans="1:12" ht="30" customHeight="1">
      <c r="A21" s="719" t="s">
        <v>3924</v>
      </c>
      <c r="B21" s="720"/>
      <c r="C21" s="720"/>
      <c r="D21" s="720"/>
      <c r="E21" s="720"/>
      <c r="F21" s="720"/>
      <c r="G21" s="720"/>
      <c r="H21" s="720"/>
      <c r="I21" s="720"/>
      <c r="J21" s="720"/>
      <c r="L21" s="717"/>
    </row>
    <row r="22" spans="1:12" ht="15" customHeight="1">
      <c r="A22" s="721" t="s">
        <v>3925</v>
      </c>
      <c r="B22" s="721"/>
      <c r="C22" s="721"/>
      <c r="D22" s="721"/>
      <c r="E22" s="721"/>
      <c r="F22" s="721"/>
      <c r="G22" s="721"/>
      <c r="H22" s="721"/>
      <c r="I22" s="721"/>
      <c r="J22" s="721"/>
      <c r="L22" s="717"/>
    </row>
    <row r="23" spans="1:12" ht="15" customHeight="1">
      <c r="A23" s="721" t="s">
        <v>3926</v>
      </c>
      <c r="B23" s="721"/>
      <c r="C23" s="721"/>
      <c r="D23" s="721"/>
      <c r="E23" s="721"/>
      <c r="F23" s="721"/>
      <c r="G23" s="721"/>
      <c r="H23" s="721"/>
      <c r="I23" s="721"/>
      <c r="J23" s="721"/>
      <c r="L23" s="717"/>
    </row>
    <row r="24" spans="1:12" ht="12.75" customHeight="1">
      <c r="A24" s="722"/>
      <c r="B24" s="722"/>
      <c r="C24" s="722"/>
      <c r="D24" s="722"/>
      <c r="E24" s="722"/>
      <c r="F24" s="722"/>
      <c r="G24" s="722"/>
      <c r="H24" s="722"/>
      <c r="I24" s="722"/>
      <c r="J24" s="722"/>
      <c r="L24" s="717"/>
    </row>
    <row r="25" spans="1:12" ht="12.75" customHeight="1">
      <c r="A25" s="722"/>
      <c r="B25" s="722"/>
      <c r="C25" s="722"/>
      <c r="D25" s="722"/>
      <c r="E25" s="722"/>
      <c r="F25" s="722"/>
      <c r="G25" s="722"/>
      <c r="H25" s="722"/>
      <c r="I25" s="722"/>
      <c r="J25" s="722"/>
      <c r="L25" s="717"/>
    </row>
    <row r="26" spans="1:12" ht="12.75" customHeight="1">
      <c r="A26" s="722" t="s">
        <v>247</v>
      </c>
      <c r="B26" s="722"/>
      <c r="C26" s="722"/>
      <c r="D26" s="722"/>
      <c r="E26" s="722"/>
      <c r="F26" s="722"/>
      <c r="G26" s="722"/>
      <c r="H26" s="722"/>
      <c r="I26" s="722"/>
      <c r="J26" s="722"/>
      <c r="L26" s="717"/>
    </row>
    <row r="27" spans="1:10" ht="12.75">
      <c r="A27" s="453"/>
      <c r="B27" s="453"/>
      <c r="C27" s="453"/>
      <c r="D27" s="453"/>
      <c r="E27" s="453"/>
      <c r="F27" s="453"/>
      <c r="G27" s="453"/>
      <c r="H27" s="453"/>
      <c r="I27" s="453"/>
      <c r="J27" s="453"/>
    </row>
    <row r="28" spans="1:10" ht="12.75">
      <c r="A28" s="453"/>
      <c r="B28" s="453"/>
      <c r="C28" s="453"/>
      <c r="D28" s="453"/>
      <c r="E28" s="453"/>
      <c r="F28" s="453"/>
      <c r="G28" s="453"/>
      <c r="H28" s="453"/>
      <c r="I28" s="453"/>
      <c r="J28" s="453"/>
    </row>
    <row r="29" spans="1:10" ht="12.75">
      <c r="A29" s="453"/>
      <c r="B29" s="453"/>
      <c r="C29" s="453"/>
      <c r="D29" s="453"/>
      <c r="E29" s="453"/>
      <c r="F29" s="453"/>
      <c r="G29" s="453"/>
      <c r="H29" s="453"/>
      <c r="I29" s="453"/>
      <c r="J29" s="453"/>
    </row>
    <row r="30" spans="1:10" ht="12.75">
      <c r="A30" s="453"/>
      <c r="B30" s="453"/>
      <c r="C30" s="453"/>
      <c r="D30" s="453"/>
      <c r="E30" s="453"/>
      <c r="F30" s="453"/>
      <c r="G30" s="453"/>
      <c r="H30" s="453"/>
      <c r="I30" s="453"/>
      <c r="J30" s="453"/>
    </row>
    <row r="31" spans="1:10" ht="12.75">
      <c r="A31" s="453"/>
      <c r="B31" s="453"/>
      <c r="C31" s="453"/>
      <c r="D31" s="453"/>
      <c r="E31" s="453"/>
      <c r="F31" s="453"/>
      <c r="G31" s="453"/>
      <c r="H31" s="453"/>
      <c r="I31" s="453"/>
      <c r="J31" s="453"/>
    </row>
    <row r="32" spans="1:10" ht="12.75">
      <c r="A32" s="453"/>
      <c r="B32" s="453"/>
      <c r="C32" s="453"/>
      <c r="D32" s="453"/>
      <c r="E32" s="453"/>
      <c r="F32" s="453"/>
      <c r="G32" s="453"/>
      <c r="H32" s="453"/>
      <c r="I32" s="453"/>
      <c r="J32" s="453"/>
    </row>
    <row r="33" spans="1:10" ht="12.75">
      <c r="A33" s="453"/>
      <c r="B33" s="453"/>
      <c r="C33" s="453"/>
      <c r="D33" s="453"/>
      <c r="E33" s="453"/>
      <c r="F33" s="453"/>
      <c r="G33" s="453"/>
      <c r="H33" s="453"/>
      <c r="I33" s="453"/>
      <c r="J33" s="453"/>
    </row>
    <row r="34" s="453" customFormat="1" ht="12.75"/>
    <row r="35" s="453" customFormat="1" ht="12.75"/>
    <row r="36" s="453" customFormat="1" ht="12.75"/>
    <row r="37" s="453" customFormat="1" ht="12.75"/>
    <row r="38" s="453" customFormat="1" ht="12.75"/>
    <row r="39" s="453" customFormat="1" ht="12.75"/>
    <row r="40" s="453" customFormat="1" ht="12.75"/>
    <row r="41" s="453" customFormat="1" ht="12.75"/>
    <row r="42" s="453" customFormat="1" ht="12.75"/>
    <row r="43" s="453" customFormat="1" ht="12.75"/>
    <row r="44" s="453" customFormat="1" ht="12.75"/>
    <row r="45" s="453" customFormat="1" ht="12.75"/>
    <row r="46" s="453" customFormat="1" ht="12.75"/>
    <row r="47" s="453" customFormat="1" ht="12.75"/>
    <row r="48" s="453" customFormat="1" ht="12.75"/>
    <row r="49" s="453" customFormat="1" ht="12.75"/>
    <row r="50" s="453" customFormat="1" ht="12.75"/>
    <row r="51" s="453" customFormat="1" ht="12.75"/>
    <row r="52" s="453" customFormat="1" ht="12.75"/>
    <row r="53" s="453" customFormat="1" ht="12.75"/>
    <row r="54" s="453" customFormat="1" ht="12.75"/>
    <row r="55" s="453" customFormat="1" ht="12.75"/>
    <row r="56" s="453" customFormat="1" ht="12.75"/>
    <row r="57" s="453" customFormat="1" ht="12.75"/>
    <row r="58" s="453" customFormat="1" ht="12.75"/>
    <row r="59" s="453" customFormat="1" ht="12.75"/>
    <row r="60" s="453" customFormat="1" ht="12.75"/>
    <row r="61" s="453" customFormat="1" ht="12.75"/>
    <row r="62" s="453" customFormat="1" ht="12.75"/>
    <row r="63" s="453" customFormat="1" ht="12.75"/>
    <row r="64" s="453" customFormat="1" ht="12.75"/>
    <row r="65" s="453" customFormat="1" ht="12.75"/>
    <row r="66" s="453" customFormat="1" ht="12.75"/>
    <row r="67" s="453" customFormat="1" ht="12.75"/>
    <row r="68" s="453" customFormat="1" ht="12.75"/>
    <row r="69" s="453" customFormat="1" ht="12.75"/>
    <row r="70" s="453" customFormat="1" ht="12.75"/>
    <row r="71" s="453" customFormat="1" ht="12.75"/>
    <row r="72" s="453" customFormat="1" ht="12.75"/>
    <row r="73" s="453" customFormat="1" ht="12.75"/>
    <row r="74" s="453" customFormat="1" ht="12.75"/>
    <row r="75" s="453" customFormat="1" ht="12.75"/>
    <row r="76" s="453" customFormat="1" ht="12.75"/>
    <row r="77" s="453" customFormat="1" ht="12.75"/>
    <row r="78" s="453" customFormat="1" ht="12.75"/>
    <row r="79" s="453" customFormat="1" ht="12.75"/>
    <row r="80" s="453" customFormat="1" ht="12.75"/>
    <row r="81" s="453" customFormat="1" ht="12.75"/>
    <row r="82" s="453" customFormat="1" ht="12.75"/>
    <row r="83" s="453" customFormat="1" ht="12.75"/>
    <row r="84" s="453" customFormat="1" ht="12.75"/>
    <row r="85" s="453" customFormat="1" ht="12.75"/>
    <row r="86" s="453" customFormat="1" ht="12.75"/>
    <row r="87" s="453" customFormat="1" ht="12.75"/>
    <row r="88" s="453" customFormat="1" ht="12.75"/>
    <row r="89" s="453" customFormat="1" ht="12.75"/>
    <row r="90" s="453" customFormat="1" ht="12.75"/>
    <row r="91" s="453" customFormat="1" ht="12.75"/>
    <row r="92" s="453" customFormat="1" ht="12.75"/>
    <row r="93" s="453" customFormat="1" ht="12.75"/>
    <row r="94" s="453" customFormat="1" ht="12.75"/>
    <row r="95" s="453" customFormat="1" ht="12.75"/>
    <row r="96" s="453" customFormat="1" ht="12.75"/>
    <row r="97" spans="1:1" s="453" customFormat="1" ht="12.75" hidden="1">
      <c r="A97" s="455">
        <v>1</v>
      </c>
    </row>
    <row r="98" spans="1:1" s="453" customFormat="1" ht="12.75" hidden="1">
      <c r="A98" s="455" t="s">
        <v>363</v>
      </c>
    </row>
    <row r="99" spans="1:1" s="453" customFormat="1" ht="12.75">
      <c r="A99" s="2418">
        <v>1</v>
      </c>
    </row>
    <row r="100" s="453" customFormat="1" ht="12.75"/>
    <row r="101" s="453" customFormat="1" ht="12.75"/>
    <row r="102" s="453" customFormat="1" ht="12.75"/>
    <row r="103" s="453" customFormat="1" ht="12.75"/>
    <row r="104" s="453" customFormat="1" ht="12.75"/>
    <row r="105" s="453" customFormat="1" ht="12.75"/>
    <row r="106" s="453" customFormat="1" ht="12.75"/>
    <row r="107" s="453" customFormat="1" ht="12.75"/>
    <row r="108" s="453" customFormat="1" ht="12.75"/>
    <row r="109" s="453" customFormat="1" ht="12.75"/>
    <row r="110" s="453" customFormat="1" ht="12.75"/>
    <row r="111" s="453" customFormat="1" ht="12.75"/>
    <row r="112" s="453" customFormat="1" ht="12.75"/>
    <row r="113" s="453" customFormat="1" ht="12.75"/>
    <row r="114" s="453" customFormat="1" ht="12.75"/>
    <row r="115" s="453" customFormat="1" ht="12.75"/>
    <row r="116" s="453" customFormat="1" ht="12.75"/>
    <row r="117" s="453" customFormat="1" ht="12.75"/>
    <row r="118" s="453" customFormat="1" ht="12.75"/>
    <row r="119" s="453" customFormat="1" ht="12.75"/>
    <row r="120" s="453" customFormat="1" ht="12.75"/>
    <row r="121" s="453" customFormat="1" ht="12.75"/>
    <row r="122" s="453" customFormat="1" ht="12.75"/>
    <row r="123" s="453" customFormat="1" ht="12.75"/>
    <row r="124" s="453" customFormat="1" ht="12.75"/>
    <row r="125" s="453" customFormat="1" ht="12.75"/>
    <row r="126" s="453" customFormat="1" ht="12.75"/>
    <row r="127" s="453" customFormat="1" ht="12.75"/>
    <row r="128" s="453" customFormat="1" ht="12.75"/>
    <row r="129" s="453" customFormat="1" ht="12.75"/>
    <row r="130" s="453" customFormat="1" ht="12.75"/>
    <row r="131" s="453" customFormat="1" ht="12.75"/>
    <row r="132" s="453" customFormat="1" ht="12.75"/>
    <row r="133" s="453" customFormat="1" ht="12.75"/>
    <row r="134" s="453" customFormat="1" ht="12.75"/>
    <row r="135" s="453" customFormat="1" ht="12.75"/>
    <row r="136" s="453" customFormat="1" ht="12.75"/>
    <row r="137" s="453" customFormat="1" ht="12.75"/>
    <row r="138" s="453" customFormat="1" ht="12.75"/>
    <row r="139" s="453" customFormat="1" ht="12.75"/>
    <row r="140" s="453" customFormat="1" ht="12.75"/>
    <row r="141" s="453" customFormat="1" ht="12.75"/>
    <row r="142" s="453" customFormat="1" ht="12.75"/>
    <row r="143" s="453" customFormat="1" ht="12.75"/>
    <row r="144" s="453" customFormat="1" ht="12.75"/>
    <row r="145" s="453" customFormat="1" ht="12.75"/>
    <row r="146" s="453" customFormat="1" ht="12.75"/>
    <row r="147" s="453" customFormat="1" ht="12.75"/>
    <row r="148" s="453" customFormat="1" ht="12.75"/>
    <row r="149" s="453" customFormat="1" ht="12.75"/>
    <row r="150" s="453" customFormat="1" ht="12.75"/>
    <row r="151" s="453" customFormat="1" ht="12.75"/>
    <row r="152" s="453" customFormat="1" ht="12.75"/>
    <row r="153" s="453" customFormat="1" ht="12.75"/>
    <row r="154" s="453" customFormat="1" ht="12.75"/>
    <row r="155" s="453" customFormat="1" ht="12.75"/>
    <row r="156" s="453" customFormat="1" ht="12.75"/>
    <row r="157" s="453" customFormat="1" ht="12.75"/>
    <row r="158" s="453" customFormat="1" ht="12.75"/>
    <row r="159" s="453" customFormat="1" ht="12.75"/>
    <row r="160" s="453" customFormat="1" ht="12.75"/>
    <row r="161" s="453" customFormat="1" ht="12.75"/>
    <row r="162" s="453" customFormat="1" ht="12.75"/>
    <row r="163" s="453" customFormat="1" ht="12.75"/>
    <row r="164" s="453" customFormat="1" ht="12.75"/>
    <row r="165" s="453" customFormat="1" ht="12.75"/>
    <row r="166" s="453" customFormat="1" ht="12.75"/>
    <row r="167" s="453" customFormat="1" ht="12.75"/>
    <row r="168" s="453" customFormat="1" ht="12.75"/>
    <row r="169" s="453" customFormat="1" ht="12.75"/>
    <row r="170" s="453" customFormat="1" ht="12.75"/>
    <row r="171" s="453" customFormat="1" ht="12.75"/>
    <row r="172" s="453" customFormat="1" ht="12.75"/>
    <row r="173" s="453" customFormat="1" ht="12.75"/>
    <row r="174" s="453" customFormat="1" ht="12.75"/>
  </sheetData>
  <sheetProtection algorithmName="SHA-512" hashValue="oZWIAOnZFRaQAKKBxX9u9/7Ju+l1Y6v5KWMrYAyrlujNxRzj0psTeN71yd8Z5j+qBpu8xuEVdenNNrNJvgB/5A==" saltValue="+lFPfyi5EOUQ28h5juACAw==" spinCount="100000" sheet="1" objects="1" scenarios="1"/>
  <mergeCells count="23"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</mergeCells>
  <printOptions horizontalCentered="1" verticalCentered="1"/>
  <pageMargins left="0.196850393700787" right="0.196850393700787" top="0.393700787401575" bottom="0.196850393700787" header="0.31496062992126" footer="0.31496062992126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8E61E55-C1DF-4FEE-824B-6346B483F0D3}">
  <sheetPr>
    <pageSetUpPr fitToPage="1"/>
  </sheetPr>
  <dimension ref="A1:AC121"/>
  <sheetViews>
    <sheetView workbookViewId="0" topLeftCell="A1">
      <pane xSplit="1" ySplit="8" topLeftCell="B9" activePane="bottomRight" state="frozen"/>
      <selection pane="topLeft" activeCell="A1" sqref="A1"/>
      <selection pane="bottomLeft" activeCell="A9" sqref="A9"/>
      <selection pane="topRight" activeCell="B1" sqref="B1"/>
      <selection pane="bottomRight" activeCell="D13" sqref="D13"/>
    </sheetView>
  </sheetViews>
  <sheetFormatPr defaultColWidth="9.14428571428571" defaultRowHeight="12.75"/>
  <cols>
    <col min="1" max="1" width="24" style="453" customWidth="1"/>
    <col min="2" max="5" width="18.7142857142857" style="453" customWidth="1"/>
    <col min="6" max="6" width="11.4285714285714" style="608" bestFit="1" customWidth="1"/>
    <col min="7" max="28" width="9.14285714285714" style="608"/>
    <col min="29" max="16384" width="9.14285714285714" style="453"/>
  </cols>
  <sheetData>
    <row r="1" spans="1:7" ht="18" customHeight="1">
      <c r="A1" s="2410" t="s">
        <v>3951</v>
      </c>
      <c r="B1" s="2411"/>
      <c r="C1" s="2411"/>
      <c r="D1" s="2411"/>
      <c r="E1" s="2411"/>
      <c r="F1" s="607"/>
      <c r="G1" s="607"/>
    </row>
    <row r="2" spans="1:7" ht="8.1" customHeight="1" thickBot="1">
      <c r="A2" s="2410"/>
      <c r="B2" s="2411"/>
      <c r="C2" s="2411"/>
      <c r="D2" s="2411"/>
      <c r="E2" s="2411"/>
      <c r="F2" s="607"/>
      <c r="G2" s="607"/>
    </row>
    <row r="3" spans="1:29" ht="18" customHeight="1">
      <c r="A3" s="2412" t="s">
        <v>3854</v>
      </c>
      <c r="B3" s="2413"/>
      <c r="C3" s="2414" t="str">
        <f>+CONCATENATE(ZAKL_DATA!B5," ",ZAKL_DATA!B4," ",ZAKL_DATA!B7)</f>
        <v xml:space="preserve">  </v>
      </c>
      <c r="D3" s="2415"/>
      <c r="E3" s="2416"/>
      <c r="F3" s="607"/>
      <c r="H3" s="607"/>
      <c r="AC3" s="608"/>
    </row>
    <row r="4" spans="1:29" ht="18" customHeight="1">
      <c r="A4" s="2399" t="s">
        <v>3539</v>
      </c>
      <c r="B4" s="2400"/>
      <c r="C4" s="2417">
        <f>+'DAP3'!D30</f>
        <v>0</v>
      </c>
      <c r="D4" s="2400"/>
      <c r="E4" s="2402"/>
      <c r="F4" s="607"/>
      <c r="H4" s="607"/>
      <c r="AC4" s="608"/>
    </row>
    <row r="5" spans="1:29" ht="18" customHeight="1">
      <c r="A5" s="2399" t="s">
        <v>3855</v>
      </c>
      <c r="B5" s="2400"/>
      <c r="C5" s="2401">
        <f>+C4</f>
        <v>0</v>
      </c>
      <c r="D5" s="2400"/>
      <c r="E5" s="2402"/>
      <c r="F5" s="607"/>
      <c r="G5" s="607"/>
      <c r="H5" s="607"/>
      <c r="AC5" s="608"/>
    </row>
    <row r="6" spans="1:29" ht="18" customHeight="1" thickBot="1">
      <c r="A6" s="2403" t="s">
        <v>3856</v>
      </c>
      <c r="B6" s="2404"/>
      <c r="C6" s="2405">
        <f>IF(OR(EXACT((LEFT(+'DAP1'!J17,1)),A60),EXACT((LEFT(+'DAP1'!J19,1)),A60)),+DATE(+'DAP1'!F24+1,6,30),DATE('DAP1'!F24+1,3,31))+1</f>
        <v>45017</v>
      </c>
      <c r="D6" s="2406"/>
      <c r="E6" s="2407"/>
      <c r="F6" s="607"/>
      <c r="G6" s="2408" t="s">
        <v>3857</v>
      </c>
      <c r="H6" s="607"/>
      <c r="AC6" s="608"/>
    </row>
    <row r="7" spans="1:7" ht="8.1" customHeight="1" thickBot="1">
      <c r="A7" s="2410"/>
      <c r="B7" s="2411"/>
      <c r="C7" s="2411"/>
      <c r="D7" s="2411"/>
      <c r="E7" s="2411"/>
      <c r="F7" s="607"/>
      <c r="G7" s="2409"/>
    </row>
    <row r="8" spans="1:7" ht="27" customHeight="1">
      <c r="A8" s="609" t="s">
        <v>3858</v>
      </c>
      <c r="B8" s="610" t="s">
        <v>3859</v>
      </c>
      <c r="C8" s="610" t="s">
        <v>3860</v>
      </c>
      <c r="D8" s="611" t="s">
        <v>3861</v>
      </c>
      <c r="E8" s="612" t="s">
        <v>3862</v>
      </c>
      <c r="F8" s="613"/>
      <c r="G8" s="614" t="s">
        <v>3863</v>
      </c>
    </row>
    <row r="9" spans="1:7" ht="15.95" customHeight="1">
      <c r="A9" s="615">
        <f>+C6</f>
        <v>45017</v>
      </c>
      <c r="B9" s="616">
        <f>+'DAP3'!D48</f>
        <v>0</v>
      </c>
      <c r="C9" s="616">
        <v>0</v>
      </c>
      <c r="D9" s="617">
        <v>0</v>
      </c>
      <c r="E9" s="618">
        <v>0</v>
      </c>
      <c r="G9" s="619" t="str">
        <f t="shared" si="0" ref="G9:G43">+IF(+ABS(B9)+ABS(C9)+ABS(D9)+ABS(E9)=0,"NE","ANO")</f>
        <v>NE</v>
      </c>
    </row>
    <row r="10" spans="1:7" ht="27.95" customHeight="1">
      <c r="A10" s="620" t="s">
        <v>3864</v>
      </c>
      <c r="B10" s="616">
        <v>0</v>
      </c>
      <c r="C10" s="616">
        <f>+'SP1'!H64</f>
        <v>34087</v>
      </c>
      <c r="D10" s="616">
        <v>0</v>
      </c>
      <c r="E10" s="618">
        <f>IF(OR(EXACT(+VZP!AV3,"X"),EXACT(VZP!AV3,"x"),EXACT('Ostatní ZP'!AV3,"X"),EXACT('Ostatní ZP'!AV3,"x")),-'Ostatní ZP'!AE38,-VZP!AE38)</f>
        <v>31518</v>
      </c>
      <c r="G10" s="619" t="str">
        <f t="shared" si="0"/>
        <v>ANO</v>
      </c>
    </row>
    <row r="11" spans="1:7" ht="15.95" customHeight="1">
      <c r="A11" s="615">
        <f>CONCATENATE("7.",IF(MONTH(A9)&lt;12,MONTH(A9)+1,MONTH(A9)-11),".",IF(MONTH(A9)&gt;11,YEAR(A9)+1,YEAR(A9)))+1</f>
        <v>45054</v>
      </c>
      <c r="B11" s="616">
        <v>0</v>
      </c>
      <c r="C11" s="616">
        <v>0</v>
      </c>
      <c r="D11" s="617">
        <v>0</v>
      </c>
      <c r="E11" s="618">
        <f>IF(OR(EXACT(+VZP!AV3,"X"),EXACT(VZP!AV3,"x"),EXACT('Ostatní ZP'!AV3,"X"),EXACT('Ostatní ZP'!AV3,"x")),'Ostatní ZP'!AJ49,VZP!AJ49)</f>
        <v>2722</v>
      </c>
      <c r="G11" s="619" t="str">
        <f t="shared" si="0"/>
        <v>ANO</v>
      </c>
    </row>
    <row r="12" spans="1:7" ht="15.95" customHeight="1">
      <c r="A12" s="615">
        <f>CONCATENATE("1.",IF(MONTH(A11)&lt;12,MONTH(A11)+1,MONTH(A11)-11),".",IF(MONTH(A11)&gt;11,YEAR(A11)+1,YEAR(A11)))-1</f>
        <v>45077</v>
      </c>
      <c r="B12" s="616">
        <v>0</v>
      </c>
      <c r="C12" s="616">
        <f>+'SP2'!S9</f>
        <v>2944</v>
      </c>
      <c r="D12" s="617">
        <f>+'SP2'!AH9</f>
        <v>205</v>
      </c>
      <c r="E12" s="618">
        <v>0</v>
      </c>
      <c r="G12" s="619" t="str">
        <f t="shared" si="0"/>
        <v>ANO</v>
      </c>
    </row>
    <row r="13" spans="1:7" ht="15.95" customHeight="1">
      <c r="A13" s="615">
        <f>CONCATENATE("7.",IF(MONTH(A11)&lt;12,MONTH(A11)+1,MONTH(A11)-11),".",IF(MONTH(A11)&gt;11,YEAR(A11)+1,YEAR(A11)))+1</f>
        <v>45085</v>
      </c>
      <c r="B13" s="616">
        <v>0</v>
      </c>
      <c r="C13" s="616">
        <v>0</v>
      </c>
      <c r="D13" s="616">
        <v>0</v>
      </c>
      <c r="E13" s="618">
        <f>E11</f>
        <v>2722</v>
      </c>
      <c r="G13" s="619" t="str">
        <f t="shared" si="0"/>
        <v>ANO</v>
      </c>
    </row>
    <row r="14" spans="1:7" ht="15.95" customHeight="1">
      <c r="A14" s="615">
        <f>CONCATENATE("14.",IF(OR(MONTH(A9)=4,MONTH(A9)=7),MONTH(A9)+2,MONTH(A9)+1),".",IF(MONTH(A9)&gt;9,YEAR(A9)+1,YEAR(A9)))+1</f>
        <v>45092</v>
      </c>
      <c r="B14" s="616">
        <f>CEILING(IF(OR(MONTH($C$6)=5,MONTH($C$6)=4),+IF($C$5&gt;150000,INT($C$5/4/100+0.99)*100,0)+IF($C$5&gt;30000,INT($C$5*0.4/100+0.99)*100,0)*IF($C$5&gt;150000,0,1),+IF($C$5&gt;150000,INT($C$5/4/100+0.99)*100,0))*A100,100)</f>
        <v>0</v>
      </c>
      <c r="C14" s="616">
        <v>0</v>
      </c>
      <c r="D14" s="616">
        <v>0</v>
      </c>
      <c r="E14" s="618">
        <v>0</v>
      </c>
      <c r="G14" s="619" t="str">
        <f t="shared" si="0"/>
        <v>NE</v>
      </c>
    </row>
    <row r="15" spans="1:7" ht="15.95" customHeight="1">
      <c r="A15" s="615">
        <f>CONCATENATE("1.",IF(MONTH(A14)&lt;12,MONTH(A14)+1,MONTH(A14)-11),".",IF(MONTH(A14)&gt;11,YEAR(A14)+1,YEAR(A14)))-1</f>
        <v>45107</v>
      </c>
      <c r="B15" s="616">
        <v>0</v>
      </c>
      <c r="C15" s="616">
        <f>+C12</f>
        <v>2944</v>
      </c>
      <c r="D15" s="616">
        <f>+D12</f>
        <v>205</v>
      </c>
      <c r="E15" s="618">
        <v>0</v>
      </c>
      <c r="G15" s="619" t="str">
        <f t="shared" si="0"/>
        <v>ANO</v>
      </c>
    </row>
    <row r="16" spans="1:7" ht="15.95" customHeight="1">
      <c r="A16" s="615">
        <f>CONCATENATE("7.",IF(MONTH(A14)&lt;12,MONTH(A14)+1,MONTH(A14)-11),".",IF(MONTH(A14)&gt;11,YEAR(A14)+1,YEAR(A14)))+1</f>
        <v>45115</v>
      </c>
      <c r="B16" s="616">
        <v>0</v>
      </c>
      <c r="C16" s="616">
        <v>0</v>
      </c>
      <c r="D16" s="616">
        <v>0</v>
      </c>
      <c r="E16" s="618">
        <f>+E13</f>
        <v>2722</v>
      </c>
      <c r="G16" s="619" t="str">
        <f t="shared" si="0"/>
        <v>ANO</v>
      </c>
    </row>
    <row r="17" spans="1:7" ht="15.95" customHeight="1">
      <c r="A17" s="615">
        <f>CONCATENATE("1.",IF(MONTH(A16)&lt;12,MONTH(A16)+1,MONTH(A16)-11),".",IF(MONTH(A16)&gt;11,YEAR(A16)+1,YEAR(A16)))-1</f>
        <v>45138</v>
      </c>
      <c r="B17" s="616">
        <v>0</v>
      </c>
      <c r="C17" s="616">
        <f>+C15</f>
        <v>2944</v>
      </c>
      <c r="D17" s="616">
        <f>+D15</f>
        <v>205</v>
      </c>
      <c r="E17" s="618">
        <v>0</v>
      </c>
      <c r="G17" s="619" t="str">
        <f t="shared" si="0"/>
        <v>ANO</v>
      </c>
    </row>
    <row r="18" spans="1:7" ht="15.95" customHeight="1">
      <c r="A18" s="615">
        <f>CONCATENATE("7.",IF(MONTH(A16)&lt;12,MONTH(A16)+1,MONTH(A16)-11),".",IF(MONTH(A16)&gt;11,YEAR(A16)+1,YEAR(A16)))+1</f>
        <v>45146</v>
      </c>
      <c r="B18" s="616">
        <v>0</v>
      </c>
      <c r="C18" s="616">
        <v>0</v>
      </c>
      <c r="D18" s="616">
        <v>0</v>
      </c>
      <c r="E18" s="618">
        <f>E16</f>
        <v>2722</v>
      </c>
      <c r="G18" s="619" t="str">
        <f t="shared" si="0"/>
        <v>ANO</v>
      </c>
    </row>
    <row r="19" spans="1:7" ht="15.95" customHeight="1">
      <c r="A19" s="615">
        <f>CONCATENATE("1.",IF(MONTH(A18)&lt;12,MONTH(A18)+1,MONTH(A18)-11),".",IF(MONTH(A18)&gt;11,YEAR(A18)+1,YEAR(A18)))-1</f>
        <v>45169</v>
      </c>
      <c r="B19" s="616">
        <v>0</v>
      </c>
      <c r="C19" s="616">
        <f>+C17</f>
        <v>2944</v>
      </c>
      <c r="D19" s="616">
        <f>+D17</f>
        <v>205</v>
      </c>
      <c r="E19" s="618">
        <v>0</v>
      </c>
      <c r="G19" s="619" t="str">
        <f t="shared" si="0"/>
        <v>ANO</v>
      </c>
    </row>
    <row r="20" spans="1:7" ht="15.95" customHeight="1">
      <c r="A20" s="615">
        <f>CONCATENATE("7.",IF(MONTH(A18)&lt;12,MONTH(A18)+1,MONTH(A18)-11),".",IF(MONTH(A18)&gt;11,YEAR(A18)+1,YEAR(A18)))+1</f>
        <v>45177</v>
      </c>
      <c r="B20" s="616">
        <v>0</v>
      </c>
      <c r="C20" s="616">
        <v>0</v>
      </c>
      <c r="D20" s="616">
        <v>0</v>
      </c>
      <c r="E20" s="618">
        <f>+E18</f>
        <v>2722</v>
      </c>
      <c r="G20" s="619" t="str">
        <f t="shared" si="0"/>
        <v>ANO</v>
      </c>
    </row>
    <row r="21" spans="1:7" ht="15.95" customHeight="1">
      <c r="A21" s="621">
        <f>CONCATENATE("14.",IF(MONTH(A14)&gt;9,MONTH(A14)-9,MONTH(A14)+3),".",IF(MONTH(A14)&gt;9,YEAR(A14)+1,YEAR(A14)))+1</f>
        <v>45184</v>
      </c>
      <c r="B21" s="616">
        <f>CEILING(IF(OR(MONTH($C$6)=7),+IF($C$5&gt;150000,INT($C$5/4/100+0.99)*100,0)+IF($C$5&gt;30000,INT($C$5*0.4/100+0.99)*100,0)*IF($C$5&gt;150000,0,1),+IF($C$5&gt;150000,INT($C$5/4/100+0.99)*100,0))*A100,100)</f>
        <v>0</v>
      </c>
      <c r="C21" s="616">
        <v>0</v>
      </c>
      <c r="D21" s="616">
        <v>0</v>
      </c>
      <c r="E21" s="618">
        <v>0</v>
      </c>
      <c r="G21" s="619" t="str">
        <f t="shared" si="0"/>
        <v>NE</v>
      </c>
    </row>
    <row r="22" spans="1:7" ht="15.95" customHeight="1">
      <c r="A22" s="615">
        <f>CONCATENATE("1.",IF(MONTH(A21)&lt;12,MONTH(A21)+1,MONTH(A21)-11),".",IF(MONTH(A21)&gt;11,YEAR(A21)+1,YEAR(A21)))-1</f>
        <v>45199</v>
      </c>
      <c r="B22" s="616">
        <v>0</v>
      </c>
      <c r="C22" s="616">
        <f>+C19</f>
        <v>2944</v>
      </c>
      <c r="D22" s="616">
        <f>+D19</f>
        <v>205</v>
      </c>
      <c r="E22" s="618">
        <v>0</v>
      </c>
      <c r="G22" s="619" t="str">
        <f t="shared" si="0"/>
        <v>ANO</v>
      </c>
    </row>
    <row r="23" spans="1:7" ht="15.95" customHeight="1">
      <c r="A23" s="615">
        <f>CONCATENATE("7.",IF(MONTH(A21)&lt;12,MONTH(A21)+1,MONTH(A21)-11),".",IF(MONTH(A21)&gt;11,YEAR(A21)+1,YEAR(A21)))+1</f>
        <v>45207</v>
      </c>
      <c r="B23" s="616">
        <v>0</v>
      </c>
      <c r="C23" s="616">
        <v>0</v>
      </c>
      <c r="D23" s="616">
        <v>0</v>
      </c>
      <c r="E23" s="618">
        <f>E20</f>
        <v>2722</v>
      </c>
      <c r="G23" s="619" t="str">
        <f t="shared" si="0"/>
        <v>ANO</v>
      </c>
    </row>
    <row r="24" spans="1:7" ht="15.95" customHeight="1">
      <c r="A24" s="615">
        <f>CONCATENATE("1.",IF(MONTH(A23)&lt;12,MONTH(A23)+1,MONTH(A23)-11),".",IF(MONTH(A23)&gt;11,YEAR(A23)+1,YEAR(A23)))-1</f>
        <v>45230</v>
      </c>
      <c r="B24" s="616">
        <v>0</v>
      </c>
      <c r="C24" s="616">
        <f>+C22</f>
        <v>2944</v>
      </c>
      <c r="D24" s="616">
        <f>+D22</f>
        <v>205</v>
      </c>
      <c r="E24" s="618">
        <v>0</v>
      </c>
      <c r="G24" s="619" t="str">
        <f t="shared" si="0"/>
        <v>ANO</v>
      </c>
    </row>
    <row r="25" spans="1:7" ht="15.95" customHeight="1">
      <c r="A25" s="615">
        <f>CONCATENATE("7.",IF(MONTH(A23)&lt;12,MONTH(A23)+1,MONTH(A23)-11),".",IF(MONTH(A23)&gt;11,YEAR(A23)+1,YEAR(A23)))+1</f>
        <v>45238</v>
      </c>
      <c r="B25" s="616">
        <v>0</v>
      </c>
      <c r="C25" s="616">
        <v>0</v>
      </c>
      <c r="D25" s="616">
        <v>0</v>
      </c>
      <c r="E25" s="618">
        <f>E23</f>
        <v>2722</v>
      </c>
      <c r="G25" s="619" t="str">
        <f t="shared" si="0"/>
        <v>ANO</v>
      </c>
    </row>
    <row r="26" spans="1:7" ht="15.95" customHeight="1">
      <c r="A26" s="615">
        <f>CONCATENATE("1.",IF(MONTH(A25)&lt;12,MONTH(A25)+1,MONTH(A25)-11),".",IF(MONTH(A25)&gt;11,YEAR(A25)+1,YEAR(A25)))-1</f>
        <v>45260</v>
      </c>
      <c r="B26" s="616">
        <v>0</v>
      </c>
      <c r="C26" s="616">
        <f>+C24</f>
        <v>2944</v>
      </c>
      <c r="D26" s="616">
        <f>+D24</f>
        <v>205</v>
      </c>
      <c r="E26" s="618">
        <v>0</v>
      </c>
      <c r="G26" s="619" t="str">
        <f t="shared" si="0"/>
        <v>ANO</v>
      </c>
    </row>
    <row r="27" spans="1:7" ht="15.95" customHeight="1">
      <c r="A27" s="615">
        <f>CONCATENATE("7.",IF(MONTH(A25)&lt;12,MONTH(A25)+1,MONTH(A25)-11),".",IF(MONTH(A25)&gt;11,YEAR(A25)+1,YEAR(A25)))+1</f>
        <v>45268</v>
      </c>
      <c r="B27" s="616">
        <v>0</v>
      </c>
      <c r="C27" s="616">
        <v>0</v>
      </c>
      <c r="D27" s="616">
        <v>0</v>
      </c>
      <c r="E27" s="618">
        <f>E25</f>
        <v>2722</v>
      </c>
      <c r="G27" s="619" t="str">
        <f t="shared" si="0"/>
        <v>ANO</v>
      </c>
    </row>
    <row r="28" spans="1:7" ht="15.95" customHeight="1">
      <c r="A28" s="621">
        <f>CONCATENATE("14.",IF(MONTH(A21)&gt;9,MONTH(A21)-9,MONTH(A21)+3),".",IF(MONTH(A21)&gt;9,YEAR(A21)+1,YEAR(A21)))+1</f>
        <v>45275</v>
      </c>
      <c r="B28" s="616">
        <f>+B14</f>
        <v>0</v>
      </c>
      <c r="C28" s="616">
        <v>0</v>
      </c>
      <c r="D28" s="616">
        <v>0</v>
      </c>
      <c r="E28" s="618">
        <v>0</v>
      </c>
      <c r="G28" s="619" t="str">
        <f t="shared" si="0"/>
        <v>NE</v>
      </c>
    </row>
    <row r="29" spans="1:7" ht="15.95" customHeight="1">
      <c r="A29" s="615">
        <f>CONCATENATE("1.",IF(MONTH(A28)&lt;12,MONTH(A28)+1,MONTH(A28)-11),".",IF(MONTH(A28)&gt;11,YEAR(A28)+1,YEAR(A28)))-1</f>
        <v>45291</v>
      </c>
      <c r="B29" s="616">
        <v>0</v>
      </c>
      <c r="C29" s="616">
        <f>+C26</f>
        <v>2944</v>
      </c>
      <c r="D29" s="616">
        <f>+D26</f>
        <v>205</v>
      </c>
      <c r="E29" s="618">
        <v>0</v>
      </c>
      <c r="G29" s="619" t="str">
        <f t="shared" si="0"/>
        <v>ANO</v>
      </c>
    </row>
    <row r="30" spans="1:7" ht="15.95" customHeight="1">
      <c r="A30" s="615">
        <f>CONCATENATE("7.",IF(MONTH(A28)&lt;12,MONTH(A28)+1,MONTH(A28)-11),".",IF(MONTH(A28)&gt;11,YEAR(A28)+1,YEAR(A28)))+1</f>
        <v>45299</v>
      </c>
      <c r="B30" s="622">
        <v>0</v>
      </c>
      <c r="C30" s="616">
        <v>0</v>
      </c>
      <c r="D30" s="616">
        <v>0</v>
      </c>
      <c r="E30" s="618">
        <f>E27</f>
        <v>2722</v>
      </c>
      <c r="G30" s="619" t="str">
        <f t="shared" si="0"/>
        <v>ANO</v>
      </c>
    </row>
    <row r="31" spans="1:7" ht="15.95" customHeight="1">
      <c r="A31" s="615">
        <f>CONCATENATE("1.",IF(MONTH(A30)&lt;12,MONTH(A30)+1,MONTH(A30)-11),".",IF(MONTH(A30)&gt;11,YEAR(A30)+1,YEAR(A30)))-1</f>
        <v>45322</v>
      </c>
      <c r="B31" s="622">
        <v>0</v>
      </c>
      <c r="C31" s="616">
        <f>+C29</f>
        <v>2944</v>
      </c>
      <c r="D31" s="616">
        <f>+D29</f>
        <v>205</v>
      </c>
      <c r="E31" s="618">
        <v>0</v>
      </c>
      <c r="G31" s="619" t="str">
        <f t="shared" si="0"/>
        <v>ANO</v>
      </c>
    </row>
    <row r="32" spans="1:7" ht="15.95" customHeight="1">
      <c r="A32" s="615">
        <f>CONCATENATE("7.",IF(MONTH(A30)&lt;12,MONTH(A30)+1,MONTH(A30)-11),".",IF(MONTH(A30)&gt;11,YEAR(A30)+1,YEAR(A30)))+1</f>
        <v>45330</v>
      </c>
      <c r="B32" s="622">
        <v>0</v>
      </c>
      <c r="C32" s="616">
        <v>0</v>
      </c>
      <c r="D32" s="616">
        <v>0</v>
      </c>
      <c r="E32" s="618">
        <f>E30</f>
        <v>2722</v>
      </c>
      <c r="G32" s="619" t="str">
        <f t="shared" si="0"/>
        <v>ANO</v>
      </c>
    </row>
    <row r="33" spans="1:7" ht="15.95" customHeight="1">
      <c r="A33" s="615">
        <f>CONCATENATE("1.",IF(MONTH(A32)&lt;12,MONTH(A32)+1,MONTH(A32)-11),".",IF(MONTH(A32)&gt;11,YEAR(A32)+1,YEAR(A32)))-1</f>
        <v>45351</v>
      </c>
      <c r="B33" s="622">
        <v>0</v>
      </c>
      <c r="C33" s="616">
        <f>+C31</f>
        <v>2944</v>
      </c>
      <c r="D33" s="616">
        <f>+D31</f>
        <v>205</v>
      </c>
      <c r="E33" s="618">
        <v>0</v>
      </c>
      <c r="G33" s="619" t="str">
        <f t="shared" si="0"/>
        <v>ANO</v>
      </c>
    </row>
    <row r="34" spans="1:7" ht="15.95" customHeight="1">
      <c r="A34" s="615">
        <f>CONCATENATE("7.",IF(MONTH(A32)&lt;12,MONTH(A32)+1,MONTH(A32)-11),".",IF(MONTH(A32)&gt;11,YEAR(A32)+1,YEAR(A32)))+1</f>
        <v>45359</v>
      </c>
      <c r="B34" s="622">
        <v>0</v>
      </c>
      <c r="C34" s="616">
        <v>0</v>
      </c>
      <c r="D34" s="616">
        <v>0</v>
      </c>
      <c r="E34" s="618">
        <f>E32</f>
        <v>2722</v>
      </c>
      <c r="G34" s="619" t="str">
        <f t="shared" si="0"/>
        <v>ANO</v>
      </c>
    </row>
    <row r="35" spans="1:7" ht="15.95" customHeight="1">
      <c r="A35" s="621">
        <f>CONCATENATE("14.",IF(MONTH(A28)&gt;9,MONTH(A28)-9,MONTH(A28)+3),".",IF(MONTH(A28)&gt;9,YEAR(A28)+1,YEAR(A28)))+1</f>
        <v>45366</v>
      </c>
      <c r="B35" s="616">
        <f>+B21</f>
        <v>0</v>
      </c>
      <c r="C35" s="616">
        <v>0</v>
      </c>
      <c r="D35" s="616">
        <v>0</v>
      </c>
      <c r="E35" s="618">
        <v>0</v>
      </c>
      <c r="G35" s="619" t="str">
        <f t="shared" si="0"/>
        <v>NE</v>
      </c>
    </row>
    <row r="36" spans="1:7" ht="15.95" customHeight="1">
      <c r="A36" s="615">
        <f>CONCATENATE("1.",IF(MONTH(A35)&lt;12,MONTH(A35)+1,MONTH(A35)-11),".",IF(MONTH(A35)&gt;11,YEAR(A35)+1,YEAR(A35)))-1</f>
        <v>45382</v>
      </c>
      <c r="B36" s="616">
        <v>0</v>
      </c>
      <c r="C36" s="616">
        <f>+C33</f>
        <v>2944</v>
      </c>
      <c r="D36" s="616">
        <f>+D33</f>
        <v>205</v>
      </c>
      <c r="E36" s="618">
        <v>0</v>
      </c>
      <c r="G36" s="619" t="str">
        <f t="shared" si="0"/>
        <v>ANO</v>
      </c>
    </row>
    <row r="37" spans="1:7" ht="15.95" customHeight="1">
      <c r="A37" s="615">
        <f>CONCATENATE("7.",IF(MONTH(A35)&lt;12,MONTH(A35)+1,MONTH(A35)-11),".",IF(MONTH(A35)&gt;11,YEAR(A35)+1,YEAR(A35)))+1</f>
        <v>45390</v>
      </c>
      <c r="B37" s="622">
        <v>0</v>
      </c>
      <c r="C37" s="616">
        <v>0</v>
      </c>
      <c r="D37" s="616">
        <v>0</v>
      </c>
      <c r="E37" s="618">
        <f>E34</f>
        <v>2722</v>
      </c>
      <c r="G37" s="619" t="str">
        <f t="shared" si="0"/>
        <v>ANO</v>
      </c>
    </row>
    <row r="38" spans="1:7" ht="15.95" customHeight="1">
      <c r="A38" s="615">
        <f>CONCATENATE("1.",IF(MONTH(A37)&lt;12,MONTH(A37)+1,MONTH(A37)-11),".",IF(MONTH(A37)&gt;11,YEAR(A37)+1,YEAR(A37)))-1</f>
        <v>45412</v>
      </c>
      <c r="B38" s="622">
        <v>0</v>
      </c>
      <c r="C38" s="616">
        <f>+C36</f>
        <v>2944</v>
      </c>
      <c r="D38" s="616">
        <f>+D36</f>
        <v>205</v>
      </c>
      <c r="E38" s="618">
        <v>0</v>
      </c>
      <c r="G38" s="619" t="str">
        <f t="shared" si="0"/>
        <v>ANO</v>
      </c>
    </row>
    <row r="39" spans="1:7" ht="15.95" customHeight="1">
      <c r="A39" s="615">
        <f>CONCATENATE("7.",IF(MONTH(A37)&lt;12,MONTH(A37)+1,MONTH(A37)-11),".",IF(MONTH(A37)&gt;11,YEAR(A37)+1,YEAR(A37)))+1</f>
        <v>45420</v>
      </c>
      <c r="B39" s="622">
        <v>0</v>
      </c>
      <c r="C39" s="616">
        <v>0</v>
      </c>
      <c r="D39" s="616">
        <v>0</v>
      </c>
      <c r="E39" s="618">
        <f>E37</f>
        <v>2722</v>
      </c>
      <c r="G39" s="619" t="str">
        <f t="shared" si="0"/>
        <v>ANO</v>
      </c>
    </row>
    <row r="40" spans="1:7" ht="15.95" customHeight="1">
      <c r="A40" s="615">
        <f>CONCATENATE("1.",IF(MONTH(A39)&lt;12,MONTH(A39)+1,MONTH(A39)-11),".",IF(MONTH(A39)&gt;11,YEAR(A39)+1,YEAR(A39)))-1</f>
        <v>45443</v>
      </c>
      <c r="B40" s="622">
        <v>0</v>
      </c>
      <c r="C40" s="616">
        <f>+C38</f>
        <v>2944</v>
      </c>
      <c r="D40" s="616">
        <f>+D38</f>
        <v>205</v>
      </c>
      <c r="E40" s="618">
        <v>0</v>
      </c>
      <c r="G40" s="619" t="str">
        <f t="shared" si="0"/>
        <v>ANO</v>
      </c>
    </row>
    <row r="41" spans="1:7" ht="15.95" customHeight="1">
      <c r="A41" s="615">
        <f>CONCATENATE("7.",IF(MONTH(A39)&lt;12,MONTH(A39)+1,MONTH(A39)-11),".",IF(MONTH(A39)&gt;11,YEAR(A39)+1,YEAR(A39)))+1</f>
        <v>45451</v>
      </c>
      <c r="B41" s="622">
        <v>0</v>
      </c>
      <c r="C41" s="616">
        <v>0</v>
      </c>
      <c r="D41" s="616">
        <v>0</v>
      </c>
      <c r="E41" s="618">
        <f>E39</f>
        <v>2722</v>
      </c>
      <c r="G41" s="619" t="str">
        <f t="shared" si="0"/>
        <v>ANO</v>
      </c>
    </row>
    <row r="42" spans="1:7" ht="15.95" customHeight="1">
      <c r="A42" s="621">
        <f>CONCATENATE("14.",IF(MONTH(A35)&gt;9,MONTH(A35)-9,MONTH(A35)+3),".",IF(MONTH(A35)&gt;9,YEAR(A35)+1,YEAR(A35)))+1</f>
        <v>45458</v>
      </c>
      <c r="B42" s="616">
        <f>+B28</f>
        <v>0</v>
      </c>
      <c r="C42" s="616">
        <v>0</v>
      </c>
      <c r="D42" s="616">
        <v>0</v>
      </c>
      <c r="E42" s="618">
        <v>0</v>
      </c>
      <c r="G42" s="619" t="str">
        <f t="shared" si="0"/>
        <v>NE</v>
      </c>
    </row>
    <row r="43" spans="1:7" ht="15.95" customHeight="1" thickBot="1">
      <c r="A43" s="623">
        <f>CONCATENATE("1.",IF(MONTH(A42)&lt;12,MONTH(A42)+1,MONTH(A42)-11),".",IF(MONTH(A42)&gt;11,YEAR(A42)+1,YEAR(A42)))-1</f>
        <v>45473</v>
      </c>
      <c r="B43" s="624">
        <v>0</v>
      </c>
      <c r="C43" s="625">
        <f>+C40</f>
        <v>2944</v>
      </c>
      <c r="D43" s="625">
        <f>+D40</f>
        <v>205</v>
      </c>
      <c r="E43" s="626">
        <v>0</v>
      </c>
      <c r="G43" s="619" t="str">
        <f t="shared" si="0"/>
        <v>ANO</v>
      </c>
    </row>
    <row r="44" spans="1:7" ht="21.95" customHeight="1">
      <c r="A44" s="2395" t="s">
        <v>3865</v>
      </c>
      <c r="B44" s="2395"/>
      <c r="C44" s="2396"/>
      <c r="D44" s="2396"/>
      <c r="E44" s="2396"/>
      <c r="G44" s="619" t="s">
        <v>3866</v>
      </c>
    </row>
    <row r="45" spans="1:7" ht="33" customHeight="1">
      <c r="A45" s="2395" t="s">
        <v>3867</v>
      </c>
      <c r="B45" s="2395"/>
      <c r="C45" s="2396"/>
      <c r="D45" s="2396"/>
      <c r="E45" s="2396"/>
      <c r="G45" s="619" t="s">
        <v>3866</v>
      </c>
    </row>
    <row r="46" spans="1:7" ht="21.95" customHeight="1">
      <c r="A46" s="2395" t="s">
        <v>3868</v>
      </c>
      <c r="B46" s="2395"/>
      <c r="C46" s="2396"/>
      <c r="D46" s="2396"/>
      <c r="E46" s="2396"/>
      <c r="G46" s="619" t="s">
        <v>3866</v>
      </c>
    </row>
    <row r="47" spans="1:7" ht="21.95" customHeight="1">
      <c r="A47" s="2395" t="s">
        <v>3869</v>
      </c>
      <c r="B47" s="2395"/>
      <c r="C47" s="2396"/>
      <c r="D47" s="2396"/>
      <c r="E47" s="2396"/>
      <c r="G47" s="619" t="s">
        <v>3866</v>
      </c>
    </row>
    <row r="48" spans="1:7" ht="21.95" customHeight="1">
      <c r="A48" s="2395" t="s">
        <v>3870</v>
      </c>
      <c r="B48" s="2395"/>
      <c r="C48" s="2396"/>
      <c r="D48" s="2396"/>
      <c r="E48" s="2396"/>
      <c r="G48" s="619" t="s">
        <v>3866</v>
      </c>
    </row>
    <row r="49" spans="1:7" ht="33" customHeight="1">
      <c r="A49" s="2397" t="s">
        <v>3871</v>
      </c>
      <c r="B49" s="2398"/>
      <c r="C49" s="2398"/>
      <c r="D49" s="2398"/>
      <c r="E49" s="2398"/>
      <c r="G49" s="619"/>
    </row>
    <row r="50" spans="1:7" ht="15.95" customHeight="1">
      <c r="A50" s="2391" t="s">
        <v>3872</v>
      </c>
      <c r="B50" s="2391"/>
      <c r="C50" s="2392"/>
      <c r="D50" s="2392"/>
      <c r="E50" s="2392"/>
      <c r="G50" s="619" t="s">
        <v>3866</v>
      </c>
    </row>
    <row r="51" spans="1:7" ht="15.95" customHeight="1">
      <c r="A51" s="2393" t="str">
        <f>+'DAP1'!A46</f>
        <v>Formulář zpracovala ASPEKT HM, daňová, účetní a auditorská kancelář, www.danovapriznani.cz, business.center.cz</v>
      </c>
      <c r="B51" s="2394"/>
      <c r="C51" s="2394"/>
      <c r="D51" s="2394"/>
      <c r="E51" s="2394"/>
      <c r="G51" s="619" t="s">
        <v>3866</v>
      </c>
    </row>
    <row r="52" spans="1:5" ht="12.75">
      <c r="A52" s="627"/>
      <c r="B52" s="608"/>
      <c r="C52" s="608"/>
      <c r="D52" s="608"/>
      <c r="E52" s="608"/>
    </row>
    <row r="53" spans="1:5" ht="12.75">
      <c r="A53" s="627"/>
      <c r="B53" s="608"/>
      <c r="C53" s="608"/>
      <c r="D53" s="608"/>
      <c r="E53" s="608"/>
    </row>
    <row r="54" spans="1:5" ht="12.75">
      <c r="A54" s="627"/>
      <c r="B54" s="608"/>
      <c r="C54" s="608"/>
      <c r="D54" s="608"/>
      <c r="E54" s="608"/>
    </row>
    <row r="55" spans="1:5" ht="12.75">
      <c r="A55" s="608"/>
      <c r="B55" s="608"/>
      <c r="C55" s="608"/>
      <c r="D55" s="608"/>
      <c r="E55" s="608"/>
    </row>
    <row r="56" spans="1:5" ht="12.75">
      <c r="A56" s="608"/>
      <c r="B56" s="608"/>
      <c r="C56" s="608"/>
      <c r="D56" s="608"/>
      <c r="E56" s="608"/>
    </row>
    <row r="57" spans="1:5" ht="12.75">
      <c r="A57" s="608"/>
      <c r="B57" s="608"/>
      <c r="C57" s="608"/>
      <c r="D57" s="608"/>
      <c r="E57" s="608"/>
    </row>
    <row r="58" spans="1:5" ht="12.75">
      <c r="A58" s="608"/>
      <c r="B58" s="608"/>
      <c r="C58" s="608"/>
      <c r="D58" s="608"/>
      <c r="E58" s="608"/>
    </row>
    <row r="59" spans="1:5" ht="12.75">
      <c r="A59" s="608"/>
      <c r="B59" s="608"/>
      <c r="C59" s="608"/>
      <c r="D59" s="608"/>
      <c r="E59" s="608"/>
    </row>
    <row r="60" spans="1:5" ht="12.75" hidden="1">
      <c r="A60" s="608" t="s">
        <v>258</v>
      </c>
      <c r="B60" s="608"/>
      <c r="C60" s="608"/>
      <c r="D60" s="608"/>
      <c r="E60" s="608"/>
    </row>
    <row r="61" spans="1:5" ht="12.75">
      <c r="A61" s="608"/>
      <c r="B61" s="608"/>
      <c r="C61" s="608"/>
      <c r="D61" s="608"/>
      <c r="E61" s="608"/>
    </row>
    <row r="62" spans="1:5" ht="12.75">
      <c r="A62" s="608"/>
      <c r="B62" s="608"/>
      <c r="C62" s="608"/>
      <c r="D62" s="608"/>
      <c r="E62" s="608"/>
    </row>
    <row r="63" spans="1:5" ht="12.75">
      <c r="A63" s="608"/>
      <c r="B63" s="608"/>
      <c r="C63" s="608"/>
      <c r="D63" s="608"/>
      <c r="E63" s="608"/>
    </row>
    <row r="64" spans="1:5" ht="12.75">
      <c r="A64" s="608"/>
      <c r="B64" s="608"/>
      <c r="C64" s="608"/>
      <c r="D64" s="608"/>
      <c r="E64" s="608"/>
    </row>
    <row r="65" spans="1:5" ht="12.75">
      <c r="A65" s="608"/>
      <c r="B65" s="608"/>
      <c r="C65" s="608"/>
      <c r="D65" s="608"/>
      <c r="E65" s="608"/>
    </row>
    <row r="66" spans="1:5" ht="12.75">
      <c r="A66" s="608"/>
      <c r="B66" s="608"/>
      <c r="C66" s="608"/>
      <c r="D66" s="608"/>
      <c r="E66" s="608"/>
    </row>
    <row r="67" spans="1:5" ht="12.75">
      <c r="A67" s="608"/>
      <c r="B67" s="608"/>
      <c r="C67" s="608"/>
      <c r="D67" s="608"/>
      <c r="E67" s="608"/>
    </row>
    <row r="68" spans="1:5" ht="12.75">
      <c r="A68" s="608"/>
      <c r="B68" s="608"/>
      <c r="C68" s="608"/>
      <c r="D68" s="608"/>
      <c r="E68" s="608"/>
    </row>
    <row r="69" spans="1:5" ht="12.75">
      <c r="A69" s="608"/>
      <c r="B69" s="608"/>
      <c r="C69" s="608"/>
      <c r="D69" s="608"/>
      <c r="E69" s="608"/>
    </row>
    <row r="70" spans="1:5" ht="12.75">
      <c r="A70" s="608"/>
      <c r="B70" s="608"/>
      <c r="C70" s="608"/>
      <c r="D70" s="608"/>
      <c r="E70" s="608"/>
    </row>
    <row r="71" spans="1:5" ht="12.75">
      <c r="A71" s="608"/>
      <c r="B71" s="608"/>
      <c r="C71" s="608"/>
      <c r="D71" s="608"/>
      <c r="E71" s="608"/>
    </row>
    <row r="72" spans="1:5" ht="12.75">
      <c r="A72" s="608"/>
      <c r="B72" s="608"/>
      <c r="C72" s="608"/>
      <c r="D72" s="608"/>
      <c r="E72" s="608"/>
    </row>
    <row r="73" spans="1:5" ht="12.75">
      <c r="A73" s="608"/>
      <c r="B73" s="608"/>
      <c r="C73" s="608"/>
      <c r="D73" s="608"/>
      <c r="E73" s="608"/>
    </row>
    <row r="74" spans="1:5" ht="12.75">
      <c r="A74" s="608"/>
      <c r="B74" s="608"/>
      <c r="C74" s="608"/>
      <c r="D74" s="608"/>
      <c r="E74" s="608"/>
    </row>
    <row r="75" spans="1:5" ht="12.75">
      <c r="A75" s="608"/>
      <c r="B75" s="608"/>
      <c r="C75" s="608"/>
      <c r="D75" s="608"/>
      <c r="E75" s="608"/>
    </row>
    <row r="76" spans="1:5" ht="12.75">
      <c r="A76" s="608"/>
      <c r="B76" s="608"/>
      <c r="C76" s="608"/>
      <c r="D76" s="608"/>
      <c r="E76" s="608"/>
    </row>
    <row r="77" spans="1:5" ht="12.75">
      <c r="A77" s="608"/>
      <c r="B77" s="608"/>
      <c r="C77" s="608"/>
      <c r="D77" s="608"/>
      <c r="E77" s="608"/>
    </row>
    <row r="78" spans="1:5" ht="12.75">
      <c r="A78" s="608"/>
      <c r="B78" s="608"/>
      <c r="C78" s="608"/>
      <c r="D78" s="608"/>
      <c r="E78" s="608"/>
    </row>
    <row r="79" spans="1:5" ht="12.75">
      <c r="A79" s="608"/>
      <c r="B79" s="608"/>
      <c r="C79" s="608"/>
      <c r="D79" s="608"/>
      <c r="E79" s="608"/>
    </row>
    <row r="80" spans="1:5" ht="12.75">
      <c r="A80" s="608"/>
      <c r="B80" s="608"/>
      <c r="C80" s="608"/>
      <c r="D80" s="608"/>
      <c r="E80" s="608"/>
    </row>
    <row r="81" spans="1:5" ht="12.75">
      <c r="A81" s="608"/>
      <c r="B81" s="608"/>
      <c r="C81" s="608"/>
      <c r="D81" s="608"/>
      <c r="E81" s="608"/>
    </row>
    <row r="82" spans="1:5" ht="12.75">
      <c r="A82" s="608"/>
      <c r="B82" s="608"/>
      <c r="C82" s="608"/>
      <c r="D82" s="608"/>
      <c r="E82" s="608"/>
    </row>
    <row r="83" spans="1:5" ht="12.75">
      <c r="A83" s="608"/>
      <c r="B83" s="608"/>
      <c r="C83" s="608"/>
      <c r="D83" s="608"/>
      <c r="E83" s="608"/>
    </row>
    <row r="84" spans="1:5" ht="12.75">
      <c r="A84" s="608"/>
      <c r="B84" s="608"/>
      <c r="C84" s="608"/>
      <c r="D84" s="608"/>
      <c r="E84" s="608"/>
    </row>
    <row r="85" spans="1:5" ht="12.75">
      <c r="A85" s="608"/>
      <c r="B85" s="608"/>
      <c r="C85" s="608"/>
      <c r="D85" s="608"/>
      <c r="E85" s="608"/>
    </row>
    <row r="86" spans="1:5" ht="12.75">
      <c r="A86" s="608"/>
      <c r="B86" s="608"/>
      <c r="C86" s="608"/>
      <c r="D86" s="608"/>
      <c r="E86" s="608"/>
    </row>
    <row r="87" spans="1:5" ht="12.75">
      <c r="A87" s="608"/>
      <c r="B87" s="608"/>
      <c r="C87" s="608"/>
      <c r="D87" s="608"/>
      <c r="E87" s="608"/>
    </row>
    <row r="88" spans="1:5" ht="12.75">
      <c r="A88" s="608"/>
      <c r="B88" s="608"/>
      <c r="C88" s="608"/>
      <c r="D88" s="608"/>
      <c r="E88" s="608"/>
    </row>
    <row r="89" spans="1:5" ht="12.75">
      <c r="A89" s="608"/>
      <c r="B89" s="608"/>
      <c r="C89" s="608"/>
      <c r="D89" s="608"/>
      <c r="E89" s="608"/>
    </row>
    <row r="90" spans="1:5" ht="12.75">
      <c r="A90" s="608"/>
      <c r="B90" s="608"/>
      <c r="C90" s="608"/>
      <c r="D90" s="608"/>
      <c r="E90" s="608"/>
    </row>
    <row r="91" spans="1:5" ht="12.75">
      <c r="A91" s="608"/>
      <c r="B91" s="608"/>
      <c r="C91" s="608"/>
      <c r="D91" s="608"/>
      <c r="E91" s="608"/>
    </row>
    <row r="92" spans="1:5" ht="12.75">
      <c r="A92" s="608"/>
      <c r="B92" s="608"/>
      <c r="C92" s="608"/>
      <c r="D92" s="608"/>
      <c r="E92" s="608"/>
    </row>
    <row r="93" spans="1:5" ht="12.75">
      <c r="A93" s="608"/>
      <c r="B93" s="608"/>
      <c r="C93" s="608"/>
      <c r="D93" s="608"/>
      <c r="E93" s="608"/>
    </row>
    <row r="94" spans="1:5" ht="12.75">
      <c r="A94" s="608"/>
      <c r="B94" s="608"/>
      <c r="C94" s="608"/>
      <c r="D94" s="608"/>
      <c r="E94" s="608"/>
    </row>
    <row r="95" spans="1:5" ht="12.75">
      <c r="A95" s="608"/>
      <c r="B95" s="608"/>
      <c r="C95" s="608"/>
      <c r="D95" s="608"/>
      <c r="E95" s="608"/>
    </row>
    <row r="96" spans="1:5" ht="12.75">
      <c r="A96" s="608"/>
      <c r="B96" s="608"/>
      <c r="C96" s="608"/>
      <c r="D96" s="608"/>
      <c r="E96" s="608"/>
    </row>
    <row r="97" spans="1:5" ht="12.75">
      <c r="A97" s="608"/>
      <c r="B97" s="608"/>
      <c r="C97" s="608"/>
      <c r="D97" s="608"/>
      <c r="E97" s="608"/>
    </row>
    <row r="98" spans="1:5" ht="12.75">
      <c r="A98" s="608"/>
      <c r="B98" s="608"/>
      <c r="C98" s="608"/>
      <c r="D98" s="608"/>
      <c r="E98" s="608"/>
    </row>
    <row r="99" spans="1:5" ht="12.75">
      <c r="A99" s="608"/>
      <c r="B99" s="608"/>
      <c r="C99" s="608"/>
      <c r="D99" s="608"/>
      <c r="E99" s="608"/>
    </row>
    <row r="100" spans="1:5" ht="12.75" hidden="1">
      <c r="A100" s="608">
        <f>+IF('DAP2'!E10&lt;0.5*'DAP2'!E16,+IF('DAP2'!E10/'DAP2'!E16&gt;0.15,0.5,1),0)</f>
        <v>0</v>
      </c>
      <c r="B100" s="608"/>
      <c r="C100" s="608"/>
      <c r="D100" s="608"/>
      <c r="E100" s="608"/>
    </row>
    <row r="101" spans="1:5" ht="12.75">
      <c r="A101" s="608"/>
      <c r="B101" s="608"/>
      <c r="C101" s="608"/>
      <c r="D101" s="608"/>
      <c r="E101" s="608"/>
    </row>
    <row r="102" spans="1:5" ht="12.75">
      <c r="A102" s="608"/>
      <c r="B102" s="608"/>
      <c r="C102" s="608"/>
      <c r="D102" s="608"/>
      <c r="E102" s="608"/>
    </row>
    <row r="103" spans="1:5" ht="12.75">
      <c r="A103" s="608"/>
      <c r="B103" s="608"/>
      <c r="C103" s="608"/>
      <c r="D103" s="608"/>
      <c r="E103" s="608"/>
    </row>
    <row r="104" spans="1:5" ht="12.75">
      <c r="A104" s="608"/>
      <c r="B104" s="608"/>
      <c r="C104" s="608"/>
      <c r="D104" s="608"/>
      <c r="E104" s="608"/>
    </row>
    <row r="105" spans="1:5" ht="12.75">
      <c r="A105" s="608"/>
      <c r="B105" s="608"/>
      <c r="C105" s="608"/>
      <c r="D105" s="608"/>
      <c r="E105" s="608"/>
    </row>
    <row r="106" spans="1:5" ht="12.75">
      <c r="A106" s="608"/>
      <c r="B106" s="608"/>
      <c r="C106" s="608"/>
      <c r="D106" s="608"/>
      <c r="E106" s="608"/>
    </row>
    <row r="107" spans="1:5" ht="12.75">
      <c r="A107" s="608"/>
      <c r="B107" s="608"/>
      <c r="C107" s="608"/>
      <c r="D107" s="608"/>
      <c r="E107" s="608"/>
    </row>
    <row r="108" spans="1:5" ht="12.75">
      <c r="A108" s="608"/>
      <c r="B108" s="608"/>
      <c r="C108" s="608"/>
      <c r="D108" s="608"/>
      <c r="E108" s="608"/>
    </row>
    <row r="109" spans="1:5" ht="12.75">
      <c r="A109" s="608"/>
      <c r="B109" s="608"/>
      <c r="C109" s="608"/>
      <c r="D109" s="608"/>
      <c r="E109" s="608"/>
    </row>
    <row r="110" spans="1:5" ht="12.75">
      <c r="A110" s="608"/>
      <c r="B110" s="608"/>
      <c r="C110" s="608"/>
      <c r="D110" s="608"/>
      <c r="E110" s="608"/>
    </row>
    <row r="111" spans="1:5" ht="12.75">
      <c r="A111" s="608"/>
      <c r="B111" s="608"/>
      <c r="C111" s="608"/>
      <c r="D111" s="608"/>
      <c r="E111" s="608"/>
    </row>
    <row r="112" spans="1:5" ht="12.75">
      <c r="A112" s="608"/>
      <c r="B112" s="608"/>
      <c r="C112" s="608"/>
      <c r="D112" s="608"/>
      <c r="E112" s="608"/>
    </row>
    <row r="113" spans="1:5" ht="12.75">
      <c r="A113" s="608"/>
      <c r="B113" s="608"/>
      <c r="C113" s="608"/>
      <c r="D113" s="608"/>
      <c r="E113" s="608"/>
    </row>
    <row r="114" spans="1:5" ht="12.75">
      <c r="A114" s="608"/>
      <c r="B114" s="608"/>
      <c r="C114" s="608"/>
      <c r="D114" s="608"/>
      <c r="E114" s="608"/>
    </row>
    <row r="115" spans="1:5" ht="12.75">
      <c r="A115" s="608"/>
      <c r="B115" s="608"/>
      <c r="C115" s="608"/>
      <c r="D115" s="608"/>
      <c r="E115" s="608"/>
    </row>
    <row r="116" spans="1:5" ht="12.75">
      <c r="A116" s="608"/>
      <c r="B116" s="608"/>
      <c r="C116" s="608"/>
      <c r="D116" s="608"/>
      <c r="E116" s="608"/>
    </row>
    <row r="117" spans="1:5" ht="12.75">
      <c r="A117" s="608"/>
      <c r="B117" s="608"/>
      <c r="C117" s="608"/>
      <c r="D117" s="608"/>
      <c r="E117" s="608"/>
    </row>
    <row r="118" spans="1:5" ht="12.75">
      <c r="A118" s="608"/>
      <c r="B118" s="608"/>
      <c r="C118" s="608"/>
      <c r="D118" s="608"/>
      <c r="E118" s="608"/>
    </row>
    <row r="119" spans="1:5" ht="12.75">
      <c r="A119" s="608"/>
      <c r="B119" s="608"/>
      <c r="C119" s="608"/>
      <c r="D119" s="608"/>
      <c r="E119" s="608"/>
    </row>
    <row r="120" spans="1:5" ht="12.75">
      <c r="A120" s="608"/>
      <c r="B120" s="608"/>
      <c r="C120" s="608"/>
      <c r="D120" s="608"/>
      <c r="E120" s="608"/>
    </row>
    <row r="121" spans="1:5" ht="12.75">
      <c r="A121" s="608"/>
      <c r="B121" s="608"/>
      <c r="C121" s="608"/>
      <c r="D121" s="608"/>
      <c r="E121" s="608"/>
    </row>
    <row r="122" s="608" customFormat="1" ht="12.75"/>
    <row r="123" s="608" customFormat="1" ht="12.75"/>
    <row r="124" s="608" customFormat="1" ht="12.75"/>
    <row r="125" s="608" customFormat="1" ht="12.75"/>
    <row r="126" s="608" customFormat="1" ht="12.75"/>
    <row r="127" s="608" customFormat="1" ht="12.75"/>
    <row r="128" s="608" customFormat="1" ht="12.75"/>
    <row r="129" s="608" customFormat="1" ht="12.75"/>
    <row r="130" s="608" customFormat="1" ht="12.75"/>
    <row r="131" s="608" customFormat="1" ht="12.75"/>
    <row r="132" s="608" customFormat="1" ht="12.75"/>
    <row r="133" s="608" customFormat="1" ht="12.75"/>
    <row r="134" s="608" customFormat="1" ht="12.75"/>
    <row r="135" s="608" customFormat="1" ht="12.75"/>
    <row r="136" s="608" customFormat="1" ht="12.75"/>
    <row r="137" s="608" customFormat="1" ht="12.75"/>
    <row r="138" s="608" customFormat="1" ht="12.75"/>
    <row r="139" s="608" customFormat="1" ht="12.75"/>
    <row r="140" s="608" customFormat="1" ht="12.75"/>
    <row r="141" s="608" customFormat="1" ht="12.75"/>
    <row r="142" s="608" customFormat="1" ht="12.75"/>
    <row r="143" s="608" customFormat="1" ht="12.75"/>
    <row r="144" s="608" customFormat="1" ht="12.75"/>
    <row r="145" s="608" customFormat="1" ht="12.75"/>
    <row r="146" s="608" customFormat="1" ht="12.75"/>
    <row r="147" s="608" customFormat="1" ht="12.75"/>
    <row r="148" s="608" customFormat="1" ht="12.75"/>
    <row r="149" s="608" customFormat="1" ht="12.75"/>
    <row r="150" s="608" customFormat="1" ht="12.75"/>
    <row r="151" s="608" customFormat="1" ht="12.75"/>
    <row r="152" s="608" customFormat="1" ht="12.75"/>
    <row r="153" s="608" customFormat="1" ht="12.75"/>
    <row r="154" s="608" customFormat="1" ht="12.75"/>
    <row r="155" s="608" customFormat="1" ht="12.75"/>
    <row r="156" s="608" customFormat="1" ht="12.75"/>
    <row r="157" s="608" customFormat="1" ht="12.75"/>
    <row r="158" s="608" customFormat="1" ht="12.75"/>
    <row r="159" s="608" customFormat="1" ht="12.75"/>
    <row r="160" s="608" customFormat="1" ht="12.75"/>
    <row r="161" s="608" customFormat="1" ht="12.75"/>
    <row r="162" s="608" customFormat="1" ht="12.75"/>
    <row r="163" s="608" customFormat="1" ht="12.75"/>
    <row r="164" s="608" customFormat="1" ht="12.75"/>
    <row r="165" s="608" customFormat="1" ht="12.75"/>
    <row r="166" s="608" customFormat="1" ht="12.75"/>
    <row r="167" s="608" customFormat="1" ht="12.75"/>
    <row r="168" s="608" customFormat="1" ht="12.75"/>
    <row r="169" s="608" customFormat="1" ht="12.75"/>
    <row r="170" s="608" customFormat="1" ht="12.75"/>
    <row r="171" s="608" customFormat="1" ht="12.75"/>
    <row r="172" s="608" customFormat="1" ht="12.75"/>
    <row r="173" s="608" customFormat="1" ht="12.75"/>
    <row r="174" s="608" customFormat="1" ht="12.75"/>
    <row r="175" s="608" customFormat="1" ht="12.75"/>
    <row r="176" s="608" customFormat="1" ht="12.75"/>
    <row r="177" s="608" customFormat="1" ht="12.75"/>
    <row r="178" s="608" customFormat="1" ht="12.75"/>
    <row r="179" s="608" customFormat="1" ht="12.75"/>
    <row r="180" s="608" customFormat="1" ht="12.75"/>
    <row r="181" s="608" customFormat="1" ht="12.75"/>
    <row r="182" s="608" customFormat="1" ht="12.75"/>
    <row r="183" s="608" customFormat="1" ht="12.75"/>
  </sheetData>
  <sheetProtection algorithmName="SHA-512" hashValue="oIteTtUAKtCKjDf1igqo/dceo97UUqc3L8oeJDtTvlFkCKQCqiOKIZAO2l+fzpv24jxXfgXe0hjyrzLahU4Gpg==" saltValue="TTXmkOCCAZEi9euBrgOkwQ==" spinCount="100000" sheet="1" autoFilter="0"/>
  <autoFilter ref="G8:G51"/>
  <mergeCells count="20"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G6:G7"/>
    <mergeCell ref="A7:E7"/>
    <mergeCell ref="A50:E50"/>
    <mergeCell ref="A51:E51"/>
    <mergeCell ref="A44:E44"/>
    <mergeCell ref="A45:E45"/>
    <mergeCell ref="A46:E46"/>
    <mergeCell ref="A47:E47"/>
    <mergeCell ref="A48:E48"/>
    <mergeCell ref="A49:E49"/>
  </mergeCells>
  <printOptions horizontalCentered="1"/>
  <pageMargins left="0.393700787401575" right="0.393700787401575" top="0.393700787401575" bottom="0.393700787401575" header="0.511811023622047" footer="0.511811023622047"/>
  <pageSetup orientation="portrait" paperSize="9" scale="91" r:id="rId3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CFF"/>
    <pageSetUpPr fitToPage="1"/>
  </sheetPr>
  <dimension ref="A1:M552"/>
  <sheetViews>
    <sheetView workbookViewId="0" topLeftCell="A1">
      <selection pane="topLeft" activeCell="B3" sqref="B3"/>
    </sheetView>
  </sheetViews>
  <sheetFormatPr defaultColWidth="9.14428571428571" defaultRowHeight="12.75"/>
  <cols>
    <col min="1" max="1" width="6.71428571428571" style="333" customWidth="1"/>
    <col min="2" max="2" width="36.5714285714286" style="333" customWidth="1"/>
    <col min="3" max="3" width="6.85714285714286" style="333" customWidth="1"/>
    <col min="4" max="7" width="9.14285714285714" style="333"/>
    <col min="8" max="8" width="6.71428571428571" style="333" customWidth="1"/>
    <col min="9" max="9" width="36.5714285714286" style="333" customWidth="1"/>
    <col min="10" max="10" width="6.85714285714286" style="333" customWidth="1"/>
    <col min="11" max="12" width="9.14285714285714" style="333"/>
    <col min="13" max="13" width="6.71428571428571" style="333" customWidth="1"/>
    <col min="14" max="59" width="9.14285714285714" style="332"/>
    <col min="60" max="16384" width="9.14285714285714" style="333"/>
  </cols>
  <sheetData>
    <row r="1" spans="1:13" ht="18">
      <c r="A1" s="458" t="s">
        <v>3454</v>
      </c>
      <c r="B1" s="459" t="s">
        <v>3756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</row>
    <row r="2" spans="1:13" ht="18">
      <c r="A2" s="460" t="s">
        <v>3455</v>
      </c>
      <c r="B2" s="459" t="s">
        <v>3952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</row>
    <row r="3" spans="1:13" ht="12.75">
      <c r="A3" s="460" t="s">
        <v>3455</v>
      </c>
      <c r="B3" s="461" t="s">
        <v>3540</v>
      </c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13" ht="12.75">
      <c r="A4" s="460" t="s">
        <v>3455</v>
      </c>
      <c r="B4" s="462" t="s">
        <v>3757</v>
      </c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</row>
    <row r="5" spans="1:13" ht="12.75">
      <c r="A5" s="460" t="s">
        <v>3455</v>
      </c>
      <c r="B5" s="462" t="s">
        <v>3758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</row>
    <row r="6" spans="1:13" ht="13.5" thickBot="1">
      <c r="A6" s="460" t="s">
        <v>3455</v>
      </c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</row>
    <row r="7" spans="1:13" ht="25.5">
      <c r="A7" s="460" t="s">
        <v>3455</v>
      </c>
      <c r="B7" s="463" t="s">
        <v>3456</v>
      </c>
      <c r="C7" s="464"/>
      <c r="D7" s="464"/>
      <c r="E7" s="464"/>
      <c r="F7" s="464"/>
      <c r="G7" s="464"/>
      <c r="H7" s="464"/>
      <c r="I7" s="464"/>
      <c r="J7" s="464"/>
      <c r="K7" s="464"/>
      <c r="L7" s="465"/>
      <c r="M7" s="460"/>
    </row>
    <row r="8" spans="1:13" ht="0.75" customHeight="1" thickBot="1">
      <c r="A8" s="460" t="s">
        <v>3455</v>
      </c>
      <c r="B8" s="466"/>
      <c r="C8" s="467"/>
      <c r="D8" s="467"/>
      <c r="E8" s="467"/>
      <c r="F8" s="467"/>
      <c r="G8" s="467"/>
      <c r="H8" s="467"/>
      <c r="I8" s="467"/>
      <c r="J8" s="467"/>
      <c r="K8" s="467"/>
      <c r="L8" s="468"/>
      <c r="M8" s="460"/>
    </row>
    <row r="9" spans="1:13" ht="0.75" customHeight="1" thickBot="1">
      <c r="A9" s="460" t="s">
        <v>3455</v>
      </c>
      <c r="B9" s="469"/>
      <c r="C9" s="464"/>
      <c r="D9" s="464"/>
      <c r="E9" s="464"/>
      <c r="F9" s="464"/>
      <c r="G9" s="465"/>
      <c r="H9" s="470"/>
      <c r="I9" s="469"/>
      <c r="J9" s="464"/>
      <c r="K9" s="464"/>
      <c r="L9" s="465"/>
      <c r="M9" s="460"/>
    </row>
    <row r="10" spans="1:13" ht="20.25">
      <c r="A10" s="460" t="s">
        <v>3455</v>
      </c>
      <c r="B10" s="471" t="s">
        <v>3457</v>
      </c>
      <c r="C10" s="472"/>
      <c r="D10" s="472"/>
      <c r="E10" s="472"/>
      <c r="F10" s="472"/>
      <c r="G10" s="473"/>
      <c r="H10" s="474"/>
      <c r="I10" s="475" t="s">
        <v>3458</v>
      </c>
      <c r="J10" s="476"/>
      <c r="K10" s="476"/>
      <c r="L10" s="477"/>
      <c r="M10" s="460"/>
    </row>
    <row r="11" spans="1:13" ht="0.75" customHeight="1" thickBot="1">
      <c r="A11" s="460" t="s">
        <v>3455</v>
      </c>
      <c r="B11" s="478"/>
      <c r="C11" s="479"/>
      <c r="D11" s="479"/>
      <c r="E11" s="479"/>
      <c r="F11" s="479"/>
      <c r="G11" s="480"/>
      <c r="H11" s="460"/>
      <c r="I11" s="481"/>
      <c r="J11" s="482"/>
      <c r="K11" s="482"/>
      <c r="L11" s="483"/>
      <c r="M11" s="460"/>
    </row>
    <row r="12" spans="1:13" ht="12.75">
      <c r="A12" s="460" t="s">
        <v>3455</v>
      </c>
      <c r="B12" s="484"/>
      <c r="C12" s="485"/>
      <c r="D12" s="486"/>
      <c r="E12" s="486"/>
      <c r="F12" s="486"/>
      <c r="G12" s="487"/>
      <c r="H12" s="488"/>
      <c r="I12" s="489"/>
      <c r="J12" s="490"/>
      <c r="K12" s="491"/>
      <c r="L12" s="492"/>
      <c r="M12" s="460"/>
    </row>
    <row r="13" spans="1:13" ht="12.75">
      <c r="A13" s="460" t="s">
        <v>3455</v>
      </c>
      <c r="B13" s="493"/>
      <c r="C13" s="494"/>
      <c r="D13" s="495"/>
      <c r="E13" s="495"/>
      <c r="F13" s="495"/>
      <c r="G13" s="496"/>
      <c r="H13" s="488"/>
      <c r="I13" s="493"/>
      <c r="J13" s="490"/>
      <c r="K13" s="491"/>
      <c r="L13" s="492"/>
      <c r="M13" s="460"/>
    </row>
    <row r="14" spans="1:13" ht="12.75">
      <c r="A14" s="460" t="s">
        <v>3455</v>
      </c>
      <c r="B14" s="493"/>
      <c r="C14" s="494"/>
      <c r="D14" s="495"/>
      <c r="E14" s="495"/>
      <c r="F14" s="495"/>
      <c r="G14" s="496"/>
      <c r="H14" s="488"/>
      <c r="I14" s="493"/>
      <c r="J14" s="490"/>
      <c r="K14" s="491"/>
      <c r="L14" s="492"/>
      <c r="M14" s="460"/>
    </row>
    <row r="15" spans="1:13" ht="12.75">
      <c r="A15" s="460" t="s">
        <v>3455</v>
      </c>
      <c r="B15" s="493"/>
      <c r="C15" s="494"/>
      <c r="D15" s="495"/>
      <c r="E15" s="495"/>
      <c r="F15" s="495"/>
      <c r="G15" s="496"/>
      <c r="H15" s="488"/>
      <c r="I15" s="493"/>
      <c r="J15" s="490"/>
      <c r="K15" s="491"/>
      <c r="L15" s="492"/>
      <c r="M15" s="460"/>
    </row>
    <row r="16" spans="1:13" ht="12.75">
      <c r="A16" s="460" t="s">
        <v>3455</v>
      </c>
      <c r="B16" s="493"/>
      <c r="C16" s="494"/>
      <c r="D16" s="495"/>
      <c r="E16" s="495"/>
      <c r="F16" s="495"/>
      <c r="G16" s="496"/>
      <c r="H16" s="488"/>
      <c r="I16" s="493"/>
      <c r="J16" s="490"/>
      <c r="K16" s="491"/>
      <c r="L16" s="492"/>
      <c r="M16" s="460"/>
    </row>
    <row r="17" spans="1:13" ht="12.75">
      <c r="A17" s="460" t="s">
        <v>3455</v>
      </c>
      <c r="B17" s="493"/>
      <c r="C17" s="494"/>
      <c r="D17" s="495"/>
      <c r="E17" s="495"/>
      <c r="F17" s="495"/>
      <c r="G17" s="496"/>
      <c r="H17" s="488"/>
      <c r="I17" s="493"/>
      <c r="J17" s="490"/>
      <c r="K17" s="491"/>
      <c r="L17" s="492"/>
      <c r="M17" s="460"/>
    </row>
    <row r="18" spans="1:13" ht="12.75">
      <c r="A18" s="460" t="s">
        <v>3455</v>
      </c>
      <c r="B18" s="493"/>
      <c r="C18" s="494"/>
      <c r="D18" s="495"/>
      <c r="E18" s="495"/>
      <c r="F18" s="495"/>
      <c r="G18" s="496"/>
      <c r="H18" s="488"/>
      <c r="I18" s="493"/>
      <c r="J18" s="490"/>
      <c r="K18" s="491"/>
      <c r="L18" s="492"/>
      <c r="M18" s="460"/>
    </row>
    <row r="19" spans="1:13" ht="12.75">
      <c r="A19" s="460" t="s">
        <v>3455</v>
      </c>
      <c r="B19" s="493"/>
      <c r="C19" s="494"/>
      <c r="D19" s="495"/>
      <c r="E19" s="495"/>
      <c r="F19" s="495"/>
      <c r="G19" s="496"/>
      <c r="H19" s="488"/>
      <c r="I19" s="493"/>
      <c r="J19" s="490"/>
      <c r="K19" s="491"/>
      <c r="L19" s="492"/>
      <c r="M19" s="460"/>
    </row>
    <row r="20" spans="1:13" ht="12.75">
      <c r="A20" s="460" t="s">
        <v>3455</v>
      </c>
      <c r="B20" s="493"/>
      <c r="C20" s="494"/>
      <c r="D20" s="495"/>
      <c r="E20" s="495"/>
      <c r="F20" s="495"/>
      <c r="G20" s="496"/>
      <c r="H20" s="488"/>
      <c r="I20" s="493"/>
      <c r="J20" s="490"/>
      <c r="K20" s="491"/>
      <c r="L20" s="492"/>
      <c r="M20" s="460"/>
    </row>
    <row r="21" spans="1:13" ht="12.75">
      <c r="A21" s="460" t="s">
        <v>3455</v>
      </c>
      <c r="B21" s="493"/>
      <c r="C21" s="494"/>
      <c r="D21" s="495"/>
      <c r="E21" s="495"/>
      <c r="F21" s="495"/>
      <c r="G21" s="496"/>
      <c r="H21" s="488"/>
      <c r="I21" s="493"/>
      <c r="J21" s="490"/>
      <c r="K21" s="491"/>
      <c r="L21" s="492"/>
      <c r="M21" s="460"/>
    </row>
    <row r="22" spans="1:13" ht="12.75">
      <c r="A22" s="460" t="s">
        <v>3455</v>
      </c>
      <c r="B22" s="493"/>
      <c r="C22" s="494"/>
      <c r="D22" s="495"/>
      <c r="E22" s="495"/>
      <c r="F22" s="495"/>
      <c r="G22" s="496"/>
      <c r="H22" s="488"/>
      <c r="I22" s="493"/>
      <c r="J22" s="490"/>
      <c r="K22" s="491"/>
      <c r="L22" s="492"/>
      <c r="M22" s="460"/>
    </row>
    <row r="23" spans="1:13" ht="12.75">
      <c r="A23" s="460" t="s">
        <v>3455</v>
      </c>
      <c r="B23" s="493"/>
      <c r="C23" s="494"/>
      <c r="D23" s="495"/>
      <c r="E23" s="495"/>
      <c r="F23" s="495"/>
      <c r="G23" s="496"/>
      <c r="H23" s="488"/>
      <c r="I23" s="493"/>
      <c r="J23" s="490"/>
      <c r="K23" s="491"/>
      <c r="L23" s="492"/>
      <c r="M23" s="460"/>
    </row>
    <row r="24" spans="1:13" ht="12.75">
      <c r="A24" s="460" t="s">
        <v>3455</v>
      </c>
      <c r="B24" s="493"/>
      <c r="C24" s="494"/>
      <c r="D24" s="495"/>
      <c r="E24" s="495"/>
      <c r="F24" s="495"/>
      <c r="G24" s="496"/>
      <c r="H24" s="488"/>
      <c r="I24" s="493"/>
      <c r="J24" s="490"/>
      <c r="K24" s="491"/>
      <c r="L24" s="492"/>
      <c r="M24" s="460"/>
    </row>
    <row r="25" spans="1:13" ht="12.75">
      <c r="A25" s="460" t="s">
        <v>3455</v>
      </c>
      <c r="B25" s="493"/>
      <c r="C25" s="494"/>
      <c r="D25" s="495"/>
      <c r="E25" s="495"/>
      <c r="F25" s="495"/>
      <c r="G25" s="496"/>
      <c r="H25" s="488"/>
      <c r="I25" s="493"/>
      <c r="J25" s="490"/>
      <c r="K25" s="491"/>
      <c r="L25" s="492"/>
      <c r="M25" s="460"/>
    </row>
    <row r="26" spans="1:13" ht="12.75">
      <c r="A26" s="460" t="s">
        <v>3455</v>
      </c>
      <c r="B26" s="493"/>
      <c r="C26" s="494"/>
      <c r="D26" s="495"/>
      <c r="E26" s="495"/>
      <c r="F26" s="495"/>
      <c r="G26" s="496"/>
      <c r="H26" s="488"/>
      <c r="I26" s="493"/>
      <c r="J26" s="490"/>
      <c r="K26" s="491"/>
      <c r="L26" s="492"/>
      <c r="M26" s="460"/>
    </row>
    <row r="27" spans="1:13" ht="12.75">
      <c r="A27" s="460" t="s">
        <v>3455</v>
      </c>
      <c r="B27" s="493"/>
      <c r="C27" s="494"/>
      <c r="D27" s="495"/>
      <c r="E27" s="495"/>
      <c r="F27" s="495"/>
      <c r="G27" s="496"/>
      <c r="H27" s="488"/>
      <c r="I27" s="493"/>
      <c r="J27" s="490"/>
      <c r="K27" s="491"/>
      <c r="L27" s="492"/>
      <c r="M27" s="460"/>
    </row>
    <row r="28" spans="1:13" ht="12.75">
      <c r="A28" s="460" t="s">
        <v>3455</v>
      </c>
      <c r="B28" s="493"/>
      <c r="C28" s="494"/>
      <c r="D28" s="495"/>
      <c r="E28" s="495"/>
      <c r="F28" s="495"/>
      <c r="G28" s="496"/>
      <c r="H28" s="488"/>
      <c r="I28" s="493"/>
      <c r="J28" s="490"/>
      <c r="K28" s="491"/>
      <c r="L28" s="492"/>
      <c r="M28" s="460"/>
    </row>
    <row r="29" spans="1:13" ht="12.75">
      <c r="A29" s="460" t="s">
        <v>3455</v>
      </c>
      <c r="B29" s="493"/>
      <c r="C29" s="494"/>
      <c r="D29" s="495"/>
      <c r="E29" s="495"/>
      <c r="F29" s="495"/>
      <c r="G29" s="496"/>
      <c r="H29" s="488"/>
      <c r="I29" s="493"/>
      <c r="J29" s="490"/>
      <c r="K29" s="491"/>
      <c r="L29" s="492"/>
      <c r="M29" s="460"/>
    </row>
    <row r="30" spans="1:13" ht="12.75">
      <c r="A30" s="460" t="s">
        <v>3455</v>
      </c>
      <c r="B30" s="493"/>
      <c r="C30" s="494"/>
      <c r="D30" s="495"/>
      <c r="E30" s="495"/>
      <c r="F30" s="495"/>
      <c r="G30" s="496"/>
      <c r="H30" s="488"/>
      <c r="I30" s="493"/>
      <c r="J30" s="490"/>
      <c r="K30" s="491"/>
      <c r="L30" s="492"/>
      <c r="M30" s="460"/>
    </row>
    <row r="31" spans="1:13" ht="12.75">
      <c r="A31" s="460" t="s">
        <v>3455</v>
      </c>
      <c r="B31" s="493"/>
      <c r="C31" s="494"/>
      <c r="D31" s="495"/>
      <c r="E31" s="495"/>
      <c r="F31" s="495"/>
      <c r="G31" s="496"/>
      <c r="H31" s="488"/>
      <c r="I31" s="493"/>
      <c r="J31" s="490"/>
      <c r="K31" s="491"/>
      <c r="L31" s="492"/>
      <c r="M31" s="460"/>
    </row>
    <row r="32" spans="1:13" ht="12.75">
      <c r="A32" s="460" t="s">
        <v>3455</v>
      </c>
      <c r="B32" s="493"/>
      <c r="C32" s="494"/>
      <c r="D32" s="495"/>
      <c r="E32" s="495"/>
      <c r="F32" s="495"/>
      <c r="G32" s="496"/>
      <c r="H32" s="488"/>
      <c r="I32" s="493"/>
      <c r="J32" s="490"/>
      <c r="K32" s="491"/>
      <c r="L32" s="492"/>
      <c r="M32" s="460"/>
    </row>
    <row r="33" spans="1:13" ht="12.75">
      <c r="A33" s="460" t="s">
        <v>3455</v>
      </c>
      <c r="B33" s="493"/>
      <c r="C33" s="494"/>
      <c r="D33" s="495"/>
      <c r="E33" s="495"/>
      <c r="F33" s="495"/>
      <c r="G33" s="496"/>
      <c r="H33" s="488"/>
      <c r="I33" s="493"/>
      <c r="J33" s="497"/>
      <c r="K33" s="491"/>
      <c r="L33" s="492"/>
      <c r="M33" s="460"/>
    </row>
    <row r="34" spans="1:13" ht="12.75">
      <c r="A34" s="460" t="s">
        <v>3455</v>
      </c>
      <c r="B34" s="493"/>
      <c r="C34" s="494"/>
      <c r="D34" s="495"/>
      <c r="E34" s="495"/>
      <c r="F34" s="495"/>
      <c r="G34" s="496"/>
      <c r="H34" s="488"/>
      <c r="I34" s="493"/>
      <c r="J34" s="497"/>
      <c r="K34" s="491"/>
      <c r="L34" s="492"/>
      <c r="M34" s="460"/>
    </row>
    <row r="35" spans="1:13" ht="12.75">
      <c r="A35" s="460" t="s">
        <v>3455</v>
      </c>
      <c r="B35" s="493"/>
      <c r="C35" s="494"/>
      <c r="D35" s="495"/>
      <c r="E35" s="495"/>
      <c r="F35" s="495"/>
      <c r="G35" s="496"/>
      <c r="H35" s="488"/>
      <c r="I35" s="493"/>
      <c r="J35" s="497"/>
      <c r="K35" s="491"/>
      <c r="L35" s="492"/>
      <c r="M35" s="460"/>
    </row>
    <row r="36" spans="1:13" ht="12.75">
      <c r="A36" s="460" t="s">
        <v>3455</v>
      </c>
      <c r="B36" s="493"/>
      <c r="C36" s="494"/>
      <c r="D36" s="495"/>
      <c r="E36" s="495"/>
      <c r="F36" s="495"/>
      <c r="G36" s="496"/>
      <c r="H36" s="488"/>
      <c r="I36" s="493"/>
      <c r="J36" s="497"/>
      <c r="K36" s="491"/>
      <c r="L36" s="492"/>
      <c r="M36" s="460"/>
    </row>
    <row r="37" spans="1:13" ht="12.75">
      <c r="A37" s="460" t="s">
        <v>3455</v>
      </c>
      <c r="B37" s="493"/>
      <c r="C37" s="494"/>
      <c r="D37" s="495"/>
      <c r="E37" s="495"/>
      <c r="F37" s="495"/>
      <c r="G37" s="496"/>
      <c r="H37" s="488"/>
      <c r="I37" s="493"/>
      <c r="J37" s="497"/>
      <c r="K37" s="491"/>
      <c r="L37" s="492"/>
      <c r="M37" s="460"/>
    </row>
    <row r="38" spans="1:13" ht="12.75">
      <c r="A38" s="460" t="s">
        <v>3455</v>
      </c>
      <c r="B38" s="493"/>
      <c r="C38" s="494"/>
      <c r="D38" s="495"/>
      <c r="E38" s="495"/>
      <c r="F38" s="495"/>
      <c r="G38" s="496"/>
      <c r="H38" s="488"/>
      <c r="I38" s="493"/>
      <c r="J38" s="497"/>
      <c r="K38" s="491"/>
      <c r="L38" s="492"/>
      <c r="M38" s="460"/>
    </row>
    <row r="39" spans="1:13" ht="12.75">
      <c r="A39" s="460" t="s">
        <v>3455</v>
      </c>
      <c r="B39" s="493"/>
      <c r="C39" s="494"/>
      <c r="D39" s="495"/>
      <c r="E39" s="495"/>
      <c r="F39" s="495"/>
      <c r="G39" s="496"/>
      <c r="H39" s="488"/>
      <c r="I39" s="493"/>
      <c r="J39" s="497"/>
      <c r="K39" s="491"/>
      <c r="L39" s="492"/>
      <c r="M39" s="460"/>
    </row>
    <row r="40" spans="1:13" ht="12.75">
      <c r="A40" s="460" t="s">
        <v>3455</v>
      </c>
      <c r="B40" s="493"/>
      <c r="C40" s="494"/>
      <c r="D40" s="495"/>
      <c r="E40" s="495"/>
      <c r="F40" s="495"/>
      <c r="G40" s="496"/>
      <c r="H40" s="488"/>
      <c r="I40" s="493"/>
      <c r="J40" s="497"/>
      <c r="K40" s="491"/>
      <c r="L40" s="492"/>
      <c r="M40" s="460"/>
    </row>
    <row r="41" spans="1:13" ht="12.75">
      <c r="A41" s="460" t="s">
        <v>3455</v>
      </c>
      <c r="B41" s="493"/>
      <c r="C41" s="494"/>
      <c r="D41" s="495"/>
      <c r="E41" s="495"/>
      <c r="F41" s="495"/>
      <c r="G41" s="496"/>
      <c r="H41" s="488"/>
      <c r="I41" s="493"/>
      <c r="J41" s="497"/>
      <c r="K41" s="491"/>
      <c r="L41" s="492"/>
      <c r="M41" s="460"/>
    </row>
    <row r="42" spans="1:13" ht="12.75">
      <c r="A42" s="460" t="s">
        <v>3455</v>
      </c>
      <c r="B42" s="493"/>
      <c r="C42" s="494"/>
      <c r="D42" s="495"/>
      <c r="E42" s="495"/>
      <c r="F42" s="495"/>
      <c r="G42" s="496"/>
      <c r="H42" s="488"/>
      <c r="I42" s="493"/>
      <c r="J42" s="497"/>
      <c r="K42" s="491"/>
      <c r="L42" s="492"/>
      <c r="M42" s="460"/>
    </row>
    <row r="43" spans="1:13" ht="12.75">
      <c r="A43" s="460" t="s">
        <v>3455</v>
      </c>
      <c r="B43" s="493"/>
      <c r="C43" s="494"/>
      <c r="D43" s="495"/>
      <c r="E43" s="495"/>
      <c r="F43" s="495"/>
      <c r="G43" s="496"/>
      <c r="H43" s="488"/>
      <c r="I43" s="493"/>
      <c r="J43" s="497"/>
      <c r="K43" s="491"/>
      <c r="L43" s="492"/>
      <c r="M43" s="460"/>
    </row>
    <row r="44" spans="1:13" ht="12.75">
      <c r="A44" s="460" t="s">
        <v>3455</v>
      </c>
      <c r="B44" s="493"/>
      <c r="C44" s="494"/>
      <c r="D44" s="495"/>
      <c r="E44" s="495"/>
      <c r="F44" s="495"/>
      <c r="G44" s="496"/>
      <c r="H44" s="488"/>
      <c r="I44" s="493"/>
      <c r="J44" s="497"/>
      <c r="K44" s="491"/>
      <c r="L44" s="492"/>
      <c r="M44" s="460"/>
    </row>
    <row r="45" spans="1:13" ht="12.75">
      <c r="A45" s="460" t="s">
        <v>3455</v>
      </c>
      <c r="B45" s="493"/>
      <c r="C45" s="494"/>
      <c r="D45" s="495"/>
      <c r="E45" s="495"/>
      <c r="F45" s="495"/>
      <c r="G45" s="496"/>
      <c r="H45" s="488"/>
      <c r="I45" s="493"/>
      <c r="J45" s="497"/>
      <c r="K45" s="491"/>
      <c r="L45" s="492"/>
      <c r="M45" s="460"/>
    </row>
    <row r="46" spans="1:13" ht="12.75">
      <c r="A46" s="460" t="s">
        <v>3455</v>
      </c>
      <c r="B46" s="493"/>
      <c r="C46" s="494"/>
      <c r="D46" s="495"/>
      <c r="E46" s="495"/>
      <c r="F46" s="495"/>
      <c r="G46" s="496"/>
      <c r="H46" s="488"/>
      <c r="I46" s="493"/>
      <c r="J46" s="497"/>
      <c r="K46" s="491"/>
      <c r="L46" s="492"/>
      <c r="M46" s="460"/>
    </row>
    <row r="47" spans="1:13" ht="12.75">
      <c r="A47" s="460" t="s">
        <v>3455</v>
      </c>
      <c r="B47" s="493"/>
      <c r="C47" s="494"/>
      <c r="D47" s="495"/>
      <c r="E47" s="495"/>
      <c r="F47" s="495"/>
      <c r="G47" s="496"/>
      <c r="H47" s="488"/>
      <c r="I47" s="493"/>
      <c r="J47" s="497"/>
      <c r="K47" s="491"/>
      <c r="L47" s="492"/>
      <c r="M47" s="460"/>
    </row>
    <row r="48" spans="1:13" ht="12.75">
      <c r="A48" s="460" t="s">
        <v>3455</v>
      </c>
      <c r="B48" s="493"/>
      <c r="C48" s="494"/>
      <c r="D48" s="495"/>
      <c r="E48" s="495"/>
      <c r="F48" s="495"/>
      <c r="G48" s="496"/>
      <c r="H48" s="488"/>
      <c r="I48" s="493"/>
      <c r="J48" s="497"/>
      <c r="K48" s="491"/>
      <c r="L48" s="492"/>
      <c r="M48" s="460"/>
    </row>
    <row r="49" spans="1:13" ht="12.75">
      <c r="A49" s="460" t="s">
        <v>3455</v>
      </c>
      <c r="B49" s="493"/>
      <c r="C49" s="494"/>
      <c r="D49" s="495"/>
      <c r="E49" s="495"/>
      <c r="F49" s="495"/>
      <c r="G49" s="496"/>
      <c r="H49" s="488"/>
      <c r="I49" s="493"/>
      <c r="J49" s="497"/>
      <c r="K49" s="491"/>
      <c r="L49" s="492"/>
      <c r="M49" s="460"/>
    </row>
    <row r="50" spans="1:13" ht="12.75">
      <c r="A50" s="460" t="s">
        <v>3455</v>
      </c>
      <c r="B50" s="493"/>
      <c r="C50" s="494"/>
      <c r="D50" s="495"/>
      <c r="E50" s="495"/>
      <c r="F50" s="495"/>
      <c r="G50" s="496"/>
      <c r="H50" s="488"/>
      <c r="I50" s="493"/>
      <c r="J50" s="497"/>
      <c r="K50" s="491"/>
      <c r="L50" s="492"/>
      <c r="M50" s="460"/>
    </row>
    <row r="51" spans="1:13" ht="12.75">
      <c r="A51" s="460" t="s">
        <v>3455</v>
      </c>
      <c r="B51" s="493"/>
      <c r="C51" s="494"/>
      <c r="D51" s="495"/>
      <c r="E51" s="495"/>
      <c r="F51" s="495"/>
      <c r="G51" s="496"/>
      <c r="H51" s="488"/>
      <c r="I51" s="493"/>
      <c r="J51" s="497"/>
      <c r="K51" s="491"/>
      <c r="L51" s="492"/>
      <c r="M51" s="460"/>
    </row>
    <row r="52" spans="1:13" ht="12.75">
      <c r="A52" s="460" t="s">
        <v>3455</v>
      </c>
      <c r="B52" s="493"/>
      <c r="C52" s="494"/>
      <c r="D52" s="495"/>
      <c r="E52" s="495"/>
      <c r="F52" s="495"/>
      <c r="G52" s="496"/>
      <c r="H52" s="488"/>
      <c r="I52" s="493"/>
      <c r="J52" s="497"/>
      <c r="K52" s="491"/>
      <c r="L52" s="492"/>
      <c r="M52" s="460"/>
    </row>
    <row r="53" spans="1:13" ht="12.75">
      <c r="A53" s="460" t="s">
        <v>3455</v>
      </c>
      <c r="B53" s="493"/>
      <c r="C53" s="494"/>
      <c r="D53" s="495"/>
      <c r="E53" s="495"/>
      <c r="F53" s="495"/>
      <c r="G53" s="496"/>
      <c r="H53" s="488"/>
      <c r="I53" s="493"/>
      <c r="J53" s="497"/>
      <c r="K53" s="491"/>
      <c r="L53" s="492"/>
      <c r="M53" s="460"/>
    </row>
    <row r="54" spans="1:13" ht="12.75">
      <c r="A54" s="460" t="s">
        <v>3455</v>
      </c>
      <c r="B54" s="493"/>
      <c r="C54" s="494"/>
      <c r="D54" s="495"/>
      <c r="E54" s="495"/>
      <c r="F54" s="495"/>
      <c r="G54" s="496"/>
      <c r="H54" s="488"/>
      <c r="I54" s="493"/>
      <c r="J54" s="497"/>
      <c r="K54" s="491"/>
      <c r="L54" s="492"/>
      <c r="M54" s="460"/>
    </row>
    <row r="55" spans="1:13" ht="12.75">
      <c r="A55" s="460" t="s">
        <v>3455</v>
      </c>
      <c r="B55" s="493"/>
      <c r="C55" s="494"/>
      <c r="D55" s="495"/>
      <c r="E55" s="495"/>
      <c r="F55" s="495"/>
      <c r="G55" s="496"/>
      <c r="H55" s="488"/>
      <c r="I55" s="493"/>
      <c r="J55" s="497"/>
      <c r="K55" s="491"/>
      <c r="L55" s="492"/>
      <c r="M55" s="460"/>
    </row>
    <row r="56" spans="1:13" ht="12.75">
      <c r="A56" s="460" t="s">
        <v>3455</v>
      </c>
      <c r="B56" s="493"/>
      <c r="C56" s="494"/>
      <c r="D56" s="495"/>
      <c r="E56" s="495"/>
      <c r="F56" s="495"/>
      <c r="G56" s="496"/>
      <c r="H56" s="488"/>
      <c r="I56" s="493"/>
      <c r="J56" s="497"/>
      <c r="K56" s="491"/>
      <c r="L56" s="492"/>
      <c r="M56" s="460"/>
    </row>
    <row r="57" spans="1:13" ht="12.75">
      <c r="A57" s="460" t="s">
        <v>3455</v>
      </c>
      <c r="B57" s="493"/>
      <c r="C57" s="494"/>
      <c r="D57" s="495"/>
      <c r="E57" s="495"/>
      <c r="F57" s="495"/>
      <c r="G57" s="496"/>
      <c r="H57" s="488"/>
      <c r="I57" s="493"/>
      <c r="J57" s="497"/>
      <c r="K57" s="491"/>
      <c r="L57" s="492"/>
      <c r="M57" s="460"/>
    </row>
    <row r="58" spans="1:13" ht="12.75">
      <c r="A58" s="460" t="s">
        <v>3455</v>
      </c>
      <c r="B58" s="493"/>
      <c r="C58" s="494"/>
      <c r="D58" s="495"/>
      <c r="E58" s="495"/>
      <c r="F58" s="495"/>
      <c r="G58" s="496"/>
      <c r="H58" s="488"/>
      <c r="I58" s="493"/>
      <c r="J58" s="497"/>
      <c r="K58" s="491"/>
      <c r="L58" s="492"/>
      <c r="M58" s="460"/>
    </row>
    <row r="59" spans="1:13" ht="12.75">
      <c r="A59" s="460" t="s">
        <v>3455</v>
      </c>
      <c r="B59" s="493"/>
      <c r="C59" s="494"/>
      <c r="D59" s="495"/>
      <c r="E59" s="495"/>
      <c r="F59" s="495"/>
      <c r="G59" s="496"/>
      <c r="H59" s="488"/>
      <c r="I59" s="493"/>
      <c r="J59" s="497"/>
      <c r="K59" s="491"/>
      <c r="L59" s="492"/>
      <c r="M59" s="460"/>
    </row>
    <row r="60" spans="1:13" ht="12.75">
      <c r="A60" s="460" t="s">
        <v>3455</v>
      </c>
      <c r="B60" s="493"/>
      <c r="C60" s="494"/>
      <c r="D60" s="495"/>
      <c r="E60" s="495"/>
      <c r="F60" s="495"/>
      <c r="G60" s="496"/>
      <c r="H60" s="488"/>
      <c r="I60" s="493"/>
      <c r="J60" s="497"/>
      <c r="K60" s="491"/>
      <c r="L60" s="492"/>
      <c r="M60" s="460"/>
    </row>
    <row r="61" spans="1:13" ht="12.75">
      <c r="A61" s="460" t="s">
        <v>3455</v>
      </c>
      <c r="B61" s="493"/>
      <c r="C61" s="494"/>
      <c r="D61" s="495"/>
      <c r="E61" s="495"/>
      <c r="F61" s="495"/>
      <c r="G61" s="496"/>
      <c r="H61" s="488"/>
      <c r="I61" s="493"/>
      <c r="J61" s="497"/>
      <c r="K61" s="491"/>
      <c r="L61" s="492"/>
      <c r="M61" s="460"/>
    </row>
    <row r="62" spans="1:13" ht="12.75">
      <c r="A62" s="460" t="s">
        <v>3455</v>
      </c>
      <c r="B62" s="493"/>
      <c r="C62" s="494"/>
      <c r="D62" s="495"/>
      <c r="E62" s="495"/>
      <c r="F62" s="495"/>
      <c r="G62" s="496"/>
      <c r="H62" s="488"/>
      <c r="I62" s="493"/>
      <c r="J62" s="497"/>
      <c r="K62" s="491"/>
      <c r="L62" s="492"/>
      <c r="M62" s="460"/>
    </row>
    <row r="63" spans="1:13" ht="12.75">
      <c r="A63" s="460" t="s">
        <v>3455</v>
      </c>
      <c r="B63" s="493"/>
      <c r="C63" s="494"/>
      <c r="D63" s="495"/>
      <c r="E63" s="495"/>
      <c r="F63" s="495"/>
      <c r="G63" s="496"/>
      <c r="H63" s="488"/>
      <c r="I63" s="493"/>
      <c r="J63" s="497"/>
      <c r="K63" s="491"/>
      <c r="L63" s="492"/>
      <c r="M63" s="460"/>
    </row>
    <row r="64" spans="1:13" ht="12.75">
      <c r="A64" s="460" t="s">
        <v>3455</v>
      </c>
      <c r="B64" s="493"/>
      <c r="C64" s="494"/>
      <c r="D64" s="495"/>
      <c r="E64" s="495"/>
      <c r="F64" s="495"/>
      <c r="G64" s="496"/>
      <c r="H64" s="488"/>
      <c r="I64" s="493"/>
      <c r="J64" s="497"/>
      <c r="K64" s="491"/>
      <c r="L64" s="492"/>
      <c r="M64" s="460"/>
    </row>
    <row r="65" spans="1:13" ht="12.75">
      <c r="A65" s="460" t="s">
        <v>3455</v>
      </c>
      <c r="B65" s="493"/>
      <c r="C65" s="494"/>
      <c r="D65" s="495"/>
      <c r="E65" s="495"/>
      <c r="F65" s="495"/>
      <c r="G65" s="496"/>
      <c r="H65" s="488"/>
      <c r="I65" s="493"/>
      <c r="J65" s="497"/>
      <c r="K65" s="491"/>
      <c r="L65" s="492"/>
      <c r="M65" s="460"/>
    </row>
    <row r="66" spans="1:13" ht="12.75">
      <c r="A66" s="460" t="s">
        <v>3455</v>
      </c>
      <c r="B66" s="493"/>
      <c r="C66" s="494"/>
      <c r="D66" s="495"/>
      <c r="E66" s="495"/>
      <c r="F66" s="495"/>
      <c r="G66" s="496"/>
      <c r="H66" s="488"/>
      <c r="I66" s="493"/>
      <c r="J66" s="497"/>
      <c r="K66" s="491"/>
      <c r="L66" s="492"/>
      <c r="M66" s="460"/>
    </row>
    <row r="67" spans="1:13" ht="12.75">
      <c r="A67" s="460" t="s">
        <v>3455</v>
      </c>
      <c r="B67" s="493"/>
      <c r="C67" s="494"/>
      <c r="D67" s="495"/>
      <c r="E67" s="495"/>
      <c r="F67" s="495"/>
      <c r="G67" s="496"/>
      <c r="H67" s="488"/>
      <c r="I67" s="493"/>
      <c r="J67" s="497"/>
      <c r="K67" s="491"/>
      <c r="L67" s="492"/>
      <c r="M67" s="460"/>
    </row>
    <row r="68" spans="1:13" ht="12.75">
      <c r="A68" s="460" t="s">
        <v>3455</v>
      </c>
      <c r="B68" s="493"/>
      <c r="C68" s="494"/>
      <c r="D68" s="495"/>
      <c r="E68" s="495"/>
      <c r="F68" s="495"/>
      <c r="G68" s="496"/>
      <c r="H68" s="488"/>
      <c r="I68" s="493"/>
      <c r="J68" s="497"/>
      <c r="K68" s="491"/>
      <c r="L68" s="492"/>
      <c r="M68" s="460"/>
    </row>
    <row r="69" spans="1:13" ht="12.75">
      <c r="A69" s="460" t="s">
        <v>3455</v>
      </c>
      <c r="B69" s="493"/>
      <c r="C69" s="494"/>
      <c r="D69" s="495"/>
      <c r="E69" s="495"/>
      <c r="F69" s="495"/>
      <c r="G69" s="496"/>
      <c r="H69" s="488"/>
      <c r="I69" s="493"/>
      <c r="J69" s="497"/>
      <c r="K69" s="491"/>
      <c r="L69" s="492"/>
      <c r="M69" s="460"/>
    </row>
    <row r="70" spans="1:13" ht="12.75">
      <c r="A70" s="460" t="s">
        <v>3455</v>
      </c>
      <c r="B70" s="493"/>
      <c r="C70" s="494"/>
      <c r="D70" s="495"/>
      <c r="E70" s="495"/>
      <c r="F70" s="495"/>
      <c r="G70" s="496"/>
      <c r="H70" s="460"/>
      <c r="I70" s="493"/>
      <c r="J70" s="497"/>
      <c r="K70" s="491"/>
      <c r="L70" s="492"/>
      <c r="M70" s="460"/>
    </row>
    <row r="71" spans="1:13" ht="12.75">
      <c r="A71" s="460" t="s">
        <v>3455</v>
      </c>
      <c r="B71" s="493"/>
      <c r="C71" s="494"/>
      <c r="D71" s="495"/>
      <c r="E71" s="495"/>
      <c r="F71" s="495"/>
      <c r="G71" s="496"/>
      <c r="H71" s="460"/>
      <c r="I71" s="493"/>
      <c r="J71" s="497"/>
      <c r="K71" s="491"/>
      <c r="L71" s="492"/>
      <c r="M71" s="460"/>
    </row>
    <row r="72" spans="1:13" ht="12.75">
      <c r="A72" s="460" t="s">
        <v>3455</v>
      </c>
      <c r="B72" s="493"/>
      <c r="C72" s="494"/>
      <c r="D72" s="495"/>
      <c r="E72" s="495"/>
      <c r="F72" s="495"/>
      <c r="G72" s="496"/>
      <c r="H72" s="460"/>
      <c r="I72" s="493"/>
      <c r="J72" s="497"/>
      <c r="K72" s="491"/>
      <c r="L72" s="492"/>
      <c r="M72" s="460"/>
    </row>
    <row r="73" spans="1:13" ht="12.75">
      <c r="A73" s="460" t="s">
        <v>3455</v>
      </c>
      <c r="B73" s="493"/>
      <c r="C73" s="494"/>
      <c r="D73" s="495"/>
      <c r="E73" s="495"/>
      <c r="F73" s="495"/>
      <c r="G73" s="496"/>
      <c r="H73" s="460"/>
      <c r="I73" s="493"/>
      <c r="J73" s="497"/>
      <c r="K73" s="491"/>
      <c r="L73" s="492"/>
      <c r="M73" s="460"/>
    </row>
    <row r="74" spans="1:13" ht="12.75">
      <c r="A74" s="460" t="s">
        <v>3455</v>
      </c>
      <c r="B74" s="493"/>
      <c r="C74" s="494"/>
      <c r="D74" s="495"/>
      <c r="E74" s="495"/>
      <c r="F74" s="495"/>
      <c r="G74" s="496"/>
      <c r="H74" s="460"/>
      <c r="I74" s="493"/>
      <c r="J74" s="497"/>
      <c r="K74" s="491"/>
      <c r="L74" s="492"/>
      <c r="M74" s="460"/>
    </row>
    <row r="75" spans="1:13" ht="12.75">
      <c r="A75" s="460" t="s">
        <v>3455</v>
      </c>
      <c r="B75" s="493"/>
      <c r="C75" s="494"/>
      <c r="D75" s="495"/>
      <c r="E75" s="495"/>
      <c r="F75" s="495"/>
      <c r="G75" s="496"/>
      <c r="H75" s="460"/>
      <c r="I75" s="493"/>
      <c r="J75" s="497"/>
      <c r="K75" s="491"/>
      <c r="L75" s="492"/>
      <c r="M75" s="460"/>
    </row>
    <row r="76" spans="1:13" ht="12.75">
      <c r="A76" s="460" t="s">
        <v>3455</v>
      </c>
      <c r="B76" s="493"/>
      <c r="C76" s="494"/>
      <c r="D76" s="495"/>
      <c r="E76" s="495"/>
      <c r="F76" s="495"/>
      <c r="G76" s="496"/>
      <c r="H76" s="460"/>
      <c r="I76" s="493"/>
      <c r="J76" s="497"/>
      <c r="K76" s="491"/>
      <c r="L76" s="492"/>
      <c r="M76" s="460"/>
    </row>
    <row r="77" spans="1:13" ht="12.75">
      <c r="A77" s="460" t="s">
        <v>3455</v>
      </c>
      <c r="B77" s="493"/>
      <c r="C77" s="494"/>
      <c r="D77" s="495"/>
      <c r="E77" s="495"/>
      <c r="F77" s="495"/>
      <c r="G77" s="496"/>
      <c r="H77" s="460"/>
      <c r="I77" s="493"/>
      <c r="J77" s="497"/>
      <c r="K77" s="491"/>
      <c r="L77" s="492"/>
      <c r="M77" s="460"/>
    </row>
    <row r="78" spans="1:13" ht="12.75">
      <c r="A78" s="460" t="s">
        <v>3455</v>
      </c>
      <c r="B78" s="493"/>
      <c r="C78" s="494"/>
      <c r="D78" s="495"/>
      <c r="E78" s="495"/>
      <c r="F78" s="495"/>
      <c r="G78" s="496"/>
      <c r="H78" s="460"/>
      <c r="I78" s="493"/>
      <c r="J78" s="497"/>
      <c r="K78" s="491"/>
      <c r="L78" s="492"/>
      <c r="M78" s="460"/>
    </row>
    <row r="79" spans="1:13" ht="13.5" thickBot="1">
      <c r="A79" s="460" t="s">
        <v>3455</v>
      </c>
      <c r="B79" s="493"/>
      <c r="C79" s="494"/>
      <c r="D79" s="495"/>
      <c r="E79" s="495"/>
      <c r="F79" s="495"/>
      <c r="G79" s="496"/>
      <c r="H79" s="460"/>
      <c r="I79" s="498"/>
      <c r="J79" s="499"/>
      <c r="K79" s="500"/>
      <c r="L79" s="501"/>
      <c r="M79" s="460"/>
    </row>
    <row r="80" spans="1:13" ht="12.75">
      <c r="A80" s="460" t="s">
        <v>3455</v>
      </c>
      <c r="B80" s="493"/>
      <c r="C80" s="494"/>
      <c r="D80" s="495"/>
      <c r="E80" s="495"/>
      <c r="F80" s="495"/>
      <c r="G80" s="496"/>
      <c r="H80" s="460"/>
      <c r="I80" s="462"/>
      <c r="J80" s="462"/>
      <c r="K80" s="462"/>
      <c r="L80" s="462"/>
      <c r="M80" s="460"/>
    </row>
    <row r="81" spans="1:13" ht="12.75">
      <c r="A81" s="460" t="s">
        <v>3455</v>
      </c>
      <c r="B81" s="493"/>
      <c r="C81" s="494"/>
      <c r="D81" s="495"/>
      <c r="E81" s="495"/>
      <c r="F81" s="495"/>
      <c r="G81" s="496"/>
      <c r="H81" s="460"/>
      <c r="I81" s="460"/>
      <c r="J81" s="462"/>
      <c r="K81" s="502"/>
      <c r="L81" s="502"/>
      <c r="M81" s="460"/>
    </row>
    <row r="82" spans="1:13" ht="13.5" thickBot="1">
      <c r="A82" s="460" t="s">
        <v>3455</v>
      </c>
      <c r="B82" s="493"/>
      <c r="C82" s="494"/>
      <c r="D82" s="495"/>
      <c r="E82" s="495"/>
      <c r="F82" s="495"/>
      <c r="G82" s="496"/>
      <c r="H82" s="460"/>
      <c r="I82" s="460"/>
      <c r="J82" s="462"/>
      <c r="K82" s="502"/>
      <c r="L82" s="502"/>
      <c r="M82" s="460"/>
    </row>
    <row r="83" spans="1:13" ht="12.75">
      <c r="A83" s="460" t="s">
        <v>3455</v>
      </c>
      <c r="B83" s="493"/>
      <c r="C83" s="494"/>
      <c r="D83" s="495"/>
      <c r="E83" s="495"/>
      <c r="F83" s="495"/>
      <c r="G83" s="496"/>
      <c r="H83" s="460"/>
      <c r="I83" s="503" t="s">
        <v>3541</v>
      </c>
      <c r="J83" s="504"/>
      <c r="K83" s="504"/>
      <c r="L83" s="505"/>
      <c r="M83" s="460"/>
    </row>
    <row r="84" spans="1:13" ht="13.5" thickBot="1">
      <c r="A84" s="460" t="s">
        <v>3455</v>
      </c>
      <c r="B84" s="493"/>
      <c r="C84" s="494"/>
      <c r="D84" s="495"/>
      <c r="E84" s="495"/>
      <c r="F84" s="495"/>
      <c r="G84" s="496"/>
      <c r="H84" s="460"/>
      <c r="I84" s="506"/>
      <c r="J84" s="507"/>
      <c r="K84" s="507"/>
      <c r="L84" s="508"/>
      <c r="M84" s="460"/>
    </row>
    <row r="85" spans="1:13" ht="12.75">
      <c r="A85" s="460" t="s">
        <v>3455</v>
      </c>
      <c r="B85" s="493"/>
      <c r="C85" s="494"/>
      <c r="D85" s="495"/>
      <c r="E85" s="495"/>
      <c r="F85" s="495"/>
      <c r="G85" s="496"/>
      <c r="H85" s="460"/>
      <c r="I85" s="460"/>
      <c r="J85" s="462"/>
      <c r="K85" s="502"/>
      <c r="L85" s="502"/>
      <c r="M85" s="460"/>
    </row>
    <row r="86" spans="1:13" ht="12.75">
      <c r="A86" s="460" t="s">
        <v>3455</v>
      </c>
      <c r="B86" s="493"/>
      <c r="C86" s="494"/>
      <c r="D86" s="495"/>
      <c r="E86" s="495"/>
      <c r="F86" s="495"/>
      <c r="G86" s="496"/>
      <c r="H86" s="460"/>
      <c r="I86" s="460"/>
      <c r="J86" s="462"/>
      <c r="K86" s="502"/>
      <c r="L86" s="502"/>
      <c r="M86" s="460"/>
    </row>
    <row r="87" spans="1:13" ht="12.75" customHeight="1">
      <c r="A87" s="460" t="s">
        <v>3455</v>
      </c>
      <c r="B87" s="493"/>
      <c r="C87" s="494"/>
      <c r="D87" s="495"/>
      <c r="E87" s="495"/>
      <c r="F87" s="495"/>
      <c r="G87" s="496"/>
      <c r="H87" s="460"/>
      <c r="I87" s="460"/>
      <c r="J87" s="462"/>
      <c r="K87" s="502"/>
      <c r="L87" s="502"/>
      <c r="M87" s="460"/>
    </row>
    <row r="88" spans="1:13" ht="12.75" customHeight="1">
      <c r="A88" s="460"/>
      <c r="B88" s="493"/>
      <c r="C88" s="494"/>
      <c r="D88" s="495"/>
      <c r="E88" s="495"/>
      <c r="F88" s="495"/>
      <c r="G88" s="496"/>
      <c r="H88" s="460"/>
      <c r="I88" s="460"/>
      <c r="J88" s="460"/>
      <c r="K88" s="460"/>
      <c r="L88" s="460"/>
      <c r="M88" s="460"/>
    </row>
    <row r="89" spans="1:13" ht="12.75" customHeight="1">
      <c r="A89" s="460"/>
      <c r="B89" s="493"/>
      <c r="C89" s="494"/>
      <c r="D89" s="495"/>
      <c r="E89" s="495"/>
      <c r="F89" s="495"/>
      <c r="G89" s="496"/>
      <c r="H89" s="460"/>
      <c r="I89" s="460"/>
      <c r="J89" s="460"/>
      <c r="K89" s="460"/>
      <c r="L89" s="460"/>
      <c r="M89" s="460"/>
    </row>
    <row r="90" spans="1:13" ht="12.75">
      <c r="A90" s="460"/>
      <c r="B90" s="493"/>
      <c r="C90" s="494"/>
      <c r="D90" s="495"/>
      <c r="E90" s="495"/>
      <c r="F90" s="495"/>
      <c r="G90" s="496"/>
      <c r="H90" s="460"/>
      <c r="I90" s="460"/>
      <c r="J90" s="460"/>
      <c r="K90" s="460"/>
      <c r="L90" s="460"/>
      <c r="M90" s="460"/>
    </row>
    <row r="91" spans="1:13" ht="12.75">
      <c r="A91" s="460"/>
      <c r="B91" s="493"/>
      <c r="C91" s="494"/>
      <c r="D91" s="495"/>
      <c r="E91" s="495"/>
      <c r="F91" s="495"/>
      <c r="G91" s="496"/>
      <c r="H91" s="460"/>
      <c r="I91" s="460"/>
      <c r="J91" s="460"/>
      <c r="K91" s="460"/>
      <c r="L91" s="460"/>
      <c r="M91" s="460"/>
    </row>
    <row r="92" spans="1:13" ht="13.5" thickBot="1">
      <c r="A92" s="460" t="s">
        <v>3455</v>
      </c>
      <c r="B92" s="498"/>
      <c r="C92" s="509"/>
      <c r="D92" s="510"/>
      <c r="E92" s="510"/>
      <c r="F92" s="510"/>
      <c r="G92" s="511"/>
      <c r="H92" s="460"/>
      <c r="I92" s="460"/>
      <c r="J92" s="460"/>
      <c r="K92" s="460"/>
      <c r="L92" s="460"/>
      <c r="M92" s="460"/>
    </row>
    <row r="93" spans="1:13" ht="13.5" thickBot="1">
      <c r="A93" s="460" t="s">
        <v>3455</v>
      </c>
      <c r="B93" s="460"/>
      <c r="C93" s="512"/>
      <c r="D93" s="512"/>
      <c r="E93" s="512"/>
      <c r="F93" s="512"/>
      <c r="G93" s="512"/>
      <c r="H93" s="460"/>
      <c r="I93" s="460"/>
      <c r="J93" s="460"/>
      <c r="K93" s="460"/>
      <c r="L93" s="460"/>
      <c r="M93" s="460"/>
    </row>
    <row r="94" spans="1:13" ht="20.25">
      <c r="A94" s="460" t="s">
        <v>3455</v>
      </c>
      <c r="B94" s="513"/>
      <c r="C94" s="514"/>
      <c r="D94" s="515" t="s">
        <v>3459</v>
      </c>
      <c r="E94" s="516"/>
      <c r="F94" s="512"/>
      <c r="G94" s="512"/>
      <c r="H94" s="460"/>
      <c r="I94" s="460"/>
      <c r="J94" s="460"/>
      <c r="K94" s="460"/>
      <c r="L94" s="460"/>
      <c r="M94" s="460"/>
    </row>
    <row r="95" spans="1:13" ht="21" thickBot="1">
      <c r="A95" s="460" t="s">
        <v>3455</v>
      </c>
      <c r="B95" s="478"/>
      <c r="C95" s="479"/>
      <c r="D95" s="479"/>
      <c r="E95" s="480"/>
      <c r="F95" s="512"/>
      <c r="G95" s="512"/>
      <c r="H95" s="460"/>
      <c r="I95" s="460"/>
      <c r="J95" s="460"/>
      <c r="K95" s="460"/>
      <c r="L95" s="460"/>
      <c r="M95" s="460"/>
    </row>
    <row r="96" spans="1:13" ht="12.75">
      <c r="A96" s="460" t="s">
        <v>3455</v>
      </c>
      <c r="B96" s="484"/>
      <c r="C96" s="517"/>
      <c r="D96" s="518"/>
      <c r="E96" s="519"/>
      <c r="F96" s="512"/>
      <c r="G96" s="512"/>
      <c r="H96" s="460"/>
      <c r="I96" s="460"/>
      <c r="J96" s="460"/>
      <c r="K96" s="460"/>
      <c r="L96" s="460"/>
      <c r="M96" s="460"/>
    </row>
    <row r="97" spans="1:13" ht="12.75">
      <c r="A97" s="460" t="s">
        <v>3455</v>
      </c>
      <c r="B97" s="493"/>
      <c r="C97" s="520"/>
      <c r="D97" s="521"/>
      <c r="E97" s="522"/>
      <c r="F97" s="512"/>
      <c r="G97" s="512"/>
      <c r="H97" s="460"/>
      <c r="I97" s="460"/>
      <c r="J97" s="460"/>
      <c r="K97" s="460"/>
      <c r="L97" s="460"/>
      <c r="M97" s="460"/>
    </row>
    <row r="98" spans="1:13" ht="12.75">
      <c r="A98" s="460" t="s">
        <v>3455</v>
      </c>
      <c r="B98" s="493"/>
      <c r="C98" s="520"/>
      <c r="D98" s="521"/>
      <c r="E98" s="522"/>
      <c r="F98" s="512"/>
      <c r="G98" s="512"/>
      <c r="H98" s="460"/>
      <c r="I98" s="460"/>
      <c r="J98" s="460"/>
      <c r="K98" s="460"/>
      <c r="L98" s="460"/>
      <c r="M98" s="460"/>
    </row>
    <row r="99" spans="1:13" ht="12.75">
      <c r="A99" s="460" t="s">
        <v>3455</v>
      </c>
      <c r="B99" s="493"/>
      <c r="C99" s="520"/>
      <c r="D99" s="521"/>
      <c r="E99" s="522"/>
      <c r="F99" s="512"/>
      <c r="G99" s="512"/>
      <c r="H99" s="460"/>
      <c r="I99" s="460"/>
      <c r="J99" s="460"/>
      <c r="K99" s="460"/>
      <c r="L99" s="460"/>
      <c r="M99" s="460"/>
    </row>
    <row r="100" spans="1:13" ht="12.75">
      <c r="A100" s="460" t="s">
        <v>3455</v>
      </c>
      <c r="B100" s="493"/>
      <c r="C100" s="520"/>
      <c r="D100" s="521"/>
      <c r="E100" s="522"/>
      <c r="F100" s="512"/>
      <c r="G100" s="512"/>
      <c r="H100" s="460"/>
      <c r="I100" s="460"/>
      <c r="J100" s="460"/>
      <c r="K100" s="460"/>
      <c r="L100" s="460"/>
      <c r="M100" s="460"/>
    </row>
    <row r="101" spans="1:13" ht="12.75">
      <c r="A101" s="460" t="s">
        <v>3455</v>
      </c>
      <c r="B101" s="493"/>
      <c r="C101" s="520"/>
      <c r="D101" s="521"/>
      <c r="E101" s="522"/>
      <c r="F101" s="460"/>
      <c r="G101" s="460"/>
      <c r="H101" s="460"/>
      <c r="I101" s="460"/>
      <c r="J101" s="460"/>
      <c r="K101" s="460"/>
      <c r="L101" s="460"/>
      <c r="M101" s="460"/>
    </row>
    <row r="102" spans="1:13" ht="12.75">
      <c r="A102" s="460" t="s">
        <v>3455</v>
      </c>
      <c r="B102" s="493"/>
      <c r="C102" s="520"/>
      <c r="D102" s="521"/>
      <c r="E102" s="522"/>
      <c r="F102" s="460"/>
      <c r="G102" s="460"/>
      <c r="H102" s="460"/>
      <c r="I102" s="460"/>
      <c r="J102" s="460"/>
      <c r="K102" s="460"/>
      <c r="L102" s="460"/>
      <c r="M102" s="460"/>
    </row>
    <row r="103" spans="1:13" ht="12.75">
      <c r="A103" s="460" t="s">
        <v>3455</v>
      </c>
      <c r="B103" s="493"/>
      <c r="C103" s="520"/>
      <c r="D103" s="521"/>
      <c r="E103" s="522"/>
      <c r="F103" s="460"/>
      <c r="G103" s="460"/>
      <c r="H103" s="460"/>
      <c r="I103" s="460"/>
      <c r="J103" s="460"/>
      <c r="K103" s="460"/>
      <c r="L103" s="460"/>
      <c r="M103" s="460"/>
    </row>
    <row r="104" spans="1:13" ht="12.75">
      <c r="A104" s="460" t="s">
        <v>3455</v>
      </c>
      <c r="B104" s="493"/>
      <c r="C104" s="520"/>
      <c r="D104" s="521"/>
      <c r="E104" s="522"/>
      <c r="F104" s="460"/>
      <c r="G104" s="460"/>
      <c r="H104" s="460"/>
      <c r="I104" s="460"/>
      <c r="J104" s="460"/>
      <c r="K104" s="460"/>
      <c r="L104" s="460"/>
      <c r="M104" s="460"/>
    </row>
    <row r="105" spans="1:13" ht="12.75">
      <c r="A105" s="460" t="s">
        <v>3455</v>
      </c>
      <c r="B105" s="493"/>
      <c r="C105" s="520"/>
      <c r="D105" s="521"/>
      <c r="E105" s="522"/>
      <c r="F105" s="460"/>
      <c r="G105" s="460"/>
      <c r="H105" s="460"/>
      <c r="I105" s="460"/>
      <c r="J105" s="460"/>
      <c r="K105" s="460"/>
      <c r="L105" s="460"/>
      <c r="M105" s="460"/>
    </row>
    <row r="106" spans="1:13" ht="12.75">
      <c r="A106" s="460" t="s">
        <v>3455</v>
      </c>
      <c r="B106" s="493"/>
      <c r="C106" s="520"/>
      <c r="D106" s="521"/>
      <c r="E106" s="522"/>
      <c r="F106" s="460"/>
      <c r="G106" s="460"/>
      <c r="H106" s="460"/>
      <c r="I106" s="460"/>
      <c r="J106" s="460"/>
      <c r="K106" s="460"/>
      <c r="L106" s="460"/>
      <c r="M106" s="460"/>
    </row>
    <row r="107" spans="1:13" ht="12.75">
      <c r="A107" s="460" t="s">
        <v>3455</v>
      </c>
      <c r="B107" s="493"/>
      <c r="C107" s="520"/>
      <c r="D107" s="521"/>
      <c r="E107" s="522"/>
      <c r="F107" s="460"/>
      <c r="G107" s="460"/>
      <c r="H107" s="460"/>
      <c r="I107" s="460"/>
      <c r="J107" s="460"/>
      <c r="K107" s="460"/>
      <c r="L107" s="460"/>
      <c r="M107" s="460"/>
    </row>
    <row r="108" spans="1:13" ht="12.75">
      <c r="A108" s="460" t="s">
        <v>3455</v>
      </c>
      <c r="B108" s="493"/>
      <c r="C108" s="520"/>
      <c r="D108" s="521"/>
      <c r="E108" s="522"/>
      <c r="F108" s="460"/>
      <c r="G108" s="460"/>
      <c r="H108" s="460"/>
      <c r="I108" s="460"/>
      <c r="J108" s="460"/>
      <c r="K108" s="460"/>
      <c r="L108" s="460"/>
      <c r="M108" s="460"/>
    </row>
    <row r="109" spans="1:13" ht="12.75">
      <c r="A109" s="460" t="s">
        <v>3455</v>
      </c>
      <c r="B109" s="493"/>
      <c r="C109" s="520"/>
      <c r="D109" s="521"/>
      <c r="E109" s="522"/>
      <c r="F109" s="460"/>
      <c r="G109" s="460"/>
      <c r="H109" s="460"/>
      <c r="I109" s="460"/>
      <c r="J109" s="460"/>
      <c r="K109" s="460"/>
      <c r="L109" s="460"/>
      <c r="M109" s="460"/>
    </row>
    <row r="110" spans="1:13" ht="12.75">
      <c r="A110" s="460" t="s">
        <v>3455</v>
      </c>
      <c r="B110" s="493"/>
      <c r="C110" s="520"/>
      <c r="D110" s="521"/>
      <c r="E110" s="522"/>
      <c r="F110" s="460"/>
      <c r="G110" s="460"/>
      <c r="H110" s="460"/>
      <c r="I110" s="460"/>
      <c r="J110" s="460"/>
      <c r="K110" s="460"/>
      <c r="L110" s="460"/>
      <c r="M110" s="460"/>
    </row>
    <row r="111" spans="1:13" ht="12.75">
      <c r="A111" s="460" t="s">
        <v>3455</v>
      </c>
      <c r="B111" s="493"/>
      <c r="C111" s="520"/>
      <c r="D111" s="521"/>
      <c r="E111" s="522"/>
      <c r="F111" s="460"/>
      <c r="G111" s="460"/>
      <c r="H111" s="460"/>
      <c r="I111" s="460"/>
      <c r="J111" s="460"/>
      <c r="K111" s="460"/>
      <c r="L111" s="460"/>
      <c r="M111" s="460"/>
    </row>
    <row r="112" spans="1:13" ht="12.75">
      <c r="A112" s="460" t="s">
        <v>3455</v>
      </c>
      <c r="B112" s="493"/>
      <c r="C112" s="520"/>
      <c r="D112" s="521"/>
      <c r="E112" s="522"/>
      <c r="F112" s="460"/>
      <c r="G112" s="460"/>
      <c r="H112" s="460"/>
      <c r="I112" s="460"/>
      <c r="J112" s="460"/>
      <c r="K112" s="460"/>
      <c r="L112" s="460"/>
      <c r="M112" s="460"/>
    </row>
    <row r="113" spans="1:13" ht="12.75">
      <c r="A113" s="460" t="s">
        <v>3455</v>
      </c>
      <c r="B113" s="493"/>
      <c r="C113" s="520"/>
      <c r="D113" s="521"/>
      <c r="E113" s="522"/>
      <c r="F113" s="460"/>
      <c r="G113" s="460"/>
      <c r="H113" s="460"/>
      <c r="I113" s="460"/>
      <c r="J113" s="460"/>
      <c r="K113" s="460"/>
      <c r="L113" s="460"/>
      <c r="M113" s="460"/>
    </row>
    <row r="114" spans="1:13" ht="12.75">
      <c r="A114" s="460" t="s">
        <v>3455</v>
      </c>
      <c r="B114" s="493"/>
      <c r="C114" s="520"/>
      <c r="D114" s="521"/>
      <c r="E114" s="522"/>
      <c r="F114" s="460"/>
      <c r="G114" s="460"/>
      <c r="H114" s="460"/>
      <c r="I114" s="460"/>
      <c r="J114" s="460"/>
      <c r="K114" s="460"/>
      <c r="L114" s="460"/>
      <c r="M114" s="460"/>
    </row>
    <row r="115" spans="1:13" ht="12.75">
      <c r="A115" s="460" t="s">
        <v>3455</v>
      </c>
      <c r="B115" s="493"/>
      <c r="C115" s="520"/>
      <c r="D115" s="521"/>
      <c r="E115" s="522"/>
      <c r="F115" s="460"/>
      <c r="G115" s="460"/>
      <c r="H115" s="460"/>
      <c r="I115" s="460"/>
      <c r="J115" s="460"/>
      <c r="K115" s="460"/>
      <c r="L115" s="460"/>
      <c r="M115" s="460"/>
    </row>
    <row r="116" spans="1:13" ht="12.75">
      <c r="A116" s="460" t="s">
        <v>3455</v>
      </c>
      <c r="B116" s="493"/>
      <c r="C116" s="520"/>
      <c r="D116" s="521"/>
      <c r="E116" s="522"/>
      <c r="F116" s="460"/>
      <c r="G116" s="460"/>
      <c r="H116" s="460"/>
      <c r="I116" s="460"/>
      <c r="J116" s="460"/>
      <c r="K116" s="460"/>
      <c r="L116" s="460"/>
      <c r="M116" s="460"/>
    </row>
    <row r="117" spans="1:13" ht="12.75">
      <c r="A117" s="460" t="s">
        <v>3455</v>
      </c>
      <c r="B117" s="493"/>
      <c r="C117" s="520"/>
      <c r="D117" s="521"/>
      <c r="E117" s="522"/>
      <c r="F117" s="460"/>
      <c r="G117" s="460"/>
      <c r="H117" s="460"/>
      <c r="I117" s="460"/>
      <c r="J117" s="460"/>
      <c r="K117" s="460"/>
      <c r="L117" s="460"/>
      <c r="M117" s="460"/>
    </row>
    <row r="118" spans="1:13" ht="12.75">
      <c r="A118" s="460" t="s">
        <v>3455</v>
      </c>
      <c r="B118" s="493"/>
      <c r="C118" s="520"/>
      <c r="D118" s="521"/>
      <c r="E118" s="522"/>
      <c r="F118" s="460"/>
      <c r="G118" s="460"/>
      <c r="H118" s="460"/>
      <c r="I118" s="460"/>
      <c r="J118" s="460"/>
      <c r="K118" s="460"/>
      <c r="L118" s="460"/>
      <c r="M118" s="460"/>
    </row>
    <row r="119" spans="1:13" ht="12.75">
      <c r="A119" s="460" t="s">
        <v>3455</v>
      </c>
      <c r="B119" s="493"/>
      <c r="C119" s="520"/>
      <c r="D119" s="521"/>
      <c r="E119" s="522"/>
      <c r="F119" s="460"/>
      <c r="G119" s="460"/>
      <c r="H119" s="460"/>
      <c r="I119" s="460"/>
      <c r="J119" s="460"/>
      <c r="K119" s="460"/>
      <c r="L119" s="460"/>
      <c r="M119" s="460"/>
    </row>
    <row r="120" spans="1:13" ht="12.75">
      <c r="A120" s="460" t="s">
        <v>3455</v>
      </c>
      <c r="B120" s="493"/>
      <c r="C120" s="520"/>
      <c r="D120" s="521"/>
      <c r="E120" s="522"/>
      <c r="F120" s="460"/>
      <c r="G120" s="460"/>
      <c r="H120" s="460"/>
      <c r="I120" s="460"/>
      <c r="J120" s="460"/>
      <c r="K120" s="460"/>
      <c r="L120" s="460"/>
      <c r="M120" s="460"/>
    </row>
    <row r="121" spans="1:13" ht="12.75">
      <c r="A121" s="460" t="s">
        <v>3455</v>
      </c>
      <c r="B121" s="493"/>
      <c r="C121" s="520"/>
      <c r="D121" s="521"/>
      <c r="E121" s="522"/>
      <c r="F121" s="460"/>
      <c r="G121" s="460"/>
      <c r="H121" s="460"/>
      <c r="I121" s="460"/>
      <c r="J121" s="460"/>
      <c r="K121" s="460"/>
      <c r="L121" s="460"/>
      <c r="M121" s="460"/>
    </row>
    <row r="122" spans="1:13" ht="12.75">
      <c r="A122" s="460" t="s">
        <v>3455</v>
      </c>
      <c r="B122" s="493"/>
      <c r="C122" s="520"/>
      <c r="D122" s="521"/>
      <c r="E122" s="522"/>
      <c r="F122" s="460"/>
      <c r="G122" s="460"/>
      <c r="H122" s="460"/>
      <c r="I122" s="460"/>
      <c r="J122" s="460"/>
      <c r="K122" s="460"/>
      <c r="L122" s="460"/>
      <c r="M122" s="460"/>
    </row>
    <row r="123" spans="1:13" ht="12.75">
      <c r="A123" s="460" t="s">
        <v>3455</v>
      </c>
      <c r="B123" s="493"/>
      <c r="C123" s="520"/>
      <c r="D123" s="521"/>
      <c r="E123" s="522"/>
      <c r="F123" s="460"/>
      <c r="G123" s="460"/>
      <c r="H123" s="460"/>
      <c r="I123" s="460"/>
      <c r="J123" s="460"/>
      <c r="K123" s="460"/>
      <c r="L123" s="460"/>
      <c r="M123" s="460"/>
    </row>
    <row r="124" spans="1:13" ht="12.75">
      <c r="A124" s="460" t="s">
        <v>3455</v>
      </c>
      <c r="B124" s="493"/>
      <c r="C124" s="520"/>
      <c r="D124" s="521"/>
      <c r="E124" s="522"/>
      <c r="F124" s="460"/>
      <c r="G124" s="460"/>
      <c r="H124" s="460"/>
      <c r="I124" s="460"/>
      <c r="J124" s="460"/>
      <c r="K124" s="460"/>
      <c r="L124" s="460"/>
      <c r="M124" s="460"/>
    </row>
    <row r="125" spans="1:13" ht="12.75">
      <c r="A125" s="460" t="s">
        <v>3455</v>
      </c>
      <c r="B125" s="493"/>
      <c r="C125" s="520"/>
      <c r="D125" s="521"/>
      <c r="E125" s="522"/>
      <c r="F125" s="460"/>
      <c r="G125" s="460"/>
      <c r="H125" s="460"/>
      <c r="I125" s="460"/>
      <c r="J125" s="460"/>
      <c r="K125" s="460"/>
      <c r="L125" s="460"/>
      <c r="M125" s="460"/>
    </row>
    <row r="126" spans="1:13" ht="12.75">
      <c r="A126" s="460" t="s">
        <v>3455</v>
      </c>
      <c r="B126" s="493"/>
      <c r="C126" s="520"/>
      <c r="D126" s="521"/>
      <c r="E126" s="522"/>
      <c r="F126" s="460"/>
      <c r="G126" s="460"/>
      <c r="H126" s="460"/>
      <c r="I126" s="460"/>
      <c r="J126" s="460"/>
      <c r="K126" s="460"/>
      <c r="L126" s="460"/>
      <c r="M126" s="460"/>
    </row>
    <row r="127" spans="1:13" ht="12.75">
      <c r="A127" s="460" t="s">
        <v>3455</v>
      </c>
      <c r="B127" s="493"/>
      <c r="C127" s="520"/>
      <c r="D127" s="521"/>
      <c r="E127" s="522"/>
      <c r="F127" s="460"/>
      <c r="G127" s="460"/>
      <c r="H127" s="460"/>
      <c r="I127" s="460"/>
      <c r="J127" s="460"/>
      <c r="K127" s="460"/>
      <c r="L127" s="460"/>
      <c r="M127" s="460"/>
    </row>
    <row r="128" spans="1:13" ht="12.75">
      <c r="A128" s="460" t="s">
        <v>3455</v>
      </c>
      <c r="B128" s="493"/>
      <c r="C128" s="520"/>
      <c r="D128" s="521"/>
      <c r="E128" s="522"/>
      <c r="F128" s="460"/>
      <c r="G128" s="460"/>
      <c r="H128" s="460"/>
      <c r="I128" s="460"/>
      <c r="J128" s="460"/>
      <c r="K128" s="460"/>
      <c r="L128" s="460"/>
      <c r="M128" s="460"/>
    </row>
    <row r="129" spans="1:13" ht="12.75">
      <c r="A129" s="460" t="s">
        <v>3455</v>
      </c>
      <c r="B129" s="493"/>
      <c r="C129" s="520"/>
      <c r="D129" s="521"/>
      <c r="E129" s="522"/>
      <c r="F129" s="460"/>
      <c r="G129" s="460"/>
      <c r="H129" s="460"/>
      <c r="I129" s="460"/>
      <c r="J129" s="460"/>
      <c r="K129" s="460"/>
      <c r="L129" s="460"/>
      <c r="M129" s="460"/>
    </row>
    <row r="130" spans="1:13" ht="12.75">
      <c r="A130" s="460" t="s">
        <v>3455</v>
      </c>
      <c r="B130" s="493"/>
      <c r="C130" s="520"/>
      <c r="D130" s="521"/>
      <c r="E130" s="522"/>
      <c r="F130" s="460"/>
      <c r="G130" s="460"/>
      <c r="H130" s="460"/>
      <c r="I130" s="460"/>
      <c r="J130" s="460"/>
      <c r="K130" s="460"/>
      <c r="L130" s="460"/>
      <c r="M130" s="460"/>
    </row>
    <row r="131" spans="1:13" ht="12.75">
      <c r="A131" s="460" t="s">
        <v>3455</v>
      </c>
      <c r="B131" s="493"/>
      <c r="C131" s="520"/>
      <c r="D131" s="521"/>
      <c r="E131" s="522"/>
      <c r="F131" s="460"/>
      <c r="G131" s="460"/>
      <c r="H131" s="460"/>
      <c r="I131" s="460"/>
      <c r="J131" s="460"/>
      <c r="K131" s="460"/>
      <c r="L131" s="460"/>
      <c r="M131" s="460"/>
    </row>
    <row r="132" spans="1:13" ht="12.75">
      <c r="A132" s="460" t="s">
        <v>3455</v>
      </c>
      <c r="B132" s="493"/>
      <c r="C132" s="520"/>
      <c r="D132" s="521"/>
      <c r="E132" s="522"/>
      <c r="F132" s="460"/>
      <c r="G132" s="460"/>
      <c r="H132" s="460"/>
      <c r="I132" s="460"/>
      <c r="J132" s="460"/>
      <c r="K132" s="460"/>
      <c r="L132" s="460"/>
      <c r="M132" s="460"/>
    </row>
    <row r="133" spans="1:13" ht="12.75">
      <c r="A133" s="460" t="s">
        <v>3455</v>
      </c>
      <c r="B133" s="493"/>
      <c r="C133" s="520"/>
      <c r="D133" s="521"/>
      <c r="E133" s="522"/>
      <c r="F133" s="460"/>
      <c r="G133" s="460"/>
      <c r="H133" s="460"/>
      <c r="I133" s="460"/>
      <c r="J133" s="460"/>
      <c r="K133" s="460"/>
      <c r="L133" s="460"/>
      <c r="M133" s="460"/>
    </row>
    <row r="134" spans="1:13" ht="12.75">
      <c r="A134" s="460" t="s">
        <v>3455</v>
      </c>
      <c r="B134" s="493"/>
      <c r="C134" s="520"/>
      <c r="D134" s="521"/>
      <c r="E134" s="522"/>
      <c r="F134" s="460"/>
      <c r="G134" s="460"/>
      <c r="H134" s="460"/>
      <c r="I134" s="460"/>
      <c r="J134" s="460"/>
      <c r="K134" s="460"/>
      <c r="L134" s="460"/>
      <c r="M134" s="460"/>
    </row>
    <row r="135" spans="1:13" ht="12.75">
      <c r="A135" s="460" t="s">
        <v>3455</v>
      </c>
      <c r="B135" s="493"/>
      <c r="C135" s="520"/>
      <c r="D135" s="521"/>
      <c r="E135" s="522"/>
      <c r="F135" s="460"/>
      <c r="G135" s="460"/>
      <c r="H135" s="460"/>
      <c r="I135" s="460"/>
      <c r="J135" s="460"/>
      <c r="K135" s="460"/>
      <c r="L135" s="460"/>
      <c r="M135" s="460"/>
    </row>
    <row r="136" spans="1:13" ht="12.75">
      <c r="A136" s="460" t="s">
        <v>3455</v>
      </c>
      <c r="B136" s="493"/>
      <c r="C136" s="520"/>
      <c r="D136" s="521"/>
      <c r="E136" s="522"/>
      <c r="F136" s="460"/>
      <c r="G136" s="460"/>
      <c r="H136" s="460"/>
      <c r="I136" s="460"/>
      <c r="J136" s="460"/>
      <c r="K136" s="460"/>
      <c r="L136" s="460"/>
      <c r="M136" s="460"/>
    </row>
    <row r="137" spans="1:13" ht="12.75">
      <c r="A137" s="460" t="s">
        <v>3455</v>
      </c>
      <c r="B137" s="493"/>
      <c r="C137" s="520"/>
      <c r="D137" s="521"/>
      <c r="E137" s="522"/>
      <c r="F137" s="460"/>
      <c r="G137" s="460"/>
      <c r="H137" s="460"/>
      <c r="I137" s="460"/>
      <c r="J137" s="460"/>
      <c r="K137" s="460"/>
      <c r="L137" s="460"/>
      <c r="M137" s="460"/>
    </row>
    <row r="138" spans="1:13" ht="12.75">
      <c r="A138" s="460" t="s">
        <v>3455</v>
      </c>
      <c r="B138" s="493"/>
      <c r="C138" s="520"/>
      <c r="D138" s="521"/>
      <c r="E138" s="522"/>
      <c r="F138" s="460"/>
      <c r="G138" s="460"/>
      <c r="H138" s="460"/>
      <c r="I138" s="460"/>
      <c r="J138" s="460"/>
      <c r="K138" s="460"/>
      <c r="L138" s="460"/>
      <c r="M138" s="460"/>
    </row>
    <row r="139" spans="1:13" ht="12.75">
      <c r="A139" s="460" t="s">
        <v>3455</v>
      </c>
      <c r="B139" s="493"/>
      <c r="C139" s="520"/>
      <c r="D139" s="521"/>
      <c r="E139" s="522"/>
      <c r="F139" s="460"/>
      <c r="G139" s="460"/>
      <c r="H139" s="460"/>
      <c r="I139" s="460"/>
      <c r="J139" s="460"/>
      <c r="K139" s="460"/>
      <c r="L139" s="460"/>
      <c r="M139" s="460"/>
    </row>
    <row r="140" spans="1:13" ht="12.75">
      <c r="A140" s="460" t="s">
        <v>3455</v>
      </c>
      <c r="B140" s="493"/>
      <c r="C140" s="520"/>
      <c r="D140" s="521"/>
      <c r="E140" s="522"/>
      <c r="F140" s="460"/>
      <c r="G140" s="460"/>
      <c r="H140" s="460"/>
      <c r="I140" s="460"/>
      <c r="J140" s="460"/>
      <c r="K140" s="460"/>
      <c r="L140" s="460"/>
      <c r="M140" s="460"/>
    </row>
    <row r="141" spans="1:13" ht="12.75">
      <c r="A141" s="460" t="s">
        <v>3455</v>
      </c>
      <c r="B141" s="493"/>
      <c r="C141" s="520"/>
      <c r="D141" s="521"/>
      <c r="E141" s="522"/>
      <c r="F141" s="460"/>
      <c r="G141" s="460"/>
      <c r="H141" s="460"/>
      <c r="I141" s="460"/>
      <c r="J141" s="460"/>
      <c r="K141" s="460"/>
      <c r="L141" s="460"/>
      <c r="M141" s="460"/>
    </row>
    <row r="142" spans="1:13" ht="12.75">
      <c r="A142" s="460" t="s">
        <v>3455</v>
      </c>
      <c r="B142" s="493"/>
      <c r="C142" s="520"/>
      <c r="D142" s="521"/>
      <c r="E142" s="522"/>
      <c r="F142" s="460"/>
      <c r="G142" s="460"/>
      <c r="H142" s="460"/>
      <c r="I142" s="460"/>
      <c r="J142" s="460"/>
      <c r="K142" s="460"/>
      <c r="L142" s="460"/>
      <c r="M142" s="460"/>
    </row>
    <row r="143" spans="1:13" ht="12.75">
      <c r="A143" s="460" t="s">
        <v>3455</v>
      </c>
      <c r="B143" s="493"/>
      <c r="C143" s="520"/>
      <c r="D143" s="521"/>
      <c r="E143" s="522"/>
      <c r="F143" s="460"/>
      <c r="G143" s="460"/>
      <c r="H143" s="460"/>
      <c r="I143" s="460"/>
      <c r="J143" s="460"/>
      <c r="K143" s="460"/>
      <c r="L143" s="460"/>
      <c r="M143" s="460"/>
    </row>
    <row r="144" spans="1:13" ht="12.75">
      <c r="A144" s="460" t="s">
        <v>3455</v>
      </c>
      <c r="B144" s="493"/>
      <c r="C144" s="520"/>
      <c r="D144" s="521"/>
      <c r="E144" s="522"/>
      <c r="F144" s="460"/>
      <c r="G144" s="460"/>
      <c r="H144" s="460"/>
      <c r="I144" s="460"/>
      <c r="J144" s="460"/>
      <c r="K144" s="460"/>
      <c r="L144" s="460"/>
      <c r="M144" s="460"/>
    </row>
    <row r="145" spans="1:13" ht="12.75">
      <c r="A145" s="460" t="s">
        <v>3455</v>
      </c>
      <c r="B145" s="493"/>
      <c r="C145" s="520"/>
      <c r="D145" s="521"/>
      <c r="E145" s="522"/>
      <c r="F145" s="460"/>
      <c r="G145" s="460"/>
      <c r="H145" s="460"/>
      <c r="I145" s="460"/>
      <c r="J145" s="460"/>
      <c r="K145" s="460"/>
      <c r="L145" s="460"/>
      <c r="M145" s="460"/>
    </row>
    <row r="146" spans="1:13" ht="12.75">
      <c r="A146" s="460" t="s">
        <v>3455</v>
      </c>
      <c r="B146" s="493"/>
      <c r="C146" s="520"/>
      <c r="D146" s="521"/>
      <c r="E146" s="522"/>
      <c r="F146" s="460"/>
      <c r="G146" s="460"/>
      <c r="H146" s="460" t="s">
        <v>3455</v>
      </c>
      <c r="I146" s="460"/>
      <c r="J146" s="460"/>
      <c r="K146" s="460"/>
      <c r="L146" s="460"/>
      <c r="M146" s="460" t="s">
        <v>3455</v>
      </c>
    </row>
    <row r="147" spans="1:13" ht="12.75">
      <c r="A147" s="460" t="s">
        <v>3455</v>
      </c>
      <c r="B147" s="493"/>
      <c r="C147" s="520"/>
      <c r="D147" s="521"/>
      <c r="E147" s="522"/>
      <c r="F147" s="460"/>
      <c r="G147" s="460"/>
      <c r="H147" s="460"/>
      <c r="I147" s="460"/>
      <c r="J147" s="460"/>
      <c r="K147" s="460"/>
      <c r="L147" s="460"/>
      <c r="M147" s="460"/>
    </row>
    <row r="148" spans="1:13" ht="12.75">
      <c r="A148" s="460" t="s">
        <v>3455</v>
      </c>
      <c r="B148" s="493"/>
      <c r="C148" s="520"/>
      <c r="D148" s="521"/>
      <c r="E148" s="522"/>
      <c r="F148" s="460"/>
      <c r="G148" s="460"/>
      <c r="H148" s="460"/>
      <c r="I148" s="460"/>
      <c r="J148" s="460"/>
      <c r="K148" s="460"/>
      <c r="L148" s="460"/>
      <c r="M148" s="460"/>
    </row>
    <row r="149" spans="1:13" ht="12.75">
      <c r="A149" s="460" t="s">
        <v>3455</v>
      </c>
      <c r="B149" s="493"/>
      <c r="C149" s="520"/>
      <c r="D149" s="521"/>
      <c r="E149" s="522"/>
      <c r="F149" s="460"/>
      <c r="G149" s="460"/>
      <c r="H149" s="460"/>
      <c r="I149" s="460"/>
      <c r="J149" s="460"/>
      <c r="K149" s="460"/>
      <c r="L149" s="460"/>
      <c r="M149" s="460"/>
    </row>
    <row r="150" spans="1:13" ht="12.75">
      <c r="A150" s="460" t="s">
        <v>3455</v>
      </c>
      <c r="B150" s="493"/>
      <c r="C150" s="520"/>
      <c r="D150" s="521"/>
      <c r="E150" s="522"/>
      <c r="F150" s="460"/>
      <c r="G150" s="460"/>
      <c r="H150" s="460"/>
      <c r="I150" s="460"/>
      <c r="J150" s="460"/>
      <c r="K150" s="460"/>
      <c r="L150" s="460"/>
      <c r="M150" s="460"/>
    </row>
    <row r="151" spans="1:13" s="332" customFormat="1" ht="13.5" thickBot="1">
      <c r="A151" s="460"/>
      <c r="B151" s="498"/>
      <c r="C151" s="523"/>
      <c r="D151" s="524"/>
      <c r="E151" s="525"/>
      <c r="F151" s="460"/>
      <c r="G151" s="460"/>
      <c r="H151" s="460"/>
      <c r="I151" s="460"/>
      <c r="J151" s="460"/>
      <c r="K151" s="460"/>
      <c r="L151" s="460"/>
      <c r="M151" s="460"/>
    </row>
    <row r="152" spans="1:13" s="332" customFormat="1" ht="12.75">
      <c r="A152" s="460" t="s">
        <v>3455</v>
      </c>
      <c r="B152" s="460" t="s">
        <v>3455</v>
      </c>
      <c r="C152" s="460" t="s">
        <v>3455</v>
      </c>
      <c r="D152" s="460" t="s">
        <v>3455</v>
      </c>
      <c r="E152" s="460" t="s">
        <v>3455</v>
      </c>
      <c r="F152" s="460" t="s">
        <v>3455</v>
      </c>
      <c r="G152" s="460" t="s">
        <v>3455</v>
      </c>
      <c r="H152" s="460"/>
      <c r="I152" s="460"/>
      <c r="J152" s="460"/>
      <c r="K152" s="460"/>
      <c r="L152" s="460"/>
      <c r="M152" s="460"/>
    </row>
    <row r="153" s="332" customFormat="1" ht="12.75"/>
    <row r="154" s="332" customFormat="1" ht="12.75"/>
    <row r="155" s="332" customFormat="1" ht="12.75"/>
    <row r="156" s="332" customFormat="1" ht="12.75"/>
    <row r="157" s="332" customFormat="1" ht="12.75"/>
    <row r="158" s="332" customFormat="1" ht="12.75"/>
    <row r="159" s="332" customFormat="1" ht="12.75"/>
    <row r="160" s="332" customFormat="1" ht="12.75"/>
    <row r="161" s="332" customFormat="1" ht="12.75"/>
    <row r="162" s="332" customFormat="1" ht="12.75"/>
    <row r="163" s="332" customFormat="1" ht="12.75"/>
    <row r="164" s="332" customFormat="1" ht="12.75"/>
    <row r="165" s="332" customFormat="1" ht="12.75"/>
    <row r="166" s="332" customFormat="1" ht="12.75"/>
    <row r="167" s="332" customFormat="1" ht="12.75"/>
    <row r="168" s="332" customFormat="1" ht="12.75"/>
    <row r="169" s="332" customFormat="1" ht="12.75"/>
    <row r="170" s="332" customFormat="1" ht="12.75"/>
    <row r="171" s="332" customFormat="1" ht="12.75"/>
    <row r="172" s="332" customFormat="1" ht="12.75"/>
    <row r="173" s="332" customFormat="1" ht="12.75"/>
    <row r="174" s="332" customFormat="1" ht="12.75"/>
    <row r="175" s="332" customFormat="1" ht="12.75"/>
    <row r="176" s="332" customFormat="1" ht="12.75"/>
    <row r="177" s="332" customFormat="1" ht="12.75"/>
    <row r="178" s="332" customFormat="1" ht="12.75"/>
    <row r="179" s="332" customFormat="1" ht="12.75"/>
    <row r="180" s="332" customFormat="1" ht="12.75"/>
    <row r="181" s="332" customFormat="1" ht="12.75"/>
    <row r="182" s="332" customFormat="1" ht="12.75"/>
    <row r="183" s="332" customFormat="1" ht="12.75"/>
    <row r="184" s="332" customFormat="1" ht="12.75"/>
    <row r="185" s="332" customFormat="1" ht="12.75"/>
    <row r="186" s="332" customFormat="1" ht="12.75"/>
    <row r="187" s="332" customFormat="1" ht="12.75"/>
    <row r="188" s="332" customFormat="1" ht="12.75"/>
    <row r="189" s="332" customFormat="1" ht="12.75"/>
    <row r="190" s="332" customFormat="1" ht="12.75"/>
    <row r="191" s="332" customFormat="1" ht="12.75"/>
    <row r="192" s="332" customFormat="1" ht="12.75"/>
    <row r="193" s="332" customFormat="1" ht="12.75"/>
    <row r="194" s="332" customFormat="1" ht="12.75"/>
    <row r="195" s="332" customFormat="1" ht="12.75"/>
    <row r="196" s="332" customFormat="1" ht="12.75"/>
    <row r="197" s="332" customFormat="1" ht="12.75"/>
    <row r="198" s="332" customFormat="1" ht="12.75"/>
    <row r="199" s="332" customFormat="1" ht="12.75"/>
    <row r="200" s="332" customFormat="1" ht="12.75"/>
    <row r="201" s="332" customFormat="1" ht="12.75"/>
    <row r="202" s="332" customFormat="1" ht="12.75"/>
    <row r="203" s="332" customFormat="1" ht="12.75"/>
    <row r="204" s="332" customFormat="1" ht="12.75"/>
    <row r="205" s="332" customFormat="1" ht="12.75"/>
    <row r="206" s="332" customFormat="1" ht="12.75"/>
    <row r="207" s="332" customFormat="1" ht="12.75"/>
    <row r="208" s="332" customFormat="1" ht="12.75"/>
    <row r="209" s="332" customFormat="1" ht="12.75"/>
    <row r="210" s="332" customFormat="1" ht="12.75"/>
    <row r="211" s="332" customFormat="1" ht="12.75"/>
    <row r="212" s="332" customFormat="1" ht="12.75"/>
    <row r="213" s="332" customFormat="1" ht="12.75"/>
    <row r="214" s="332" customFormat="1" ht="12.75"/>
    <row r="215" s="332" customFormat="1" ht="12.75"/>
    <row r="216" s="332" customFormat="1" ht="12.75"/>
    <row r="217" s="332" customFormat="1" ht="12.75"/>
    <row r="218" s="332" customFormat="1" ht="12.75"/>
    <row r="219" s="332" customFormat="1" ht="12.75"/>
    <row r="220" s="332" customFormat="1" ht="12.75"/>
    <row r="221" s="332" customFormat="1" ht="12.75"/>
    <row r="222" s="332" customFormat="1" ht="12.75"/>
    <row r="223" s="332" customFormat="1" ht="12.75"/>
    <row r="224" s="332" customFormat="1" ht="12.75"/>
    <row r="225" s="332" customFormat="1" ht="12.75"/>
    <row r="226" s="332" customFormat="1" ht="12.75"/>
    <row r="227" s="332" customFormat="1" ht="12.75"/>
    <row r="228" s="332" customFormat="1" ht="12.75"/>
    <row r="229" s="332" customFormat="1" ht="12.75"/>
    <row r="230" s="332" customFormat="1" ht="12.75"/>
    <row r="231" s="332" customFormat="1" ht="12.75"/>
    <row r="232" s="332" customFormat="1" ht="12.75"/>
    <row r="233" s="332" customFormat="1" ht="12.75"/>
    <row r="234" s="332" customFormat="1" ht="12.75"/>
    <row r="235" s="332" customFormat="1" ht="12.75"/>
    <row r="236" s="332" customFormat="1" ht="12.75"/>
    <row r="237" s="332" customFormat="1" ht="12.75"/>
    <row r="238" s="332" customFormat="1" ht="12.75"/>
    <row r="239" s="332" customFormat="1" ht="12.75"/>
    <row r="240" s="332" customFormat="1" ht="12.75"/>
    <row r="241" s="332" customFormat="1" ht="12.75"/>
    <row r="242" s="332" customFormat="1" ht="12.75"/>
    <row r="243" s="332" customFormat="1" ht="12.75"/>
    <row r="244" s="332" customFormat="1" ht="12.75"/>
    <row r="245" s="332" customFormat="1" ht="12.75"/>
    <row r="246" s="332" customFormat="1" ht="12.75"/>
    <row r="247" s="332" customFormat="1" ht="12.75"/>
    <row r="248" s="332" customFormat="1" ht="12.75"/>
    <row r="249" s="332" customFormat="1" ht="12.75"/>
    <row r="250" s="332" customFormat="1" ht="12.75"/>
    <row r="251" s="332" customFormat="1" ht="12.75"/>
    <row r="252" s="332" customFormat="1" ht="12.75"/>
    <row r="253" s="332" customFormat="1" ht="12.75"/>
    <row r="254" s="332" customFormat="1" ht="12.75"/>
    <row r="255" s="332" customFormat="1" ht="12.75"/>
    <row r="256" s="332" customFormat="1" ht="12.75"/>
    <row r="257" s="332" customFormat="1" ht="12.75"/>
    <row r="258" s="332" customFormat="1" ht="12.75"/>
    <row r="259" s="332" customFormat="1" ht="12.75"/>
    <row r="260" s="332" customFormat="1" ht="12.75"/>
    <row r="261" s="332" customFormat="1" ht="12.75"/>
    <row r="262" s="332" customFormat="1" ht="12.75"/>
    <row r="263" s="332" customFormat="1" ht="12.75"/>
    <row r="264" s="332" customFormat="1" ht="12.75"/>
    <row r="265" s="332" customFormat="1" ht="12.75"/>
    <row r="266" s="332" customFormat="1" ht="12.75"/>
    <row r="267" s="332" customFormat="1" ht="12.75"/>
    <row r="268" s="332" customFormat="1" ht="12.75"/>
    <row r="269" s="332" customFormat="1" ht="12.75"/>
    <row r="270" s="332" customFormat="1" ht="12.75"/>
    <row r="271" s="332" customFormat="1" ht="12.75"/>
    <row r="272" s="332" customFormat="1" ht="12.75"/>
    <row r="273" s="332" customFormat="1" ht="12.75"/>
    <row r="274" s="332" customFormat="1" ht="12.75"/>
    <row r="275" s="332" customFormat="1" ht="12.75"/>
    <row r="276" s="332" customFormat="1" ht="12.75"/>
    <row r="277" s="332" customFormat="1" ht="12.75"/>
    <row r="278" s="332" customFormat="1" ht="12.75"/>
    <row r="279" s="332" customFormat="1" ht="12.75"/>
    <row r="280" s="332" customFormat="1" ht="12.75"/>
    <row r="281" s="332" customFormat="1" ht="12.75"/>
    <row r="282" s="332" customFormat="1" ht="12.75"/>
    <row r="283" s="332" customFormat="1" ht="12.75"/>
    <row r="284" s="332" customFormat="1" ht="12.75"/>
    <row r="285" s="332" customFormat="1" ht="12.75"/>
    <row r="286" s="332" customFormat="1" ht="12.75"/>
    <row r="287" s="332" customFormat="1" ht="12.75"/>
    <row r="288" s="332" customFormat="1" ht="12.75"/>
    <row r="289" s="332" customFormat="1" ht="12.75"/>
    <row r="290" s="332" customFormat="1" ht="12.75"/>
    <row r="291" s="332" customFormat="1" ht="12.75"/>
    <row r="292" s="332" customFormat="1" ht="12.75"/>
    <row r="293" s="332" customFormat="1" ht="12.75"/>
    <row r="294" s="332" customFormat="1" ht="12.75"/>
    <row r="295" s="332" customFormat="1" ht="12.75"/>
    <row r="296" s="332" customFormat="1" ht="12.75"/>
    <row r="297" s="332" customFormat="1" ht="12.75"/>
    <row r="298" s="332" customFormat="1" ht="12.75"/>
    <row r="299" s="332" customFormat="1" ht="12.75"/>
    <row r="300" s="332" customFormat="1" ht="12.75"/>
    <row r="301" s="332" customFormat="1" ht="12.75"/>
    <row r="302" s="332" customFormat="1" ht="12.75"/>
    <row r="303" s="332" customFormat="1" ht="12.75"/>
    <row r="304" s="332" customFormat="1" ht="12.75"/>
    <row r="305" s="332" customFormat="1" ht="12.75"/>
    <row r="306" s="332" customFormat="1" ht="12.75"/>
    <row r="307" s="332" customFormat="1" ht="12.75"/>
    <row r="308" s="332" customFormat="1" ht="12.75"/>
    <row r="309" s="332" customFormat="1" ht="12.75"/>
    <row r="310" s="332" customFormat="1" ht="12.75"/>
    <row r="311" s="332" customFormat="1" ht="12.75"/>
    <row r="312" s="332" customFormat="1" ht="12.75"/>
    <row r="313" s="332" customFormat="1" ht="12.75"/>
    <row r="314" s="332" customFormat="1" ht="12.75"/>
    <row r="315" s="332" customFormat="1" ht="12.75"/>
    <row r="316" s="332" customFormat="1" ht="12.75"/>
    <row r="317" s="332" customFormat="1" ht="12.75"/>
    <row r="318" s="332" customFormat="1" ht="12.75"/>
    <row r="319" s="332" customFormat="1" ht="12.75"/>
    <row r="320" s="332" customFormat="1" ht="12.75"/>
    <row r="321" s="332" customFormat="1" ht="12.75"/>
    <row r="322" s="332" customFormat="1" ht="12.75"/>
    <row r="323" s="332" customFormat="1" ht="12.75"/>
    <row r="324" s="332" customFormat="1" ht="12.75"/>
    <row r="325" s="332" customFormat="1" ht="12.75"/>
    <row r="326" s="332" customFormat="1" ht="12.75"/>
    <row r="327" s="332" customFormat="1" ht="12.75"/>
    <row r="328" s="332" customFormat="1" ht="12.75"/>
    <row r="329" s="332" customFormat="1" ht="12.75"/>
    <row r="330" s="332" customFormat="1" ht="12.75"/>
    <row r="331" s="332" customFormat="1" ht="12.75"/>
    <row r="332" s="332" customFormat="1" ht="12.75"/>
    <row r="333" s="332" customFormat="1" ht="12.75"/>
    <row r="334" s="332" customFormat="1" ht="12.75"/>
    <row r="335" s="332" customFormat="1" ht="12.75"/>
    <row r="336" s="332" customFormat="1" ht="12.75"/>
    <row r="337" s="332" customFormat="1" ht="12.75"/>
    <row r="338" s="332" customFormat="1" ht="12.75"/>
    <row r="339" s="332" customFormat="1" ht="12.75"/>
    <row r="340" s="332" customFormat="1" ht="12.75"/>
    <row r="341" s="332" customFormat="1" ht="12.75"/>
    <row r="342" s="332" customFormat="1" ht="12.75"/>
    <row r="343" s="332" customFormat="1" ht="12.75"/>
    <row r="344" s="332" customFormat="1" ht="12.75"/>
    <row r="345" s="332" customFormat="1" ht="12.75"/>
    <row r="346" s="332" customFormat="1" ht="12.75"/>
    <row r="347" s="332" customFormat="1" ht="12.75"/>
    <row r="348" s="332" customFormat="1" ht="12.75"/>
    <row r="349" s="332" customFormat="1" ht="12.75"/>
    <row r="350" s="332" customFormat="1" ht="12.75"/>
    <row r="351" s="332" customFormat="1" ht="12.75"/>
    <row r="352" s="332" customFormat="1" ht="12.75"/>
    <row r="353" s="332" customFormat="1" ht="12.75"/>
    <row r="354" s="332" customFormat="1" ht="12.75"/>
    <row r="355" s="332" customFormat="1" ht="12.75"/>
    <row r="356" s="332" customFormat="1" ht="12.75"/>
    <row r="357" s="332" customFormat="1" ht="12.75"/>
    <row r="358" s="332" customFormat="1" ht="12.75"/>
    <row r="359" s="332" customFormat="1" ht="12.75"/>
    <row r="360" s="332" customFormat="1" ht="12.75"/>
    <row r="361" s="332" customFormat="1" ht="12.75"/>
    <row r="362" s="332" customFormat="1" ht="12.75"/>
    <row r="363" s="332" customFormat="1" ht="12.75"/>
    <row r="364" s="332" customFormat="1" ht="12.75"/>
    <row r="365" s="332" customFormat="1" ht="12.75"/>
    <row r="366" s="332" customFormat="1" ht="12.75"/>
    <row r="367" s="332" customFormat="1" ht="12.75"/>
    <row r="368" s="332" customFormat="1" ht="12.75"/>
    <row r="369" s="332" customFormat="1" ht="12.75"/>
    <row r="370" s="332" customFormat="1" ht="12.75"/>
    <row r="371" s="332" customFormat="1" ht="12.75"/>
    <row r="372" s="332" customFormat="1" ht="12.75"/>
    <row r="373" s="332" customFormat="1" ht="12.75"/>
    <row r="374" s="332" customFormat="1" ht="12.75"/>
    <row r="375" s="332" customFormat="1" ht="12.75"/>
    <row r="376" s="332" customFormat="1" ht="12.75"/>
    <row r="377" s="332" customFormat="1" ht="12.75"/>
    <row r="378" s="332" customFormat="1" ht="12.75"/>
    <row r="379" s="332" customFormat="1" ht="12.75"/>
    <row r="380" s="332" customFormat="1" ht="12.75"/>
    <row r="381" s="332" customFormat="1" ht="12.75"/>
    <row r="382" s="332" customFormat="1" ht="12.75"/>
    <row r="383" s="332" customFormat="1" ht="12.75"/>
    <row r="384" s="332" customFormat="1" ht="12.75"/>
    <row r="385" s="332" customFormat="1" ht="12.75"/>
    <row r="386" s="332" customFormat="1" ht="12.75"/>
    <row r="387" s="332" customFormat="1" ht="12.75"/>
    <row r="388" s="332" customFormat="1" ht="12.75"/>
    <row r="389" s="332" customFormat="1" ht="12.75"/>
    <row r="390" s="332" customFormat="1" ht="12.75"/>
    <row r="391" s="332" customFormat="1" ht="12.75"/>
    <row r="392" s="332" customFormat="1" ht="12.75"/>
    <row r="393" s="332" customFormat="1" ht="12.75"/>
    <row r="394" s="332" customFormat="1" ht="12.75"/>
    <row r="395" s="332" customFormat="1" ht="12.75"/>
    <row r="396" s="332" customFormat="1" ht="12.75"/>
    <row r="397" s="332" customFormat="1" ht="12.75"/>
    <row r="398" s="332" customFormat="1" ht="12.75"/>
    <row r="399" s="332" customFormat="1" ht="12.75"/>
    <row r="400" s="332" customFormat="1" ht="12.75"/>
    <row r="401" s="332" customFormat="1" ht="12.75"/>
    <row r="402" s="332" customFormat="1" ht="12.75"/>
    <row r="403" s="332" customFormat="1" ht="12.75"/>
    <row r="404" s="332" customFormat="1" ht="12.75"/>
    <row r="405" s="332" customFormat="1" ht="12.75"/>
    <row r="406" s="332" customFormat="1" ht="12.75"/>
    <row r="407" s="332" customFormat="1" ht="12.75"/>
    <row r="408" s="332" customFormat="1" ht="12.75"/>
    <row r="409" s="332" customFormat="1" ht="12.75"/>
    <row r="410" s="332" customFormat="1" ht="12.75"/>
    <row r="411" s="332" customFormat="1" ht="12.75"/>
    <row r="412" s="332" customFormat="1" ht="12.75"/>
    <row r="413" s="332" customFormat="1" ht="12.75"/>
    <row r="414" s="332" customFormat="1" ht="12.75"/>
    <row r="415" s="332" customFormat="1" ht="12.75"/>
    <row r="416" s="332" customFormat="1" ht="12.75"/>
    <row r="417" s="332" customFormat="1" ht="12.75"/>
    <row r="418" s="332" customFormat="1" ht="12.75"/>
    <row r="419" s="332" customFormat="1" ht="12.75"/>
    <row r="420" s="332" customFormat="1" ht="12.75"/>
    <row r="421" s="332" customFormat="1" ht="12.75"/>
    <row r="422" s="332" customFormat="1" ht="12.75"/>
    <row r="423" s="332" customFormat="1" ht="12.75"/>
    <row r="424" s="332" customFormat="1" ht="12.75"/>
    <row r="425" s="332" customFormat="1" ht="12.75"/>
    <row r="426" s="332" customFormat="1" ht="12.75"/>
    <row r="427" s="332" customFormat="1" ht="12.75"/>
    <row r="428" s="332" customFormat="1" ht="12.75"/>
    <row r="429" s="332" customFormat="1" ht="12.75"/>
    <row r="430" s="332" customFormat="1" ht="12.75"/>
    <row r="431" s="332" customFormat="1" ht="12.75"/>
    <row r="432" s="332" customFormat="1" ht="12.75"/>
    <row r="433" s="332" customFormat="1" ht="12.75"/>
    <row r="434" s="332" customFormat="1" ht="12.75"/>
    <row r="435" s="332" customFormat="1" ht="12.75"/>
    <row r="436" s="332" customFormat="1" ht="12.75"/>
    <row r="437" s="332" customFormat="1" ht="12.75"/>
    <row r="438" s="332" customFormat="1" ht="12.75"/>
    <row r="439" s="332" customFormat="1" ht="12.75"/>
    <row r="440" s="332" customFormat="1" ht="12.75"/>
    <row r="441" s="332" customFormat="1" ht="12.75"/>
    <row r="442" s="332" customFormat="1" ht="12.75"/>
    <row r="443" s="332" customFormat="1" ht="12.75"/>
    <row r="444" s="332" customFormat="1" ht="12.75"/>
    <row r="445" s="332" customFormat="1" ht="12.75"/>
    <row r="446" s="332" customFormat="1" ht="12.75"/>
    <row r="447" s="332" customFormat="1" ht="12.75"/>
    <row r="448" s="332" customFormat="1" ht="12.75"/>
    <row r="449" s="332" customFormat="1" ht="12.75"/>
    <row r="450" s="332" customFormat="1" ht="12.75"/>
    <row r="451" s="332" customFormat="1" ht="12.75"/>
    <row r="452" s="332" customFormat="1" ht="12.75"/>
    <row r="453" s="332" customFormat="1" ht="12.75"/>
    <row r="454" s="332" customFormat="1" ht="12.75"/>
    <row r="455" s="332" customFormat="1" ht="12.75"/>
    <row r="456" s="332" customFormat="1" ht="12.75"/>
    <row r="457" s="332" customFormat="1" ht="12.75"/>
    <row r="458" s="332" customFormat="1" ht="12.75"/>
    <row r="459" s="332" customFormat="1" ht="12.75"/>
    <row r="460" s="332" customFormat="1" ht="12.75"/>
    <row r="461" s="332" customFormat="1" ht="12.75"/>
    <row r="462" s="332" customFormat="1" ht="12.75"/>
    <row r="463" s="332" customFormat="1" ht="12.75"/>
    <row r="464" s="332" customFormat="1" ht="12.75"/>
    <row r="465" s="332" customFormat="1" ht="12.75"/>
    <row r="466" s="332" customFormat="1" ht="12.75"/>
    <row r="467" s="332" customFormat="1" ht="12.75"/>
    <row r="468" s="332" customFormat="1" ht="12.75"/>
    <row r="469" s="332" customFormat="1" ht="12.75"/>
    <row r="470" s="332" customFormat="1" ht="12.75"/>
    <row r="471" s="332" customFormat="1" ht="12.75"/>
    <row r="472" s="332" customFormat="1" ht="12.75"/>
    <row r="473" s="332" customFormat="1" ht="12.75"/>
    <row r="474" s="332" customFormat="1" ht="12.75"/>
    <row r="475" s="332" customFormat="1" ht="12.75"/>
    <row r="476" s="332" customFormat="1" ht="12.75"/>
    <row r="477" s="332" customFormat="1" ht="12.75"/>
    <row r="478" s="332" customFormat="1" ht="12.75"/>
    <row r="479" s="332" customFormat="1" ht="12.75"/>
    <row r="480" s="332" customFormat="1" ht="12.75"/>
    <row r="481" s="332" customFormat="1" ht="12.75"/>
    <row r="482" s="332" customFormat="1" ht="12.75"/>
    <row r="483" s="332" customFormat="1" ht="12.75"/>
    <row r="484" s="332" customFormat="1" ht="12.75"/>
    <row r="485" s="332" customFormat="1" ht="12.75"/>
    <row r="486" s="332" customFormat="1" ht="12.75"/>
    <row r="487" s="332" customFormat="1" ht="12.75"/>
    <row r="488" s="332" customFormat="1" ht="12.75"/>
    <row r="489" s="332" customFormat="1" ht="12.75"/>
    <row r="490" s="332" customFormat="1" ht="12.75"/>
    <row r="491" s="332" customFormat="1" ht="12.75"/>
    <row r="492" s="332" customFormat="1" ht="12.75"/>
    <row r="493" s="332" customFormat="1" ht="12.75"/>
    <row r="494" s="332" customFormat="1" ht="12.75"/>
    <row r="495" s="332" customFormat="1" ht="12.75"/>
    <row r="496" s="332" customFormat="1" ht="12.75"/>
    <row r="497" s="332" customFormat="1" ht="12.75"/>
    <row r="498" s="332" customFormat="1" ht="12.75"/>
    <row r="499" s="332" customFormat="1" ht="12.75"/>
    <row r="500" s="332" customFormat="1" ht="12.75"/>
    <row r="501" s="332" customFormat="1" ht="12.75"/>
    <row r="502" s="332" customFormat="1" ht="12.75"/>
    <row r="503" s="332" customFormat="1" ht="12.75"/>
    <row r="504" s="332" customFormat="1" ht="12.75"/>
    <row r="505" s="332" customFormat="1" ht="12.75"/>
    <row r="506" s="332" customFormat="1" ht="12.75"/>
    <row r="507" s="332" customFormat="1" ht="12.75"/>
    <row r="508" s="332" customFormat="1" ht="12.75"/>
    <row r="509" s="332" customFormat="1" ht="12.75"/>
    <row r="510" s="332" customFormat="1" ht="12.75"/>
    <row r="511" s="332" customFormat="1" ht="12.75"/>
    <row r="512" s="332" customFormat="1" ht="12.75"/>
    <row r="513" s="332" customFormat="1" ht="12.75"/>
    <row r="514" s="332" customFormat="1" ht="12.75"/>
    <row r="515" s="332" customFormat="1" ht="12.75"/>
    <row r="516" s="332" customFormat="1" ht="12.75"/>
    <row r="517" s="332" customFormat="1" ht="12.75"/>
    <row r="518" s="332" customFormat="1" ht="12.75"/>
    <row r="519" s="332" customFormat="1" ht="12.75"/>
    <row r="520" s="332" customFormat="1" ht="12.75"/>
    <row r="521" s="332" customFormat="1" ht="12.75"/>
    <row r="522" s="332" customFormat="1" ht="12.75"/>
    <row r="523" s="332" customFormat="1" ht="12.75"/>
    <row r="524" s="332" customFormat="1" ht="12.75"/>
    <row r="525" s="332" customFormat="1" ht="12.75"/>
    <row r="526" s="332" customFormat="1" ht="12.75"/>
    <row r="527" s="332" customFormat="1" ht="12.75"/>
    <row r="528" s="332" customFormat="1" ht="12.75"/>
    <row r="529" s="332" customFormat="1" ht="12.75"/>
    <row r="530" s="332" customFormat="1" ht="12.75"/>
    <row r="531" s="332" customFormat="1" ht="12.75"/>
    <row r="532" s="332" customFormat="1" ht="12.75"/>
    <row r="533" s="332" customFormat="1" ht="12.75"/>
    <row r="534" s="332" customFormat="1" ht="12.75"/>
    <row r="535" s="332" customFormat="1" ht="12.75"/>
    <row r="536" s="332" customFormat="1" ht="12.75"/>
    <row r="537" s="332" customFormat="1" ht="12.75"/>
    <row r="538" s="332" customFormat="1" ht="12.75"/>
    <row r="539" s="332" customFormat="1" ht="12.75"/>
    <row r="540" s="332" customFormat="1" ht="12.75"/>
    <row r="541" s="332" customFormat="1" ht="12.75"/>
    <row r="542" s="332" customFormat="1" ht="12.75"/>
    <row r="543" s="332" customFormat="1" ht="12.75"/>
    <row r="544" s="332" customFormat="1" ht="12.75"/>
    <row r="545" s="332" customFormat="1" ht="12.75"/>
    <row r="546" s="332" customFormat="1" ht="12.75"/>
    <row r="547" s="332" customFormat="1" ht="12.75"/>
    <row r="548" spans="2:13" s="332" customFormat="1" ht="12.75">
      <c r="B548" s="333"/>
      <c r="C548" s="333"/>
      <c r="D548" s="333"/>
      <c r="E548" s="333"/>
      <c r="M548" s="333"/>
    </row>
    <row r="549" spans="2:13" s="332" customFormat="1" ht="12.75">
      <c r="B549" s="333"/>
      <c r="C549" s="333"/>
      <c r="D549" s="333"/>
      <c r="E549" s="333"/>
      <c r="M549" s="333"/>
    </row>
    <row r="550" spans="6:12" ht="12.75">
      <c r="F550" s="332"/>
      <c r="G550" s="332"/>
      <c r="I550" s="332"/>
      <c r="J550" s="332"/>
      <c r="K550" s="332"/>
      <c r="L550" s="332"/>
    </row>
    <row r="551" spans="6:7" ht="12.75">
      <c r="F551" s="332"/>
      <c r="G551" s="332"/>
    </row>
    <row r="552" spans="6:7" ht="12.75">
      <c r="F552" s="332"/>
      <c r="G552" s="332"/>
    </row>
  </sheetData>
  <pageMargins left="0.196850393700787" right="0.196850393700787" top="0.78740157480315" bottom="0.393700787401575" header="0.31496062992126" footer="0.31496062992126"/>
  <pageSetup fitToHeight="2" orientation="portrait" paperSize="9" scale="69" r:id="rId1"/>
  <rowBreaks count="1" manualBreakCount="1">
    <brk id="86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D2E7A8-C64A-48EC-9E90-9E9D53C19C5E}">
  <sheetPr codeName="List13">
    <tabColor rgb="FFFFFFCC"/>
    <pageSetUpPr fitToPage="1"/>
  </sheetPr>
  <dimension ref="A1:B25"/>
  <sheetViews>
    <sheetView workbookViewId="0" topLeftCell="A1">
      <selection pane="topLeft" activeCell="B12" sqref="B12"/>
    </sheetView>
  </sheetViews>
  <sheetFormatPr defaultColWidth="9.14428571428571" defaultRowHeight="12.75"/>
  <cols>
    <col min="1" max="1" width="4" style="271" customWidth="1"/>
    <col min="2" max="2" width="100.714285714286" style="271" customWidth="1"/>
    <col min="3" max="42" width="9.14285714285714" style="331"/>
    <col min="43" max="16384" width="9.14285714285714" style="271"/>
  </cols>
  <sheetData>
    <row r="1" spans="1:2" ht="18">
      <c r="A1" s="730" t="s">
        <v>3555</v>
      </c>
      <c r="B1" s="731"/>
    </row>
    <row r="2" spans="1:2" ht="12.75">
      <c r="A2" s="339"/>
      <c r="B2" s="339"/>
    </row>
    <row r="3" spans="1:2" ht="30">
      <c r="A3" s="340" t="s">
        <v>136</v>
      </c>
      <c r="B3" s="341" t="s">
        <v>3556</v>
      </c>
    </row>
    <row r="4" spans="1:2" ht="29.25">
      <c r="A4" s="340" t="s">
        <v>137</v>
      </c>
      <c r="B4" s="342" t="s">
        <v>3450</v>
      </c>
    </row>
    <row r="5" spans="1:2" ht="29.25">
      <c r="A5" s="340" t="s">
        <v>138</v>
      </c>
      <c r="B5" s="342" t="s">
        <v>3553</v>
      </c>
    </row>
    <row r="6" spans="1:2" ht="15">
      <c r="A6" s="340"/>
      <c r="B6" s="343" t="s">
        <v>3554</v>
      </c>
    </row>
    <row r="7" spans="1:2" s="331" customFormat="1" ht="15">
      <c r="A7" s="340"/>
      <c r="B7" s="343" t="s">
        <v>3557</v>
      </c>
    </row>
    <row r="8" spans="1:2" s="331" customFormat="1" ht="15">
      <c r="A8" s="340"/>
      <c r="B8" s="342" t="s">
        <v>3558</v>
      </c>
    </row>
    <row r="9" spans="1:2" s="331" customFormat="1" ht="29.25">
      <c r="A9" s="340"/>
      <c r="B9" s="342" t="s">
        <v>3559</v>
      </c>
    </row>
    <row r="10" spans="1:2" s="331" customFormat="1" ht="86.25">
      <c r="A10" s="340"/>
      <c r="B10" s="342" t="s">
        <v>3560</v>
      </c>
    </row>
    <row r="11" spans="1:2" s="331" customFormat="1" ht="29.25">
      <c r="A11" s="340" t="s">
        <v>317</v>
      </c>
      <c r="B11" s="345" t="s">
        <v>3561</v>
      </c>
    </row>
    <row r="12" spans="1:2" s="331" customFormat="1" ht="59.25">
      <c r="A12" s="340" t="s">
        <v>103</v>
      </c>
      <c r="B12" s="342" t="s">
        <v>3562</v>
      </c>
    </row>
    <row r="13" spans="1:2" s="331" customFormat="1" ht="15">
      <c r="A13" s="340" t="s">
        <v>316</v>
      </c>
      <c r="B13" s="342" t="s">
        <v>3992</v>
      </c>
    </row>
    <row r="14" spans="1:2" s="331" customFormat="1" ht="15.75">
      <c r="A14" s="340"/>
      <c r="B14" s="710" t="s">
        <v>3993</v>
      </c>
    </row>
    <row r="15" spans="1:2" s="331" customFormat="1" ht="73.5" customHeight="1">
      <c r="A15" s="340"/>
      <c r="B15" s="342" t="s">
        <v>3994</v>
      </c>
    </row>
    <row r="16" spans="1:2" s="331" customFormat="1" ht="85.5">
      <c r="A16" s="340"/>
      <c r="B16" s="342" t="s">
        <v>3995</v>
      </c>
    </row>
    <row r="17" spans="1:2" s="331" customFormat="1" ht="45" customHeight="1">
      <c r="A17" s="340" t="s">
        <v>315</v>
      </c>
      <c r="B17" s="342" t="s">
        <v>3996</v>
      </c>
    </row>
    <row r="18" spans="1:2" s="331" customFormat="1" ht="15" customHeight="1">
      <c r="A18" s="340"/>
      <c r="B18" s="344" t="s">
        <v>3451</v>
      </c>
    </row>
    <row r="19" spans="1:2" s="331" customFormat="1" ht="14.25">
      <c r="A19" s="340" t="s">
        <v>314</v>
      </c>
      <c r="B19" s="342" t="s">
        <v>3563</v>
      </c>
    </row>
    <row r="20" spans="1:2" s="331" customFormat="1" ht="14.25">
      <c r="A20" s="340"/>
      <c r="B20" s="342" t="s">
        <v>3997</v>
      </c>
    </row>
    <row r="21" spans="1:2" s="331" customFormat="1" ht="14.25">
      <c r="A21" s="340"/>
      <c r="B21" s="342" t="s">
        <v>3929</v>
      </c>
    </row>
    <row r="22" spans="1:2" s="331" customFormat="1" ht="12.75">
      <c r="A22" s="339"/>
      <c r="B22" s="339"/>
    </row>
    <row r="23" spans="1:2" s="331" customFormat="1" ht="15.75">
      <c r="A23" s="339"/>
      <c r="B23" s="346" t="s">
        <v>3664</v>
      </c>
    </row>
    <row r="24" spans="1:2" s="331" customFormat="1" ht="14.25">
      <c r="A24" s="339"/>
      <c r="B24" s="347" t="s">
        <v>3452</v>
      </c>
    </row>
    <row r="25" spans="1:2" s="331" customFormat="1" ht="14.25">
      <c r="A25" s="339"/>
      <c r="B25" s="347" t="s">
        <v>3453</v>
      </c>
    </row>
    <row r="26" s="331" customFormat="1" ht="12.75"/>
    <row r="27" s="331" customFormat="1" ht="12.75"/>
    <row r="28" s="331" customFormat="1" ht="12.75"/>
    <row r="29" s="331" customFormat="1" ht="12.75"/>
    <row r="30" s="331" customFormat="1" ht="12.75"/>
    <row r="31" s="331" customFormat="1" ht="12.75"/>
    <row r="32" s="331" customFormat="1" ht="12.75"/>
    <row r="33" s="331" customFormat="1" ht="12.75"/>
    <row r="34" s="331" customFormat="1" ht="12.75"/>
    <row r="35" s="331" customFormat="1" ht="12.75"/>
    <row r="36" s="331" customFormat="1" ht="12.75"/>
    <row r="37" s="331" customFormat="1" ht="12.75"/>
    <row r="38" s="331" customFormat="1" ht="12.75"/>
    <row r="39" s="331" customFormat="1" ht="12.75"/>
    <row r="40" s="331" customFormat="1" ht="12.75"/>
    <row r="41" s="331" customFormat="1" ht="12.75"/>
    <row r="42" s="331" customFormat="1" ht="12.75"/>
    <row r="43" s="331" customFormat="1" ht="12.75"/>
    <row r="44" s="331" customFormat="1" ht="12.75"/>
    <row r="45" s="331" customFormat="1" ht="12.75"/>
    <row r="46" s="331" customFormat="1" ht="12.75"/>
    <row r="47" s="331" customFormat="1" ht="12.75"/>
    <row r="48" s="331" customFormat="1" ht="12.75"/>
    <row r="49" s="331" customFormat="1" ht="12.75"/>
    <row r="50" s="331" customFormat="1" ht="12.75"/>
    <row r="51" s="331" customFormat="1" ht="12.75"/>
    <row r="52" s="331" customFormat="1" ht="12.75"/>
    <row r="53" s="331" customFormat="1" ht="12.75"/>
    <row r="54" s="331" customFormat="1" ht="12.75"/>
    <row r="55" s="331" customFormat="1" ht="12.75"/>
    <row r="56" s="331" customFormat="1" ht="12.75"/>
    <row r="57" s="331" customFormat="1" ht="12.75"/>
    <row r="58" s="331" customFormat="1" ht="12.75"/>
    <row r="59" s="331" customFormat="1" ht="12.75"/>
    <row r="60" s="331" customFormat="1" ht="12.75"/>
    <row r="61" s="331" customFormat="1" ht="12.75"/>
    <row r="62" s="331" customFormat="1" ht="12.75"/>
    <row r="63" s="331" customFormat="1" ht="12.75"/>
    <row r="64" s="331" customFormat="1" ht="12.75"/>
    <row r="65" s="331" customFormat="1" ht="12.75"/>
    <row r="66" s="331" customFormat="1" ht="12.75"/>
    <row r="67" s="331" customFormat="1" ht="12.75"/>
    <row r="68" s="331" customFormat="1" ht="12.75"/>
    <row r="69" s="331" customFormat="1" ht="12.75"/>
    <row r="70" s="331" customFormat="1" ht="12.75"/>
    <row r="71" s="331" customFormat="1" ht="12.75"/>
    <row r="72" s="331" customFormat="1" ht="12.75"/>
    <row r="73" s="331" customFormat="1" ht="12.75"/>
    <row r="74" s="331" customFormat="1" ht="12.75"/>
    <row r="75" s="331" customFormat="1" ht="12.75"/>
    <row r="76" s="331" customFormat="1" ht="12.75"/>
    <row r="77" s="331" customFormat="1" ht="12.75"/>
    <row r="78" s="331" customFormat="1" ht="12.75"/>
    <row r="79" s="331" customFormat="1" ht="12.75"/>
    <row r="80" s="331" customFormat="1" ht="12.75"/>
    <row r="81" s="331" customFormat="1" ht="12.75"/>
    <row r="82" s="331" customFormat="1" ht="12.75"/>
    <row r="83" s="331" customFormat="1" ht="12.75"/>
    <row r="84" s="331" customFormat="1" ht="12.75"/>
    <row r="85" s="331" customFormat="1" ht="12.75"/>
    <row r="86" s="331" customFormat="1" ht="12.75"/>
    <row r="87" s="331" customFormat="1" ht="12.75"/>
    <row r="88" s="331" customFormat="1" ht="12.75"/>
    <row r="89" s="331" customFormat="1" ht="12.75"/>
    <row r="90" s="331" customFormat="1" ht="12.75"/>
    <row r="91" s="331" customFormat="1" ht="12.75"/>
    <row r="92" s="331" customFormat="1" ht="12.75"/>
    <row r="93" s="331" customFormat="1" ht="12.75"/>
    <row r="94" s="331" customFormat="1" ht="12.75"/>
    <row r="95" s="331" customFormat="1" ht="12.75"/>
    <row r="96" s="331" customFormat="1" ht="12.75"/>
    <row r="97" s="331" customFormat="1" ht="12.75"/>
    <row r="98" s="331" customFormat="1" ht="12.75"/>
    <row r="99" s="331" customFormat="1" ht="12.75"/>
    <row r="100" s="331" customFormat="1" ht="12.75"/>
    <row r="101" s="331" customFormat="1" ht="12.75"/>
    <row r="102" s="331" customFormat="1" ht="12.75"/>
    <row r="103" s="331" customFormat="1" ht="12.75"/>
    <row r="104" s="331" customFormat="1" ht="12.75"/>
    <row r="105" s="331" customFormat="1" ht="12.75"/>
    <row r="106" s="331" customFormat="1" ht="12.75"/>
    <row r="107" s="331" customFormat="1" ht="12.75"/>
    <row r="108" s="331" customFormat="1" ht="12.75"/>
    <row r="109" s="331" customFormat="1" ht="12.75"/>
    <row r="110" s="331" customFormat="1" ht="12.75"/>
    <row r="111" s="331" customFormat="1" ht="12.75"/>
    <row r="112" s="331" customFormat="1" ht="12.75"/>
    <row r="113" s="331" customFormat="1" ht="12.75"/>
    <row r="114" s="331" customFormat="1" ht="12.75"/>
    <row r="115" s="331" customFormat="1" ht="12.75"/>
    <row r="116" s="331" customFormat="1" ht="12.75"/>
    <row r="117" s="331" customFormat="1" ht="12.75"/>
    <row r="118" s="331" customFormat="1" ht="12.75"/>
    <row r="119" s="331" customFormat="1" ht="12.75"/>
    <row r="120" s="331" customFormat="1" ht="12.75"/>
    <row r="121" s="331" customFormat="1" ht="12.75"/>
    <row r="122" s="331" customFormat="1" ht="12.75"/>
    <row r="123" s="331" customFormat="1" ht="12.75"/>
    <row r="124" s="331" customFormat="1" ht="12.75"/>
    <row r="125" s="331" customFormat="1" ht="12.75"/>
    <row r="126" s="331" customFormat="1" ht="12.75"/>
    <row r="127" s="331" customFormat="1" ht="12.75"/>
    <row r="128" s="331" customFormat="1" ht="12.75"/>
    <row r="129" s="331" customFormat="1" ht="12.75"/>
    <row r="130" s="331" customFormat="1" ht="12.75"/>
    <row r="131" s="331" customFormat="1" ht="12.75"/>
    <row r="132" s="331" customFormat="1" ht="12.75"/>
    <row r="133" s="331" customFormat="1" ht="12.75"/>
    <row r="134" s="331" customFormat="1" ht="12.75"/>
    <row r="135" s="331" customFormat="1" ht="12.75"/>
    <row r="136" s="331" customFormat="1" ht="12.75"/>
    <row r="137" s="331" customFormat="1" ht="12.75"/>
    <row r="138" s="331" customFormat="1" ht="12.75"/>
    <row r="139" s="331" customFormat="1" ht="12.75"/>
    <row r="140" s="331" customFormat="1" ht="12.75"/>
    <row r="141" s="331" customFormat="1" ht="12.75"/>
    <row r="142" s="331" customFormat="1" ht="12.75"/>
    <row r="143" s="331" customFormat="1" ht="12.75"/>
    <row r="144" s="331" customFormat="1" ht="12.75"/>
    <row r="145" s="331" customFormat="1" ht="12.75"/>
    <row r="146" s="331" customFormat="1" ht="12.75"/>
    <row r="147" s="331" customFormat="1" ht="12.75"/>
    <row r="148" s="331" customFormat="1" ht="12.75"/>
    <row r="149" s="331" customFormat="1" ht="12.75"/>
    <row r="150" s="331" customFormat="1" ht="12.75"/>
    <row r="151" s="331" customFormat="1" ht="12.75"/>
    <row r="152" s="331" customFormat="1" ht="12.75"/>
    <row r="153" s="331" customFormat="1" ht="12.75"/>
    <row r="154" s="331" customFormat="1" ht="12.75"/>
    <row r="155" s="331" customFormat="1" ht="12.75"/>
    <row r="156" s="331" customFormat="1" ht="12.75"/>
    <row r="157" s="331" customFormat="1" ht="12.75"/>
    <row r="158" s="331" customFormat="1" ht="12.75"/>
    <row r="159" s="331" customFormat="1" ht="12.75"/>
    <row r="160" s="331" customFormat="1" ht="12.75"/>
    <row r="161" s="331" customFormat="1" ht="12.75"/>
    <row r="162" s="331" customFormat="1" ht="12.75"/>
    <row r="163" s="331" customFormat="1" ht="12.75"/>
    <row r="164" s="331" customFormat="1" ht="12.75"/>
    <row r="165" s="331" customFormat="1" ht="12.75"/>
    <row r="166" s="331" customFormat="1" ht="12.75"/>
    <row r="167" s="331" customFormat="1" ht="12.75"/>
    <row r="168" s="331" customFormat="1" ht="12.75"/>
    <row r="169" s="331" customFormat="1" ht="12.75"/>
    <row r="170" s="331" customFormat="1" ht="12.75"/>
    <row r="171" s="331" customFormat="1" ht="12.75"/>
    <row r="172" s="331" customFormat="1" ht="12.75"/>
    <row r="173" s="331" customFormat="1" ht="12.75"/>
    <row r="174" s="331" customFormat="1" ht="12.75"/>
    <row r="175" s="331" customFormat="1" ht="12.75"/>
    <row r="176" s="331" customFormat="1" ht="12.75"/>
    <row r="177" s="331" customFormat="1" ht="12.75"/>
    <row r="178" s="331" customFormat="1" ht="12.75"/>
    <row r="179" s="331" customFormat="1" ht="12.75"/>
    <row r="180" s="331" customFormat="1" ht="12.75"/>
    <row r="181" s="331" customFormat="1" ht="12.75"/>
    <row r="182" s="331" customFormat="1" ht="12.75"/>
    <row r="183" s="331" customFormat="1" ht="12.75"/>
    <row r="184" s="331" customFormat="1" ht="12.75"/>
    <row r="185" s="331" customFormat="1" ht="12.75"/>
    <row r="186" s="331" customFormat="1" ht="12.75"/>
    <row r="187" s="331" customFormat="1" ht="12.75"/>
    <row r="188" s="331" customFormat="1" ht="12.75"/>
    <row r="189" s="331" customFormat="1" ht="12.75"/>
    <row r="190" s="331" customFormat="1" ht="12.75"/>
    <row r="191" s="331" customFormat="1" ht="12.75"/>
    <row r="192" s="331" customFormat="1" ht="12.75"/>
    <row r="193" s="331" customFormat="1" ht="12.75"/>
    <row r="194" s="331" customFormat="1" ht="12.75"/>
    <row r="195" s="331" customFormat="1" ht="12.75"/>
    <row r="196" s="331" customFormat="1" ht="12.75"/>
    <row r="197" s="331" customFormat="1" ht="12.75"/>
    <row r="198" s="331" customFormat="1" ht="12.75"/>
    <row r="199" s="331" customFormat="1" ht="12.75"/>
    <row r="200" s="331" customFormat="1" ht="12.75"/>
    <row r="201" s="331" customFormat="1" ht="12.75"/>
    <row r="202" s="331" customFormat="1" ht="12.75"/>
    <row r="203" s="331" customFormat="1" ht="12.75"/>
    <row r="204" s="331" customFormat="1" ht="12.75"/>
    <row r="205" s="331" customFormat="1" ht="12.75"/>
    <row r="206" s="331" customFormat="1" ht="12.75"/>
    <row r="207" s="331" customFormat="1" ht="12.75"/>
    <row r="208" s="331" customFormat="1" ht="12.75"/>
    <row r="209" s="331" customFormat="1" ht="12.75"/>
    <row r="210" s="331" customFormat="1" ht="12.75"/>
    <row r="211" s="331" customFormat="1" ht="12.75"/>
    <row r="212" s="331" customFormat="1" ht="12.75"/>
    <row r="213" s="331" customFormat="1" ht="12.75"/>
    <row r="214" s="331" customFormat="1" ht="12.75"/>
    <row r="215" s="331" customFormat="1" ht="12.75"/>
    <row r="216" s="331" customFormat="1" ht="12.75"/>
    <row r="217" s="331" customFormat="1" ht="12.75"/>
    <row r="218" s="331" customFormat="1" ht="12.75"/>
    <row r="219" s="331" customFormat="1" ht="12.75"/>
    <row r="220" s="331" customFormat="1" ht="12.75"/>
    <row r="221" s="331" customFormat="1" ht="12.75"/>
    <row r="222" s="331" customFormat="1" ht="12.75"/>
    <row r="223" s="331" customFormat="1" ht="12.75"/>
    <row r="224" s="331" customFormat="1" ht="12.75"/>
    <row r="225" s="331" customFormat="1" ht="12.75"/>
    <row r="226" s="331" customFormat="1" ht="12.75"/>
    <row r="227" s="331" customFormat="1" ht="12.75"/>
    <row r="228" s="331" customFormat="1" ht="12.75"/>
    <row r="229" s="331" customFormat="1" ht="12.75"/>
    <row r="230" s="331" customFormat="1" ht="12.75"/>
    <row r="231" s="331" customFormat="1" ht="12.75"/>
    <row r="232" s="331" customFormat="1" ht="12.75"/>
    <row r="233" s="331" customFormat="1" ht="12.75"/>
    <row r="234" s="331" customFormat="1" ht="12.75"/>
    <row r="235" s="331" customFormat="1" ht="12.75"/>
    <row r="236" s="331" customFormat="1" ht="12.75"/>
    <row r="237" s="331" customFormat="1" ht="12.75"/>
    <row r="238" s="331" customFormat="1" ht="12.75"/>
    <row r="239" s="331" customFormat="1" ht="12.75"/>
    <row r="240" s="331" customFormat="1" ht="12.75"/>
    <row r="241" s="331" customFormat="1" ht="12.75"/>
    <row r="242" s="331" customFormat="1" ht="12.75"/>
  </sheetData>
  <sheetProtection algorithmName="SHA-512" hashValue="bJp+PeqYsQ2iPbrT6OdHmjzhtCpLaEjNSoTq81KU2WhNwCxZ8TK0YcLrfXKRU+T1HwJq+9yCWPXWNBcd2X/3jA==" saltValue="fzU3IwWrw6TWD8kHD9JvdA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AABEDA-63A1-43B2-ABB2-1D5992AA5A3C}">
  <sheetPr>
    <tabColor rgb="FFFFFFCC"/>
    <pageSetUpPr fitToPage="1"/>
  </sheetPr>
  <dimension ref="A1:B28"/>
  <sheetViews>
    <sheetView workbookViewId="0" topLeftCell="A1">
      <selection pane="topLeft" activeCell="B4" sqref="B4"/>
    </sheetView>
  </sheetViews>
  <sheetFormatPr defaultColWidth="9.14428571428571" defaultRowHeight="12.75"/>
  <cols>
    <col min="1" max="1" width="4" style="271" customWidth="1"/>
    <col min="2" max="2" width="100.714285714286" style="271" customWidth="1"/>
    <col min="3" max="42" width="9.14285714285714" style="331"/>
    <col min="43" max="16384" width="9.14285714285714" style="271"/>
  </cols>
  <sheetData>
    <row r="1" spans="1:2" ht="18">
      <c r="A1" s="730" t="s">
        <v>4008</v>
      </c>
      <c r="B1" s="731"/>
    </row>
    <row r="2" spans="1:2" ht="12.75">
      <c r="A2" s="339"/>
      <c r="B2" s="339"/>
    </row>
    <row r="3" spans="1:2" ht="28.5" customHeight="1">
      <c r="A3" s="340" t="s">
        <v>136</v>
      </c>
      <c r="B3" s="342" t="s">
        <v>3998</v>
      </c>
    </row>
    <row r="4" spans="1:2" ht="43.5">
      <c r="A4" s="340" t="s">
        <v>137</v>
      </c>
      <c r="B4" s="342" t="s">
        <v>3999</v>
      </c>
    </row>
    <row r="5" spans="1:2" ht="28.5">
      <c r="A5" s="340" t="s">
        <v>138</v>
      </c>
      <c r="B5" s="342" t="s">
        <v>4000</v>
      </c>
    </row>
    <row r="6" spans="1:2" ht="29.25">
      <c r="A6" s="340" t="s">
        <v>317</v>
      </c>
      <c r="B6" s="711" t="s">
        <v>4001</v>
      </c>
    </row>
    <row r="7" spans="1:2" s="331" customFormat="1" ht="43.5">
      <c r="A7" s="340" t="s">
        <v>103</v>
      </c>
      <c r="B7" s="711" t="s">
        <v>4002</v>
      </c>
    </row>
    <row r="8" spans="1:2" s="331" customFormat="1" ht="43.5">
      <c r="A8" s="340" t="s">
        <v>316</v>
      </c>
      <c r="B8" s="341" t="s">
        <v>4003</v>
      </c>
    </row>
    <row r="9" spans="1:2" s="331" customFormat="1" ht="30">
      <c r="A9" s="340" t="s">
        <v>315</v>
      </c>
      <c r="B9" s="341" t="s">
        <v>4004</v>
      </c>
    </row>
    <row r="10" spans="1:2" s="331" customFormat="1" ht="29.25">
      <c r="A10" s="340" t="s">
        <v>4005</v>
      </c>
      <c r="B10" s="342" t="s">
        <v>4006</v>
      </c>
    </row>
    <row r="11" spans="1:2" s="331" customFormat="1" ht="30">
      <c r="A11" s="340" t="s">
        <v>313</v>
      </c>
      <c r="B11" s="712" t="s">
        <v>4007</v>
      </c>
    </row>
    <row r="12" spans="1:2" s="331" customFormat="1" ht="15">
      <c r="A12" s="340"/>
      <c r="B12" s="712"/>
    </row>
    <row r="13" spans="1:2" s="331" customFormat="1" ht="18">
      <c r="A13" s="730" t="s">
        <v>4009</v>
      </c>
      <c r="B13" s="731"/>
    </row>
    <row r="14" spans="1:2" s="331" customFormat="1" ht="18">
      <c r="A14" s="713"/>
      <c r="B14" s="339"/>
    </row>
    <row r="15" spans="1:2" s="331" customFormat="1" ht="44.25" customHeight="1">
      <c r="A15" s="340" t="s">
        <v>136</v>
      </c>
      <c r="B15" s="341" t="s">
        <v>4010</v>
      </c>
    </row>
    <row r="16" spans="1:2" s="331" customFormat="1" ht="30">
      <c r="A16" s="340" t="s">
        <v>4011</v>
      </c>
      <c r="B16" s="341" t="s">
        <v>4012</v>
      </c>
    </row>
    <row r="17" spans="1:2" s="331" customFormat="1" ht="43.5">
      <c r="A17" s="340" t="s">
        <v>138</v>
      </c>
      <c r="B17" s="341" t="s">
        <v>4013</v>
      </c>
    </row>
    <row r="18" spans="1:2" s="331" customFormat="1" ht="30">
      <c r="A18" s="340" t="s">
        <v>317</v>
      </c>
      <c r="B18" s="341" t="s">
        <v>4014</v>
      </c>
    </row>
    <row r="19" spans="1:2" s="331" customFormat="1" ht="14.25">
      <c r="A19" s="340"/>
      <c r="B19" s="342"/>
    </row>
    <row r="20" spans="1:2" s="331" customFormat="1" ht="15.75">
      <c r="A20" s="340"/>
      <c r="B20" s="346" t="s">
        <v>3664</v>
      </c>
    </row>
    <row r="21" spans="1:2" s="331" customFormat="1" ht="14.25">
      <c r="A21" s="340"/>
      <c r="B21" s="347" t="s">
        <v>3452</v>
      </c>
    </row>
    <row r="22" spans="1:2" s="331" customFormat="1" ht="14.25">
      <c r="A22" s="340"/>
      <c r="B22" s="347" t="s">
        <v>3453</v>
      </c>
    </row>
    <row r="23" spans="1:2" s="331" customFormat="1" ht="45" customHeight="1">
      <c r="A23" s="340"/>
      <c r="B23" s="342"/>
    </row>
    <row r="24" spans="1:2" s="331" customFormat="1" ht="45" customHeight="1">
      <c r="A24" s="340"/>
      <c r="B24" s="342"/>
    </row>
    <row r="25" spans="1:2" s="331" customFormat="1" ht="45" customHeight="1">
      <c r="A25" s="339"/>
      <c r="B25" s="339"/>
    </row>
    <row r="26" spans="1:2" s="331" customFormat="1" ht="45" customHeight="1">
      <c r="A26" s="339"/>
      <c r="B26" s="346"/>
    </row>
    <row r="27" spans="1:2" s="331" customFormat="1" ht="45" customHeight="1">
      <c r="A27" s="339"/>
      <c r="B27" s="347"/>
    </row>
    <row r="28" spans="1:2" s="331" customFormat="1" ht="45" customHeight="1">
      <c r="A28" s="339"/>
      <c r="B28" s="347"/>
    </row>
    <row r="29" s="331" customFormat="1" ht="12.75"/>
    <row r="30" s="331" customFormat="1" ht="12.75"/>
    <row r="31" s="331" customFormat="1" ht="12.75"/>
    <row r="32" s="331" customFormat="1" ht="12.75"/>
    <row r="33" s="331" customFormat="1" ht="12.75"/>
    <row r="34" s="331" customFormat="1" ht="12.75"/>
    <row r="35" s="331" customFormat="1" ht="12.75"/>
    <row r="36" s="331" customFormat="1" ht="12.75"/>
    <row r="37" s="331" customFormat="1" ht="12.75"/>
    <row r="38" s="331" customFormat="1" ht="12.75"/>
    <row r="39" s="331" customFormat="1" ht="12.75"/>
    <row r="40" s="331" customFormat="1" ht="12.75"/>
    <row r="41" s="331" customFormat="1" ht="12.75"/>
    <row r="42" s="331" customFormat="1" ht="12.75"/>
    <row r="43" s="331" customFormat="1" ht="12.75"/>
    <row r="44" s="331" customFormat="1" ht="12.75"/>
    <row r="45" s="331" customFormat="1" ht="12.75"/>
    <row r="46" s="331" customFormat="1" ht="12.75"/>
    <row r="47" s="331" customFormat="1" ht="12.75"/>
    <row r="48" s="331" customFormat="1" ht="12.75"/>
    <row r="49" s="331" customFormat="1" ht="12.75"/>
    <row r="50" s="331" customFormat="1" ht="12.75"/>
    <row r="51" s="331" customFormat="1" ht="12.75"/>
    <row r="52" s="331" customFormat="1" ht="12.75"/>
    <row r="53" s="331" customFormat="1" ht="12.75"/>
    <row r="54" s="331" customFormat="1" ht="12.75"/>
    <row r="55" s="331" customFormat="1" ht="12.75"/>
    <row r="56" s="331" customFormat="1" ht="12.75"/>
    <row r="57" s="331" customFormat="1" ht="12.75"/>
    <row r="58" s="331" customFormat="1" ht="12.75"/>
    <row r="59" s="331" customFormat="1" ht="12.75"/>
    <row r="60" s="331" customFormat="1" ht="12.75"/>
    <row r="61" s="331" customFormat="1" ht="12.75"/>
    <row r="62" s="331" customFormat="1" ht="12.75"/>
    <row r="63" s="331" customFormat="1" ht="12.75"/>
    <row r="64" s="331" customFormat="1" ht="12.75"/>
    <row r="65" s="331" customFormat="1" ht="12.75"/>
    <row r="66" s="331" customFormat="1" ht="12.75"/>
    <row r="67" s="331" customFormat="1" ht="12.75"/>
    <row r="68" s="331" customFormat="1" ht="12.75"/>
    <row r="69" s="331" customFormat="1" ht="12.75"/>
    <row r="70" s="331" customFormat="1" ht="12.75"/>
    <row r="71" s="331" customFormat="1" ht="12.75"/>
    <row r="72" s="331" customFormat="1" ht="12.75"/>
    <row r="73" s="331" customFormat="1" ht="12.75"/>
    <row r="74" s="331" customFormat="1" ht="12.75"/>
    <row r="75" s="331" customFormat="1" ht="12.75"/>
    <row r="76" s="331" customFormat="1" ht="12.75"/>
    <row r="77" s="331" customFormat="1" ht="12.75"/>
    <row r="78" s="331" customFormat="1" ht="12.75"/>
    <row r="79" s="331" customFormat="1" ht="12.75"/>
    <row r="80" s="331" customFormat="1" ht="12.75"/>
    <row r="81" s="331" customFormat="1" ht="12.75"/>
    <row r="82" s="331" customFormat="1" ht="12.75"/>
    <row r="83" s="331" customFormat="1" ht="12.75"/>
    <row r="84" s="331" customFormat="1" ht="12.75"/>
    <row r="85" s="331" customFormat="1" ht="12.75"/>
    <row r="86" s="331" customFormat="1" ht="12.75"/>
    <row r="87" s="331" customFormat="1" ht="12.75"/>
    <row r="88" s="331" customFormat="1" ht="12.75"/>
    <row r="89" s="331" customFormat="1" ht="12.75"/>
    <row r="90" s="331" customFormat="1" ht="12.75"/>
    <row r="91" s="331" customFormat="1" ht="12.75"/>
    <row r="92" s="331" customFormat="1" ht="12.75"/>
    <row r="93" s="331" customFormat="1" ht="12.75"/>
    <row r="94" s="331" customFormat="1" ht="12.75"/>
    <row r="95" s="331" customFormat="1" ht="12.75"/>
    <row r="96" s="331" customFormat="1" ht="12.75"/>
    <row r="97" s="331" customFormat="1" ht="12.75"/>
    <row r="98" s="331" customFormat="1" ht="12.75"/>
    <row r="99" s="331" customFormat="1" ht="12.75"/>
    <row r="100" s="331" customFormat="1" ht="12.75"/>
    <row r="101" s="331" customFormat="1" ht="12.75"/>
    <row r="102" s="331" customFormat="1" ht="12.75"/>
    <row r="103" s="331" customFormat="1" ht="12.75"/>
    <row r="104" s="331" customFormat="1" ht="12.75"/>
    <row r="105" s="331" customFormat="1" ht="12.75"/>
    <row r="106" s="331" customFormat="1" ht="12.75"/>
    <row r="107" s="331" customFormat="1" ht="12.75"/>
    <row r="108" s="331" customFormat="1" ht="12.75"/>
    <row r="109" s="331" customFormat="1" ht="12.75"/>
    <row r="110" s="331" customFormat="1" ht="12.75"/>
    <row r="111" s="331" customFormat="1" ht="12.75"/>
    <row r="112" s="331" customFormat="1" ht="12.75"/>
    <row r="113" s="331" customFormat="1" ht="12.75"/>
    <row r="114" s="331" customFormat="1" ht="12.75"/>
    <row r="115" s="331" customFormat="1" ht="12.75"/>
    <row r="116" s="331" customFormat="1" ht="12.75"/>
    <row r="117" s="331" customFormat="1" ht="12.75"/>
    <row r="118" s="331" customFormat="1" ht="12.75"/>
    <row r="119" s="331" customFormat="1" ht="12.75"/>
    <row r="120" s="331" customFormat="1" ht="12.75"/>
    <row r="121" s="331" customFormat="1" ht="12.75"/>
    <row r="122" s="331" customFormat="1" ht="12.75"/>
    <row r="123" s="331" customFormat="1" ht="12.75"/>
    <row r="124" s="331" customFormat="1" ht="12.75"/>
    <row r="125" s="331" customFormat="1" ht="12.75"/>
    <row r="126" s="331" customFormat="1" ht="12.75"/>
    <row r="127" s="331" customFormat="1" ht="12.75"/>
    <row r="128" s="331" customFormat="1" ht="12.75"/>
    <row r="129" s="331" customFormat="1" ht="12.75"/>
    <row r="130" s="331" customFormat="1" ht="12.75"/>
    <row r="131" s="331" customFormat="1" ht="12.75"/>
    <row r="132" s="331" customFormat="1" ht="12.75"/>
    <row r="133" s="331" customFormat="1" ht="12.75"/>
    <row r="134" s="331" customFormat="1" ht="12.75"/>
    <row r="135" s="331" customFormat="1" ht="12.75"/>
    <row r="136" s="331" customFormat="1" ht="12.75"/>
    <row r="137" s="331" customFormat="1" ht="12.75"/>
    <row r="138" s="331" customFormat="1" ht="12.75"/>
    <row r="139" s="331" customFormat="1" ht="12.75"/>
    <row r="140" s="331" customFormat="1" ht="12.75"/>
    <row r="141" s="331" customFormat="1" ht="12.75"/>
    <row r="142" s="331" customFormat="1" ht="12.75"/>
    <row r="143" s="331" customFormat="1" ht="12.75"/>
    <row r="144" s="331" customFormat="1" ht="12.75"/>
    <row r="145" s="331" customFormat="1" ht="12.75"/>
    <row r="146" s="331" customFormat="1" ht="12.75"/>
    <row r="147" s="331" customFormat="1" ht="12.75"/>
    <row r="148" s="331" customFormat="1" ht="12.75"/>
    <row r="149" s="331" customFormat="1" ht="12.75"/>
    <row r="150" s="331" customFormat="1" ht="12.75"/>
    <row r="151" s="331" customFormat="1" ht="12.75"/>
    <row r="152" s="331" customFormat="1" ht="12.75"/>
    <row r="153" s="331" customFormat="1" ht="12.75"/>
    <row r="154" s="331" customFormat="1" ht="12.75"/>
    <row r="155" s="331" customFormat="1" ht="12.75"/>
    <row r="156" s="331" customFormat="1" ht="12.75"/>
    <row r="157" s="331" customFormat="1" ht="12.75"/>
    <row r="158" s="331" customFormat="1" ht="12.75"/>
    <row r="159" s="331" customFormat="1" ht="12.75"/>
    <row r="160" s="331" customFormat="1" ht="12.75"/>
    <row r="161" s="331" customFormat="1" ht="12.75"/>
    <row r="162" s="331" customFormat="1" ht="12.75"/>
    <row r="163" s="331" customFormat="1" ht="12.75"/>
    <row r="164" s="331" customFormat="1" ht="12.75"/>
    <row r="165" s="331" customFormat="1" ht="12.75"/>
    <row r="166" s="331" customFormat="1" ht="12.75"/>
    <row r="167" s="331" customFormat="1" ht="12.75"/>
    <row r="168" s="331" customFormat="1" ht="12.75"/>
    <row r="169" s="331" customFormat="1" ht="12.75"/>
    <row r="170" s="331" customFormat="1" ht="12.75"/>
    <row r="171" s="331" customFormat="1" ht="12.75"/>
    <row r="172" s="331" customFormat="1" ht="12.75"/>
    <row r="173" s="331" customFormat="1" ht="12.75"/>
    <row r="174" s="331" customFormat="1" ht="12.75"/>
    <row r="175" s="331" customFormat="1" ht="12.75"/>
    <row r="176" s="331" customFormat="1" ht="12.75"/>
    <row r="177" s="331" customFormat="1" ht="12.75"/>
    <row r="178" s="331" customFormat="1" ht="12.75"/>
    <row r="179" s="331" customFormat="1" ht="12.75"/>
    <row r="180" s="331" customFormat="1" ht="12.75"/>
    <row r="181" s="331" customFormat="1" ht="12.75"/>
    <row r="182" s="331" customFormat="1" ht="12.75"/>
    <row r="183" s="331" customFormat="1" ht="12.75"/>
    <row r="184" s="331" customFormat="1" ht="12.75"/>
    <row r="185" s="331" customFormat="1" ht="12.75"/>
    <row r="186" s="331" customFormat="1" ht="12.75"/>
    <row r="187" s="331" customFormat="1" ht="12.75"/>
    <row r="188" s="331" customFormat="1" ht="12.75"/>
    <row r="189" s="331" customFormat="1" ht="12.75"/>
    <row r="190" s="331" customFormat="1" ht="12.75"/>
    <row r="191" s="331" customFormat="1" ht="12.75"/>
    <row r="192" s="331" customFormat="1" ht="12.75"/>
    <row r="193" s="331" customFormat="1" ht="12.75"/>
    <row r="194" s="331" customFormat="1" ht="12.75"/>
    <row r="195" s="331" customFormat="1" ht="12.75"/>
    <row r="196" s="331" customFormat="1" ht="12.75"/>
    <row r="197" s="331" customFormat="1" ht="12.75"/>
    <row r="198" s="331" customFormat="1" ht="12.75"/>
    <row r="199" s="331" customFormat="1" ht="12.75"/>
    <row r="200" s="331" customFormat="1" ht="12.75"/>
    <row r="201" s="331" customFormat="1" ht="12.75"/>
    <row r="202" s="331" customFormat="1" ht="12.75"/>
    <row r="203" s="331" customFormat="1" ht="12.75"/>
    <row r="204" s="331" customFormat="1" ht="12.75"/>
    <row r="205" s="331" customFormat="1" ht="12.75"/>
    <row r="206" s="331" customFormat="1" ht="12.75"/>
    <row r="207" s="331" customFormat="1" ht="12.75"/>
    <row r="208" s="331" customFormat="1" ht="12.75"/>
    <row r="209" s="331" customFormat="1" ht="12.75"/>
    <row r="210" s="331" customFormat="1" ht="12.75"/>
    <row r="211" s="331" customFormat="1" ht="12.75"/>
    <row r="212" s="331" customFormat="1" ht="12.75"/>
    <row r="213" s="331" customFormat="1" ht="12.75"/>
    <row r="214" s="331" customFormat="1" ht="12.75"/>
    <row r="215" s="331" customFormat="1" ht="12.75"/>
    <row r="216" s="331" customFormat="1" ht="12.75"/>
    <row r="217" s="331" customFormat="1" ht="12.75"/>
    <row r="218" s="331" customFormat="1" ht="12.75"/>
    <row r="219" s="331" customFormat="1" ht="12.75"/>
    <row r="220" s="331" customFormat="1" ht="12.75"/>
    <row r="221" s="331" customFormat="1" ht="12.75"/>
    <row r="222" s="331" customFormat="1" ht="12.75"/>
    <row r="223" s="331" customFormat="1" ht="12.75"/>
    <row r="224" s="331" customFormat="1" ht="12.75"/>
    <row r="225" s="331" customFormat="1" ht="12.75"/>
    <row r="226" s="331" customFormat="1" ht="12.75"/>
    <row r="227" s="331" customFormat="1" ht="12.75"/>
    <row r="228" s="331" customFormat="1" ht="12.75"/>
    <row r="229" s="331" customFormat="1" ht="12.75"/>
    <row r="230" s="331" customFormat="1" ht="12.75"/>
    <row r="231" s="331" customFormat="1" ht="12.75"/>
    <row r="232" s="331" customFormat="1" ht="12.75"/>
    <row r="233" s="331" customFormat="1" ht="12.75"/>
    <row r="234" s="331" customFormat="1" ht="12.75"/>
    <row r="235" s="331" customFormat="1" ht="12.75"/>
    <row r="236" s="331" customFormat="1" ht="12.75"/>
    <row r="237" s="331" customFormat="1" ht="12.75"/>
    <row r="238" s="331" customFormat="1" ht="12.75"/>
    <row r="239" s="331" customFormat="1" ht="12.75"/>
    <row r="240" s="331" customFormat="1" ht="12.75"/>
    <row r="241" s="331" customFormat="1" ht="12.75"/>
    <row r="242" s="331" customFormat="1" ht="12.75"/>
    <row r="243" s="331" customFormat="1" ht="12.75"/>
    <row r="244" s="331" customFormat="1" ht="12.75"/>
    <row r="245" s="331" customFormat="1" ht="12.75"/>
  </sheetData>
  <sheetProtection algorithmName="SHA-512" hashValue="PQqUWZIcKmasFm7bJbyiCmF6QPRi67Rvmjw4t74KQ8WG+Wgp95069ZLtS4ecY2AvVXmOi634HmiSxjWFaE5GCQ==" saltValue="ene2su4nhaIpHtXL5P7pyQ==" spinCount="100000" sheet="1" objects="1" scenarios="1"/>
  <mergeCells count="2">
    <mergeCell ref="A1:B1"/>
    <mergeCell ref="A13:B13"/>
  </mergeCells>
  <pageMargins left="0.393700787401575" right="0.393700787401575" top="0.393700787401575" bottom="0.393700787401575" header="0.31496062992126" footer="0.31496062992126"/>
  <pageSetup orientation="portrait" paperSize="9" scale="93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4" sqref="B4"/>
    </sheetView>
  </sheetViews>
  <sheetFormatPr defaultRowHeight="12.75"/>
  <cols>
    <col min="1" max="1" width="28.1428571428571" style="73" customWidth="1"/>
    <col min="2" max="2" width="65.7142857142857" style="73" customWidth="1"/>
    <col min="3" max="3" width="3" style="73" customWidth="1"/>
    <col min="4" max="4" width="65.7142857142857" style="73" customWidth="1"/>
    <col min="5" max="5" width="28.2857142857143" style="73" customWidth="1"/>
    <col min="6" max="37" width="9.14285714285714" style="22"/>
  </cols>
  <sheetData>
    <row r="1" spans="1:37" s="103" customFormat="1" ht="18">
      <c r="A1" s="740" t="s">
        <v>332</v>
      </c>
      <c r="B1" s="741"/>
      <c r="C1" s="741"/>
      <c r="D1" s="741"/>
      <c r="E1" s="741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</row>
    <row r="2" spans="1:37" s="103" customFormat="1" ht="18">
      <c r="A2" s="254"/>
      <c r="B2" s="334" t="s">
        <v>3564</v>
      </c>
      <c r="C2" s="255"/>
      <c r="D2" s="583" t="s">
        <v>176</v>
      </c>
      <c r="E2" s="2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</row>
    <row r="3" spans="1:37" s="103" customFormat="1" ht="15.95" customHeight="1">
      <c r="A3" s="173"/>
      <c r="B3" s="174" t="s">
        <v>333</v>
      </c>
      <c r="C3" s="137"/>
      <c r="D3" s="174" t="s">
        <v>334</v>
      </c>
      <c r="E3" s="170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</row>
    <row r="4" spans="1:37" s="103" customFormat="1" ht="15.95" customHeight="1">
      <c r="A4" s="386" t="s">
        <v>3638</v>
      </c>
      <c r="B4" s="186"/>
      <c r="C4" s="176"/>
      <c r="D4" s="745"/>
      <c r="E4" s="385" t="s">
        <v>3635</v>
      </c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</row>
    <row r="5" spans="1:37" s="103" customFormat="1" ht="15.95" customHeight="1">
      <c r="A5" s="386" t="s">
        <v>3639</v>
      </c>
      <c r="B5" s="187"/>
      <c r="C5" s="177"/>
      <c r="D5" s="746"/>
      <c r="E5" s="137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</row>
    <row r="6" spans="1:37" s="103" customFormat="1" ht="15.95" customHeight="1">
      <c r="A6" s="386" t="s">
        <v>3649</v>
      </c>
      <c r="B6" s="187"/>
      <c r="C6" s="177"/>
      <c r="D6" s="746"/>
      <c r="E6" s="137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</row>
    <row r="7" spans="1:37" s="103" customFormat="1" ht="15.95" customHeight="1">
      <c r="A7" s="386" t="s">
        <v>3640</v>
      </c>
      <c r="B7" s="187"/>
      <c r="C7" s="177"/>
      <c r="D7" s="188"/>
      <c r="E7" s="385" t="s">
        <v>3636</v>
      </c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</row>
    <row r="8" spans="1:37" s="103" customFormat="1" ht="15.95" customHeight="1">
      <c r="A8" s="386" t="s">
        <v>3650</v>
      </c>
      <c r="B8" s="189"/>
      <c r="C8" s="177"/>
      <c r="D8" s="188"/>
      <c r="E8" s="137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</row>
    <row r="9" spans="1:37" s="103" customFormat="1" ht="15.95" customHeight="1">
      <c r="A9" s="386" t="s">
        <v>37</v>
      </c>
      <c r="B9" s="190"/>
      <c r="C9" s="177"/>
      <c r="D9" s="188"/>
      <c r="E9" s="137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</row>
    <row r="10" spans="1:37" s="103" customFormat="1" ht="15.95" customHeight="1">
      <c r="A10" s="386" t="s">
        <v>3637</v>
      </c>
      <c r="B10" s="190"/>
      <c r="C10" s="177"/>
      <c r="D10" s="191"/>
      <c r="E10" s="385" t="s">
        <v>3637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</row>
    <row r="11" spans="1:37" s="103" customFormat="1" ht="15.95" customHeight="1">
      <c r="A11" s="386" t="s">
        <v>3651</v>
      </c>
      <c r="B11" s="581"/>
      <c r="C11" s="177"/>
      <c r="D11" s="188"/>
      <c r="E11" s="137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</row>
    <row r="12" spans="1:37" s="103" customFormat="1" ht="15.95" customHeight="1">
      <c r="A12" s="175"/>
      <c r="B12" s="737"/>
      <c r="C12" s="738"/>
      <c r="D12" s="739"/>
      <c r="E12" s="137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</row>
    <row r="13" spans="1:37" s="103" customFormat="1" ht="15.95" customHeight="1">
      <c r="A13" s="387" t="s">
        <v>3652</v>
      </c>
      <c r="B13" s="192"/>
      <c r="C13" s="582"/>
      <c r="D13" s="193"/>
      <c r="E13" s="178" t="s">
        <v>337</v>
      </c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</row>
    <row r="14" spans="1:37" s="103" customFormat="1" ht="15.95" customHeight="1">
      <c r="A14" s="387" t="s">
        <v>3653</v>
      </c>
      <c r="B14" s="192"/>
      <c r="C14" s="177"/>
      <c r="D14" s="193"/>
      <c r="E14" s="385" t="s">
        <v>3638</v>
      </c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</row>
    <row r="15" spans="1:37" s="103" customFormat="1" ht="15.95" customHeight="1">
      <c r="A15" s="179" t="s">
        <v>339</v>
      </c>
      <c r="B15" s="192"/>
      <c r="C15" s="177"/>
      <c r="D15" s="193"/>
      <c r="E15" s="385" t="s">
        <v>3639</v>
      </c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</row>
    <row r="16" spans="1:37" s="103" customFormat="1" ht="15.95" customHeight="1">
      <c r="A16" s="386" t="s">
        <v>3654</v>
      </c>
      <c r="B16" s="192"/>
      <c r="C16" s="177"/>
      <c r="D16" s="193"/>
      <c r="E16" s="385" t="s">
        <v>3640</v>
      </c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</row>
    <row r="17" spans="1:37" s="103" customFormat="1" ht="15.95" customHeight="1">
      <c r="A17" s="386" t="s">
        <v>3644</v>
      </c>
      <c r="B17" s="264"/>
      <c r="C17" s="177"/>
      <c r="D17" s="193"/>
      <c r="E17" s="385" t="s">
        <v>3641</v>
      </c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</row>
    <row r="18" spans="1:37" s="103" customFormat="1" ht="15.95" customHeight="1">
      <c r="A18" s="386" t="s">
        <v>3645</v>
      </c>
      <c r="B18" s="192"/>
      <c r="C18" s="177"/>
      <c r="D18" s="193"/>
      <c r="E18" s="137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</row>
    <row r="19" spans="1:37" s="103" customFormat="1" ht="15.95" customHeight="1">
      <c r="A19" s="386" t="s">
        <v>3646</v>
      </c>
      <c r="B19" s="194"/>
      <c r="C19" s="582"/>
      <c r="D19" s="193"/>
      <c r="E19" s="178" t="s">
        <v>336</v>
      </c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</row>
    <row r="20" spans="1:37" s="103" customFormat="1" ht="15.95" customHeight="1">
      <c r="A20" s="387" t="s">
        <v>3655</v>
      </c>
      <c r="B20" s="192"/>
      <c r="C20" s="177"/>
      <c r="D20" s="193"/>
      <c r="E20" s="385" t="s">
        <v>3638</v>
      </c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</row>
    <row r="21" spans="1:37" s="103" customFormat="1" ht="15.95" customHeight="1">
      <c r="A21" s="386" t="s">
        <v>3656</v>
      </c>
      <c r="B21" s="192"/>
      <c r="C21" s="177"/>
      <c r="D21" s="193"/>
      <c r="E21" s="385" t="s">
        <v>3639</v>
      </c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</row>
    <row r="22" spans="1:37" s="103" customFormat="1" ht="15.95" customHeight="1">
      <c r="A22" s="175"/>
      <c r="B22" s="192"/>
      <c r="C22" s="177"/>
      <c r="D22" s="193"/>
      <c r="E22" s="385" t="s">
        <v>3640</v>
      </c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</row>
    <row r="23" spans="1:37" s="103" customFormat="1" ht="15.95" customHeight="1">
      <c r="A23" s="179" t="s">
        <v>3657</v>
      </c>
      <c r="B23" s="192"/>
      <c r="C23" s="177"/>
      <c r="D23" s="195"/>
      <c r="E23" s="385" t="s">
        <v>3642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</row>
    <row r="24" spans="1:37" s="103" customFormat="1" ht="15.95" customHeight="1">
      <c r="A24" s="175"/>
      <c r="B24" s="192"/>
      <c r="C24" s="177"/>
      <c r="D24" s="193"/>
      <c r="E24" s="385" t="s">
        <v>3643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</row>
    <row r="25" spans="1:37" s="103" customFormat="1" ht="15.95" customHeight="1">
      <c r="A25" s="386" t="s">
        <v>3642</v>
      </c>
      <c r="B25" s="196"/>
      <c r="C25" s="177"/>
      <c r="D25" s="197"/>
      <c r="E25" s="385" t="s">
        <v>3644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</row>
    <row r="26" spans="1:37" s="103" customFormat="1" ht="15.95" customHeight="1">
      <c r="A26" s="386" t="s">
        <v>3658</v>
      </c>
      <c r="B26" s="196"/>
      <c r="C26" s="177"/>
      <c r="D26" s="193"/>
      <c r="E26" s="385" t="s">
        <v>3645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</row>
    <row r="27" spans="1:37" s="103" customFormat="1" ht="15.95" customHeight="1">
      <c r="A27" s="386" t="s">
        <v>3648</v>
      </c>
      <c r="B27" s="423"/>
      <c r="C27" s="177"/>
      <c r="D27" s="198"/>
      <c r="E27" s="385" t="s">
        <v>3646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</row>
    <row r="28" spans="1:37" s="103" customFormat="1" ht="15.95" customHeight="1">
      <c r="A28" s="386" t="s">
        <v>3659</v>
      </c>
      <c r="B28" s="192"/>
      <c r="C28" s="177"/>
      <c r="D28" s="193"/>
      <c r="E28" s="137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</row>
    <row r="29" spans="1:37" s="103" customFormat="1" ht="15.95" customHeight="1">
      <c r="A29" s="387" t="s">
        <v>3660</v>
      </c>
      <c r="B29" s="743"/>
      <c r="C29" s="582"/>
      <c r="D29" s="193"/>
      <c r="E29" s="178" t="s">
        <v>338</v>
      </c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</row>
    <row r="30" spans="1:37" s="103" customFormat="1" ht="15.95" customHeight="1">
      <c r="A30" s="330"/>
      <c r="B30" s="744"/>
      <c r="C30" s="177"/>
      <c r="D30" s="193"/>
      <c r="E30" s="385" t="s">
        <v>3638</v>
      </c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</row>
    <row r="31" spans="1:37" s="103" customFormat="1" ht="15.95" customHeight="1">
      <c r="A31" s="179" t="s">
        <v>335</v>
      </c>
      <c r="B31" s="192"/>
      <c r="C31" s="177"/>
      <c r="D31" s="193"/>
      <c r="E31" s="385" t="s">
        <v>3639</v>
      </c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</row>
    <row r="32" spans="1:37" s="103" customFormat="1" ht="15.95" customHeight="1">
      <c r="A32" s="386" t="s">
        <v>3661</v>
      </c>
      <c r="B32" s="194"/>
      <c r="C32" s="177"/>
      <c r="D32" s="193"/>
      <c r="E32" s="385" t="s">
        <v>3640</v>
      </c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</row>
    <row r="33" spans="1:37" s="103" customFormat="1" ht="15.95" customHeight="1">
      <c r="A33" s="386" t="s">
        <v>3662</v>
      </c>
      <c r="B33" s="194"/>
      <c r="C33" s="177"/>
      <c r="D33" s="195"/>
      <c r="E33" s="385" t="s">
        <v>3642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</row>
    <row r="34" spans="1:37" s="103" customFormat="1" ht="15.95" customHeight="1">
      <c r="A34" s="386" t="s">
        <v>3663</v>
      </c>
      <c r="B34" s="192"/>
      <c r="C34" s="177"/>
      <c r="D34" s="195"/>
      <c r="E34" s="385" t="s">
        <v>3647</v>
      </c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</row>
    <row r="35" spans="1:37" s="103" customFormat="1" ht="15.95" customHeight="1">
      <c r="A35" s="175"/>
      <c r="B35" s="192"/>
      <c r="C35" s="177"/>
      <c r="D35" s="265"/>
      <c r="E35" s="385" t="s">
        <v>3648</v>
      </c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</row>
    <row r="36" spans="1:37" s="103" customFormat="1" ht="15.95" customHeight="1">
      <c r="A36" s="175"/>
      <c r="B36" s="199"/>
      <c r="C36" s="180"/>
      <c r="D36" s="200"/>
      <c r="E36" s="137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</row>
    <row r="37" spans="1:37" s="103" customFormat="1" ht="12.75">
      <c r="A37" s="742" t="s">
        <v>3604</v>
      </c>
      <c r="B37" s="741"/>
      <c r="C37" s="741"/>
      <c r="D37" s="741"/>
      <c r="E37" s="741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</row>
    <row r="38" spans="1:37" s="103" customFormat="1" ht="12.75">
      <c r="A38" s="181"/>
      <c r="B38" s="182" t="s">
        <v>341</v>
      </c>
      <c r="C38" s="137"/>
      <c r="D38" s="735" t="s">
        <v>343</v>
      </c>
      <c r="E38" s="73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</row>
    <row r="39" spans="1:37" s="103" customFormat="1" ht="12.75">
      <c r="A39" s="183"/>
      <c r="B39" s="184" t="s">
        <v>340</v>
      </c>
      <c r="C39" s="137"/>
      <c r="D39" s="185" t="s">
        <v>0</v>
      </c>
      <c r="E39" s="137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</row>
    <row r="40" spans="1:37" s="103" customFormat="1" ht="12.75">
      <c r="A40" s="201"/>
      <c r="B40" s="202" t="s">
        <v>342</v>
      </c>
      <c r="C40" s="137"/>
      <c r="D40" s="137"/>
      <c r="E40" s="137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</row>
    <row r="41" spans="1:37" s="103" customFormat="1" ht="12.75">
      <c r="A41" s="734" t="s">
        <v>247</v>
      </c>
      <c r="B41" s="734"/>
      <c r="C41" s="734"/>
      <c r="D41" s="734"/>
      <c r="E41" s="171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</row>
    <row r="43" spans="1:1" s="22" customFormat="1" ht="12.75">
      <c r="A43" s="172"/>
    </row>
    <row r="44" spans="1:5" s="22" customFormat="1" ht="12.75">
      <c r="A44" s="732"/>
      <c r="B44" s="733"/>
      <c r="C44" s="733"/>
      <c r="D44" s="733"/>
      <c r="E44" s="733"/>
    </row>
    <row r="45" s="22" customFormat="1" ht="12.75"/>
    <row r="46" s="22" customFormat="1" ht="12.75"/>
    <row r="47" s="22" customFormat="1" ht="12.75"/>
    <row r="48" s="22" customFormat="1" ht="12.75"/>
    <row r="49" s="22" customFormat="1" ht="12.75"/>
    <row r="50" s="22" customFormat="1" ht="12.75"/>
    <row r="51" s="22" customFormat="1" ht="12.75"/>
    <row r="52" s="22" customFormat="1" ht="12.75"/>
    <row r="53" spans="1:1" s="22" customFormat="1" ht="12.75">
      <c r="A53" s="172"/>
    </row>
    <row r="54" s="22" customFormat="1" ht="12.75"/>
    <row r="55" s="22" customFormat="1" ht="12.75"/>
    <row r="56" s="22" customFormat="1" ht="12.75"/>
    <row r="57" s="22" customFormat="1" ht="12.75"/>
    <row r="58" s="22" customFormat="1" ht="12.75"/>
    <row r="59" s="22" customFormat="1" ht="12.75"/>
    <row r="60" s="22" customFormat="1" ht="12.75"/>
    <row r="61" s="22" customFormat="1" ht="12.75"/>
    <row r="62" s="22" customFormat="1" ht="12.75"/>
    <row r="63" s="22" customFormat="1" ht="12.75"/>
    <row r="64" s="22" customFormat="1" ht="12.75"/>
    <row r="65" s="22" customFormat="1" ht="12.75"/>
    <row r="66" s="22" customFormat="1" ht="12.75"/>
    <row r="67" s="22" customFormat="1" ht="12.75"/>
    <row r="68" s="22" customFormat="1" ht="12.75"/>
    <row r="69" s="22" customFormat="1" ht="12.75"/>
    <row r="70" s="22" customFormat="1" ht="12.75"/>
    <row r="71" s="22" customFormat="1" ht="12.75"/>
    <row r="72" s="22" customFormat="1" ht="12.75"/>
    <row r="73" s="22" customFormat="1" ht="12.75"/>
    <row r="74" s="22" customFormat="1" ht="12.75"/>
    <row r="75" s="22" customFormat="1" ht="12.75"/>
    <row r="76" s="22" customFormat="1" ht="12.75"/>
    <row r="77" s="22" customFormat="1" ht="12.75"/>
    <row r="78" s="22" customFormat="1" ht="12.75"/>
    <row r="79" s="22" customFormat="1" ht="12.75"/>
    <row r="80" s="22" customFormat="1" ht="12.75"/>
    <row r="81" s="22" customFormat="1" ht="12.75"/>
    <row r="82" s="22" customFormat="1" ht="12.75"/>
    <row r="83" s="22" customFormat="1" ht="12.75"/>
    <row r="84" s="22" customFormat="1" ht="12.75"/>
    <row r="85" s="22" customFormat="1" ht="12.75"/>
    <row r="86" s="22" customFormat="1" ht="12.75"/>
    <row r="87" s="22" customFormat="1" ht="12.75"/>
    <row r="88" s="22" customFormat="1" ht="12.75"/>
    <row r="89" s="22" customFormat="1" ht="12.75"/>
    <row r="90" s="22" customFormat="1" ht="12.75"/>
    <row r="91" s="22" customFormat="1" ht="12.75"/>
    <row r="92" s="22" customFormat="1" ht="12.75"/>
    <row r="93" s="22" customFormat="1" ht="12.75"/>
    <row r="94" s="22" customFormat="1" ht="12.75"/>
    <row r="95" s="22" customFormat="1" ht="12.75"/>
    <row r="96" s="22" customFormat="1" ht="12.75"/>
    <row r="97" s="22" customFormat="1" ht="12.75"/>
    <row r="98" s="22" customFormat="1" ht="12.75"/>
    <row r="99" s="22" customFormat="1" ht="12.75"/>
    <row r="100" s="22" customFormat="1" ht="12.75"/>
    <row r="101" s="22" customFormat="1" ht="12.75"/>
    <row r="102" s="22" customFormat="1" ht="12.75"/>
    <row r="103" s="22" customFormat="1" ht="12.75"/>
    <row r="104" s="22" customFormat="1" ht="12.75"/>
    <row r="105" s="22" customFormat="1" ht="12.75"/>
    <row r="106" s="22" customFormat="1" ht="12.75"/>
    <row r="107" s="22" customFormat="1" ht="12.75"/>
    <row r="108" s="22" customFormat="1" ht="12.75"/>
    <row r="109" s="22" customFormat="1" ht="12.75"/>
    <row r="110" s="22" customFormat="1" ht="12.75"/>
    <row r="111" s="22" customFormat="1" ht="12.75"/>
    <row r="112" s="22" customFormat="1" ht="12.75"/>
    <row r="113" s="22" customFormat="1" ht="12.75"/>
    <row r="114" s="22" customFormat="1" ht="12.75"/>
    <row r="115" s="22" customFormat="1" ht="12.75"/>
    <row r="116" s="22" customFormat="1" ht="12.75"/>
    <row r="117" s="22" customFormat="1" ht="12.75"/>
    <row r="118" s="22" customFormat="1" ht="12.75"/>
    <row r="119" s="22" customFormat="1" ht="12.75"/>
    <row r="120" s="22" customFormat="1" ht="12.75"/>
    <row r="121" s="22" customFormat="1" ht="12.75"/>
    <row r="122" s="22" customFormat="1" ht="12.75"/>
    <row r="123" s="22" customFormat="1" ht="12.75"/>
    <row r="124" s="22" customFormat="1" ht="12.75"/>
    <row r="125" s="22" customFormat="1" ht="12.75"/>
    <row r="126" s="22" customFormat="1" ht="12.75"/>
    <row r="127" s="22" customFormat="1" ht="12.75"/>
    <row r="128" s="22" customFormat="1" ht="12.75"/>
    <row r="129" s="22" customFormat="1" ht="12.75"/>
    <row r="130" s="22" customFormat="1" ht="12.75"/>
    <row r="131" s="22" customFormat="1" ht="12.75"/>
    <row r="132" s="22" customFormat="1" ht="12.75"/>
    <row r="133" s="22" customFormat="1" ht="12.75"/>
    <row r="134" s="22" customFormat="1" ht="12.75"/>
    <row r="135" s="22" customFormat="1" ht="12.75"/>
    <row r="136" s="22" customFormat="1" ht="12.75"/>
    <row r="137" s="22" customFormat="1" ht="12.75"/>
    <row r="138" s="22" customFormat="1" ht="12.75"/>
    <row r="139" s="22" customFormat="1" ht="12.75"/>
    <row r="140" s="22" customFormat="1" ht="12.75"/>
    <row r="141" s="22" customFormat="1" ht="12.75"/>
    <row r="142" s="22" customFormat="1" ht="12.75"/>
    <row r="143" s="22" customFormat="1" ht="12.75"/>
    <row r="144" s="22" customFormat="1" ht="12.75"/>
    <row r="145" s="22" customFormat="1" ht="12.75"/>
    <row r="146" s="22" customFormat="1" ht="12.75"/>
    <row r="147" s="22" customFormat="1" ht="12.75"/>
    <row r="148" s="22" customFormat="1" ht="12.75"/>
    <row r="149" s="22" customFormat="1" ht="12.75"/>
    <row r="150" s="22" customFormat="1" ht="12.75"/>
    <row r="151" s="22" customFormat="1" ht="12.75"/>
    <row r="152" s="22" customFormat="1" ht="12.75"/>
    <row r="153" s="22" customFormat="1" ht="12.75"/>
    <row r="154" s="22" customFormat="1" ht="12.75"/>
    <row r="155" s="22" customFormat="1" ht="12.75"/>
    <row r="156" s="22" customFormat="1" ht="12.75"/>
    <row r="157" s="22" customFormat="1" ht="12.75"/>
    <row r="158" s="22" customFormat="1" ht="12.75"/>
    <row r="159" s="22" customFormat="1" ht="12.75"/>
    <row r="160" s="22" customFormat="1" ht="12.75"/>
    <row r="161" s="22" customFormat="1" ht="12.75"/>
    <row r="162" s="22" customFormat="1" ht="12.75"/>
    <row r="163" s="22" customFormat="1" ht="12.75"/>
    <row r="164" s="22" customFormat="1" ht="12.75"/>
    <row r="165" s="22" customFormat="1" ht="12.75"/>
    <row r="166" s="22" customFormat="1" ht="12.75"/>
    <row r="167" s="22" customFormat="1" ht="12.75"/>
    <row r="168" s="22" customFormat="1" ht="12.75"/>
    <row r="169" s="22" customFormat="1" ht="12.75"/>
    <row r="170" s="22" customFormat="1" ht="12.75"/>
    <row r="171" s="22" customFormat="1" ht="12.75"/>
    <row r="172" s="22" customFormat="1" ht="12.75"/>
    <row r="173" s="22" customFormat="1" ht="12.75"/>
    <row r="174" s="22" customFormat="1" ht="12.75"/>
    <row r="175" s="22" customFormat="1" ht="12.75"/>
    <row r="176" s="22" customFormat="1" ht="12.75"/>
    <row r="177" s="22" customFormat="1" ht="12.75"/>
    <row r="178" s="22" customFormat="1" ht="12.75"/>
    <row r="179" s="22" customFormat="1" ht="12.75"/>
    <row r="180" s="22" customFormat="1" ht="12.75"/>
    <row r="181" s="22" customFormat="1" ht="12.75"/>
    <row r="182" s="22" customFormat="1" ht="12.75"/>
    <row r="183" s="22" customFormat="1" ht="12.75"/>
    <row r="184" s="22" customFormat="1" ht="12.75"/>
    <row r="185" s="22" customFormat="1" ht="12.75"/>
    <row r="186" s="22" customFormat="1" ht="12.75"/>
    <row r="187" s="22" customFormat="1" ht="12.75"/>
    <row r="188" s="22" customFormat="1" ht="12.75"/>
    <row r="189" s="22" customFormat="1" ht="12.75"/>
    <row r="190" s="22" customFormat="1" ht="12.75"/>
    <row r="191" s="22" customFormat="1" ht="12.75"/>
    <row r="192" s="22" customFormat="1" ht="12.75"/>
    <row r="193" s="22" customFormat="1" ht="12.75"/>
    <row r="194" s="22" customFormat="1" ht="12.75"/>
    <row r="195" s="22" customFormat="1" ht="12.75"/>
    <row r="196" s="22" customFormat="1" ht="12.75"/>
    <row r="197" s="22" customFormat="1" ht="12.75"/>
    <row r="198" s="22" customFormat="1" ht="12.75"/>
    <row r="199" s="22" customFormat="1" ht="12.75"/>
    <row r="200" s="22" customFormat="1" ht="12.75"/>
    <row r="201" s="22" customFormat="1" ht="12.75"/>
    <row r="202" s="22" customFormat="1" ht="12.75"/>
    <row r="203" s="22" customFormat="1" ht="12.75"/>
    <row r="204" s="22" customFormat="1" ht="12.75"/>
    <row r="205" s="22" customFormat="1" ht="12.75"/>
    <row r="206" s="22" customFormat="1" ht="12.75"/>
    <row r="207" s="22" customFormat="1" ht="12.75"/>
    <row r="208" s="22" customFormat="1" ht="12.75"/>
    <row r="209" s="22" customFormat="1" ht="12.75"/>
    <row r="210" s="22" customFormat="1" ht="12.75"/>
    <row r="211" s="22" customFormat="1" ht="12.75"/>
    <row r="212" s="22" customFormat="1" ht="12.75"/>
    <row r="213" s="22" customFormat="1" ht="12.75"/>
    <row r="214" s="22" customFormat="1" ht="12.75"/>
    <row r="215" s="22" customFormat="1" ht="12.75"/>
    <row r="216" s="22" customFormat="1" ht="12.75"/>
    <row r="217" s="22" customFormat="1" ht="12.75"/>
  </sheetData>
  <sheetProtection algorithmName="SHA-512" hashValue="b2FlHNaM0kSk556L5WFR6W5l4q6MdIyoM01+Fz0MhF1E8I2LmUeXA+kyDwaChDfxohvoStwLv9SuJBc/l1hPog==" saltValue="xUu+vhbTnj7DNGfR/E5C+Q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A9" sqref="A9:E9"/>
    </sheetView>
  </sheetViews>
  <sheetFormatPr defaultColWidth="9.14428571428571" defaultRowHeight="12.75"/>
  <cols>
    <col min="1" max="1" width="8.28571428571429" style="3" customWidth="1"/>
    <col min="2" max="2" width="4.71428571428571" style="3" customWidth="1"/>
    <col min="3" max="3" width="8.28571428571429" style="3" customWidth="1"/>
    <col min="4" max="4" width="4.71428571428571" style="3" customWidth="1"/>
    <col min="5" max="5" width="8.28571428571429" style="2" customWidth="1"/>
    <col min="6" max="6" width="11" style="2" customWidth="1"/>
    <col min="7" max="7" width="7.14285714285714" style="2" customWidth="1"/>
    <col min="8" max="8" width="14.7142857142857" style="3" customWidth="1"/>
    <col min="9" max="9" width="7.28571428571429" style="3" customWidth="1"/>
    <col min="10" max="10" width="9.85714285714286" style="2" customWidth="1"/>
    <col min="11" max="11" width="4.42857142857143" style="3" customWidth="1"/>
    <col min="12" max="12" width="10.7142857142857" style="3" customWidth="1"/>
    <col min="13" max="16384" width="9.14285714285714" style="2"/>
  </cols>
  <sheetData>
    <row r="1" spans="1:12" ht="12.75">
      <c r="A1" s="845" t="s">
        <v>319</v>
      </c>
      <c r="B1" s="845"/>
      <c r="C1" s="846"/>
      <c r="D1" s="846"/>
      <c r="E1" s="846"/>
      <c r="F1" s="846"/>
      <c r="G1" s="846"/>
      <c r="H1" s="846"/>
      <c r="I1" s="846"/>
      <c r="J1" s="846"/>
      <c r="K1" s="846"/>
      <c r="L1" s="846"/>
    </row>
    <row r="2" spans="1:12" ht="12.75">
      <c r="A2" s="857" t="s">
        <v>159</v>
      </c>
      <c r="B2" s="857"/>
      <c r="C2" s="733"/>
      <c r="D2" s="733"/>
      <c r="E2" s="733"/>
      <c r="F2" s="733"/>
      <c r="G2" s="733"/>
      <c r="H2" s="733"/>
      <c r="I2" s="733"/>
      <c r="J2" s="733"/>
      <c r="K2" s="733"/>
      <c r="L2" s="733"/>
    </row>
    <row r="3" spans="1:12" ht="20.25" customHeight="1">
      <c r="A3" s="850">
        <f>+ZAKL_DATA!B13</f>
        <v>0</v>
      </c>
      <c r="B3" s="851"/>
      <c r="C3" s="852"/>
      <c r="D3" s="852"/>
      <c r="E3" s="852"/>
      <c r="F3" s="853"/>
      <c r="G3" s="858"/>
      <c r="H3" s="859"/>
      <c r="I3" s="859"/>
      <c r="J3" s="859"/>
      <c r="K3" s="859"/>
      <c r="L3" s="859"/>
    </row>
    <row r="4" spans="1:12" ht="12.75">
      <c r="A4" s="857" t="s">
        <v>160</v>
      </c>
      <c r="B4" s="857"/>
      <c r="C4" s="733"/>
      <c r="D4" s="733"/>
      <c r="E4" s="733"/>
      <c r="F4" s="733"/>
      <c r="G4" s="733"/>
      <c r="H4" s="733"/>
      <c r="I4" s="733"/>
      <c r="J4" s="733"/>
      <c r="K4" s="733"/>
      <c r="L4" s="733"/>
    </row>
    <row r="5" spans="1:12" ht="20.25" customHeight="1">
      <c r="A5" s="850">
        <f>+ZAKL_DATA!B14</f>
        <v>0</v>
      </c>
      <c r="B5" s="851"/>
      <c r="C5" s="852"/>
      <c r="D5" s="852"/>
      <c r="E5" s="852"/>
      <c r="F5" s="853"/>
      <c r="G5" s="847"/>
      <c r="H5" s="863" t="s">
        <v>246</v>
      </c>
      <c r="I5" s="864"/>
      <c r="J5" s="864"/>
      <c r="K5" s="864"/>
      <c r="L5" s="865"/>
    </row>
    <row r="6" spans="1:12" ht="12.75">
      <c r="A6" s="860" t="s">
        <v>154</v>
      </c>
      <c r="B6" s="860"/>
      <c r="C6" s="861"/>
      <c r="D6" s="861"/>
      <c r="E6" s="861"/>
      <c r="F6" s="861"/>
      <c r="G6" s="848"/>
      <c r="H6" s="866"/>
      <c r="I6" s="733"/>
      <c r="J6" s="733"/>
      <c r="K6" s="733"/>
      <c r="L6" s="848"/>
    </row>
    <row r="7" spans="1:12" ht="20.25" customHeight="1">
      <c r="A7" s="854" t="str">
        <f>IF(EXACT(LEFT(+ZAKL_DATA!D2,1),"C"),+ZAKL_DATA!D2," ")</f>
        <v>CZ</v>
      </c>
      <c r="B7" s="810"/>
      <c r="C7" s="855"/>
      <c r="D7" s="855"/>
      <c r="E7" s="855"/>
      <c r="F7" s="856"/>
      <c r="G7" s="848"/>
      <c r="H7" s="866"/>
      <c r="I7" s="733"/>
      <c r="J7" s="733"/>
      <c r="K7" s="733"/>
      <c r="L7" s="848"/>
    </row>
    <row r="8" spans="1:12" ht="12.75">
      <c r="A8" s="862" t="s">
        <v>155</v>
      </c>
      <c r="B8" s="862"/>
      <c r="C8" s="861"/>
      <c r="D8" s="861"/>
      <c r="E8" s="861"/>
      <c r="F8" s="849"/>
      <c r="G8" s="733"/>
      <c r="H8" s="866"/>
      <c r="I8" s="733"/>
      <c r="J8" s="733"/>
      <c r="K8" s="733"/>
      <c r="L8" s="848"/>
    </row>
    <row r="9" spans="1:12" ht="20.25" customHeight="1">
      <c r="A9" s="809" t="str">
        <f>IF(EXACT(LEFT(+ZAKL_DATA!D2,1),"C"),+MID(A7,3,20),+ZAKL_DATA!D2)</f>
        <v/>
      </c>
      <c r="B9" s="810"/>
      <c r="C9" s="810"/>
      <c r="D9" s="810"/>
      <c r="E9" s="811"/>
      <c r="F9" s="733"/>
      <c r="G9" s="733"/>
      <c r="H9" s="866"/>
      <c r="I9" s="733"/>
      <c r="J9" s="733"/>
      <c r="K9" s="733"/>
      <c r="L9" s="848"/>
    </row>
    <row r="10" spans="1:12" ht="12.75">
      <c r="A10" s="754"/>
      <c r="B10" s="754"/>
      <c r="C10" s="754"/>
      <c r="D10" s="754"/>
      <c r="E10" s="754"/>
      <c r="F10" s="733"/>
      <c r="G10" s="733"/>
      <c r="H10" s="867"/>
      <c r="I10" s="868"/>
      <c r="J10" s="868"/>
      <c r="K10" s="868"/>
      <c r="L10" s="869"/>
    </row>
    <row r="11" spans="1:12" ht="12.75">
      <c r="A11" s="754" t="s">
        <v>237</v>
      </c>
      <c r="B11" s="754"/>
      <c r="C11" s="733"/>
      <c r="D11" s="733"/>
      <c r="E11" s="733"/>
      <c r="F11" s="733"/>
      <c r="G11" s="733"/>
      <c r="H11" s="733"/>
      <c r="I11" s="733"/>
      <c r="J11" s="733"/>
      <c r="K11" s="733"/>
      <c r="L11" s="733"/>
    </row>
    <row r="12" spans="1:12" ht="11.25" customHeight="1">
      <c r="A12" s="68" t="s">
        <v>156</v>
      </c>
      <c r="B12" s="66"/>
      <c r="C12" s="68" t="s">
        <v>256</v>
      </c>
      <c r="D12" s="10"/>
      <c r="E12" s="68" t="s">
        <v>257</v>
      </c>
      <c r="F12" s="67"/>
      <c r="G12" s="826" t="s">
        <v>238</v>
      </c>
      <c r="H12" s="827"/>
      <c r="I12" s="827"/>
      <c r="J12" s="827"/>
      <c r="K12" s="11"/>
      <c r="L12" s="67"/>
    </row>
    <row r="13" spans="1:12" ht="24" customHeight="1">
      <c r="A13" s="69" t="s">
        <v>258</v>
      </c>
      <c r="B13" s="66"/>
      <c r="C13" s="69"/>
      <c r="D13" s="66"/>
      <c r="E13" s="69"/>
      <c r="F13" s="67"/>
      <c r="G13" s="827"/>
      <c r="H13" s="827"/>
      <c r="I13" s="827"/>
      <c r="J13" s="827"/>
      <c r="K13" s="762"/>
      <c r="L13" s="763"/>
    </row>
    <row r="14" spans="1:12" ht="12.75">
      <c r="A14" s="758" t="s">
        <v>228</v>
      </c>
      <c r="B14" s="733"/>
      <c r="C14" s="733"/>
      <c r="D14" s="733"/>
      <c r="E14" s="733"/>
      <c r="F14" s="761"/>
      <c r="G14" s="761"/>
      <c r="H14" s="761"/>
      <c r="I14" s="761"/>
      <c r="J14" s="761"/>
      <c r="K14" s="761"/>
      <c r="L14" s="761"/>
    </row>
    <row r="15" spans="1:12" ht="20.25" customHeight="1">
      <c r="A15" s="69"/>
      <c r="B15" s="755"/>
      <c r="C15" s="733"/>
      <c r="D15" s="733"/>
      <c r="E15" s="733"/>
      <c r="F15" s="759"/>
      <c r="G15" s="760"/>
      <c r="H15" s="760"/>
      <c r="I15" s="760"/>
      <c r="J15" s="123" t="s">
        <v>360</v>
      </c>
      <c r="K15" s="762"/>
      <c r="L15" s="763"/>
    </row>
    <row r="16" spans="1:12" ht="12.75">
      <c r="A16" s="768"/>
      <c r="B16" s="769"/>
      <c r="C16" s="769"/>
      <c r="D16" s="769"/>
      <c r="E16" s="769"/>
      <c r="F16" s="760"/>
      <c r="G16" s="760"/>
      <c r="H16" s="760"/>
      <c r="I16" s="760"/>
      <c r="J16" s="70"/>
      <c r="K16" s="72"/>
      <c r="L16" s="71"/>
    </row>
    <row r="17" spans="1:12" ht="24" customHeight="1">
      <c r="A17" s="823" t="s">
        <v>89</v>
      </c>
      <c r="B17" s="824"/>
      <c r="C17" s="824"/>
      <c r="D17" s="824"/>
      <c r="E17" s="824"/>
      <c r="F17" s="824"/>
      <c r="G17" s="824"/>
      <c r="H17" s="825"/>
      <c r="I17" s="117" t="s">
        <v>236</v>
      </c>
      <c r="J17" s="69"/>
      <c r="K17" s="116" t="s">
        <v>141</v>
      </c>
      <c r="L17" s="69" t="s">
        <v>258</v>
      </c>
    </row>
    <row r="18" spans="1:12" ht="9" customHeight="1">
      <c r="A18" s="764"/>
      <c r="B18" s="764"/>
      <c r="C18" s="761"/>
      <c r="D18" s="761"/>
      <c r="E18" s="761"/>
      <c r="F18" s="761"/>
      <c r="G18" s="761"/>
      <c r="H18" s="761"/>
      <c r="I18" s="761"/>
      <c r="J18" s="761"/>
      <c r="K18" s="761"/>
      <c r="L18" s="761"/>
    </row>
    <row r="19" spans="1:12" ht="24" customHeight="1">
      <c r="A19" s="765" t="s">
        <v>240</v>
      </c>
      <c r="B19" s="766"/>
      <c r="C19" s="766"/>
      <c r="D19" s="766"/>
      <c r="E19" s="766"/>
      <c r="F19" s="766"/>
      <c r="G19" s="766"/>
      <c r="H19" s="767"/>
      <c r="I19" s="117" t="s">
        <v>236</v>
      </c>
      <c r="J19" s="69"/>
      <c r="K19" s="116" t="s">
        <v>141</v>
      </c>
      <c r="L19" s="69" t="s">
        <v>258</v>
      </c>
    </row>
    <row r="20" spans="1:12" ht="20.1" customHeight="1">
      <c r="A20" s="764"/>
      <c r="B20" s="764"/>
      <c r="C20" s="764"/>
      <c r="D20" s="764"/>
      <c r="E20" s="764"/>
      <c r="F20" s="764"/>
      <c r="G20" s="764"/>
      <c r="H20" s="764"/>
      <c r="I20" s="764"/>
      <c r="J20" s="764"/>
      <c r="K20" s="764"/>
      <c r="L20" s="764"/>
    </row>
    <row r="21" spans="1:12" ht="27.95" customHeight="1">
      <c r="A21" s="816" t="s">
        <v>104</v>
      </c>
      <c r="B21" s="760"/>
      <c r="C21" s="760"/>
      <c r="D21" s="760"/>
      <c r="E21" s="760"/>
      <c r="F21" s="760"/>
      <c r="G21" s="760"/>
      <c r="H21" s="760"/>
      <c r="I21" s="760"/>
      <c r="J21" s="760"/>
      <c r="K21" s="760"/>
      <c r="L21" s="760"/>
    </row>
    <row r="22" spans="1:12" ht="18" customHeight="1">
      <c r="A22" s="817" t="s">
        <v>105</v>
      </c>
      <c r="B22" s="817"/>
      <c r="C22" s="760"/>
      <c r="D22" s="760"/>
      <c r="E22" s="760"/>
      <c r="F22" s="760"/>
      <c r="G22" s="760"/>
      <c r="H22" s="760"/>
      <c r="I22" s="760"/>
      <c r="J22" s="760"/>
      <c r="K22" s="733"/>
      <c r="L22" s="733"/>
    </row>
    <row r="23" spans="1:12" s="102" customFormat="1" ht="18" customHeight="1">
      <c r="A23" s="814" t="s">
        <v>3461</v>
      </c>
      <c r="B23" s="814"/>
      <c r="C23" s="815"/>
      <c r="D23" s="815"/>
      <c r="E23" s="815"/>
      <c r="F23" s="815"/>
      <c r="G23" s="815"/>
      <c r="H23" s="815"/>
      <c r="I23" s="815"/>
      <c r="J23" s="815"/>
      <c r="K23" s="815"/>
      <c r="L23" s="815"/>
    </row>
    <row r="24" spans="1:12" s="102" customFormat="1" ht="24" customHeight="1">
      <c r="A24" s="818" t="s">
        <v>260</v>
      </c>
      <c r="B24" s="819"/>
      <c r="C24" s="819"/>
      <c r="D24" s="819"/>
      <c r="E24" s="820"/>
      <c r="F24" s="756">
        <v>2022</v>
      </c>
      <c r="G24" s="757"/>
      <c r="H24" s="821" t="s">
        <v>189</v>
      </c>
      <c r="I24" s="822"/>
      <c r="J24" s="162"/>
      <c r="K24" s="161" t="s">
        <v>259</v>
      </c>
      <c r="L24" s="162"/>
    </row>
    <row r="25" spans="1:12" ht="18" customHeight="1">
      <c r="A25" s="764" t="s">
        <v>3462</v>
      </c>
      <c r="B25" s="764"/>
      <c r="C25" s="761"/>
      <c r="D25" s="761"/>
      <c r="E25" s="761"/>
      <c r="F25" s="761"/>
      <c r="G25" s="761"/>
      <c r="H25" s="761"/>
      <c r="I25" s="761"/>
      <c r="J25" s="761"/>
      <c r="K25" s="761"/>
      <c r="L25" s="761"/>
    </row>
    <row r="26" spans="1:12" ht="9.95" customHeight="1">
      <c r="A26" s="764"/>
      <c r="B26" s="764"/>
      <c r="C26" s="761"/>
      <c r="D26" s="761"/>
      <c r="E26" s="761"/>
      <c r="F26" s="761"/>
      <c r="G26" s="761"/>
      <c r="H26" s="761"/>
      <c r="I26" s="761"/>
      <c r="J26" s="761"/>
      <c r="K26" s="761"/>
      <c r="L26" s="761"/>
    </row>
    <row r="27" spans="1:12" ht="15" customHeight="1" thickBot="1">
      <c r="A27" s="776" t="s">
        <v>140</v>
      </c>
      <c r="B27" s="776"/>
      <c r="C27" s="777"/>
      <c r="D27" s="777"/>
      <c r="E27" s="777"/>
      <c r="F27" s="777"/>
      <c r="G27" s="777"/>
      <c r="H27" s="777"/>
      <c r="I27" s="777"/>
      <c r="J27" s="777"/>
      <c r="K27" s="777"/>
      <c r="L27" s="777"/>
    </row>
    <row r="28" spans="1:12" ht="24" customHeight="1">
      <c r="A28" s="233" t="s">
        <v>1</v>
      </c>
      <c r="B28" s="828">
        <f>+ZAKL_DATA!B5</f>
        <v>0</v>
      </c>
      <c r="C28" s="829"/>
      <c r="D28" s="829"/>
      <c r="E28" s="830"/>
      <c r="F28" s="234" t="s">
        <v>3774</v>
      </c>
      <c r="G28" s="828">
        <f>+ZAKL_DATA!B6</f>
        <v>0</v>
      </c>
      <c r="H28" s="831"/>
      <c r="I28" s="235" t="s">
        <v>288</v>
      </c>
      <c r="J28" s="832">
        <f>+ZAKL_DATA!B4</f>
        <v>0</v>
      </c>
      <c r="K28" s="833"/>
      <c r="L28" s="834"/>
    </row>
    <row r="29" spans="1:12" ht="24" customHeight="1" thickBot="1">
      <c r="A29" s="236" t="s">
        <v>3773</v>
      </c>
      <c r="B29" s="842">
        <f>+ZAKL_DATA!B7</f>
        <v>0</v>
      </c>
      <c r="C29" s="843"/>
      <c r="D29" s="843"/>
      <c r="E29" s="751"/>
      <c r="F29" s="784" t="s">
        <v>2</v>
      </c>
      <c r="G29" s="785"/>
      <c r="H29" s="350">
        <f>+ZAKL_DATA!B20</f>
        <v>0</v>
      </c>
      <c r="I29" s="237" t="s">
        <v>3</v>
      </c>
      <c r="J29" s="839"/>
      <c r="K29" s="840"/>
      <c r="L29" s="841"/>
    </row>
    <row r="30" spans="1:12" ht="15" customHeight="1" thickBot="1">
      <c r="A30" s="844" t="s">
        <v>208</v>
      </c>
      <c r="B30" s="844"/>
      <c r="C30" s="796"/>
      <c r="D30" s="796"/>
      <c r="E30" s="796"/>
      <c r="F30" s="796"/>
      <c r="G30" s="796"/>
      <c r="H30" s="796"/>
      <c r="I30" s="796"/>
      <c r="J30" s="796"/>
      <c r="K30" s="796"/>
      <c r="L30" s="796"/>
    </row>
    <row r="31" spans="1:12" ht="24" customHeight="1">
      <c r="A31" s="233" t="s">
        <v>4</v>
      </c>
      <c r="B31" s="747">
        <f>+ZAKL_DATA!B18</f>
        <v>0</v>
      </c>
      <c r="C31" s="748"/>
      <c r="D31" s="748"/>
      <c r="E31" s="749"/>
      <c r="F31" s="238" t="s">
        <v>3463</v>
      </c>
      <c r="G31" s="747">
        <f>+ZAKL_DATA!B16</f>
        <v>0</v>
      </c>
      <c r="H31" s="837"/>
      <c r="I31" s="838"/>
      <c r="J31" s="835" t="s">
        <v>5</v>
      </c>
      <c r="K31" s="836"/>
      <c r="L31" s="14">
        <f>+ZAKL_DATA!B17</f>
        <v>0</v>
      </c>
    </row>
    <row r="32" spans="1:12" ht="24" customHeight="1" thickBot="1">
      <c r="A32" s="236" t="s">
        <v>190</v>
      </c>
      <c r="B32" s="750">
        <f>+ZAKL_DATA!B19</f>
        <v>0</v>
      </c>
      <c r="C32" s="751"/>
      <c r="D32" s="797" t="s">
        <v>3775</v>
      </c>
      <c r="E32" s="798"/>
      <c r="F32" s="247">
        <f>+ZAKL_DATA!B25</f>
        <v>0</v>
      </c>
      <c r="G32" s="239" t="s">
        <v>3776</v>
      </c>
      <c r="H32" s="805">
        <f>+ZAKL_DATA!B27</f>
        <v>0</v>
      </c>
      <c r="I32" s="806"/>
      <c r="J32" s="240" t="s">
        <v>191</v>
      </c>
      <c r="K32" s="770">
        <f>+ZAKL_DATA!B20</f>
        <v>0</v>
      </c>
      <c r="L32" s="771"/>
    </row>
    <row r="33" spans="1:12" ht="15" customHeight="1">
      <c r="A33" s="803" t="s">
        <v>3609</v>
      </c>
      <c r="B33" s="804"/>
      <c r="C33" s="804"/>
      <c r="D33" s="804"/>
      <c r="E33" s="804"/>
      <c r="F33" s="804"/>
      <c r="G33" s="804"/>
      <c r="H33" s="804"/>
      <c r="I33" s="804"/>
      <c r="J33" s="804"/>
      <c r="K33" s="780"/>
      <c r="L33" s="780"/>
    </row>
    <row r="34" spans="1:12" ht="15" customHeight="1" thickBot="1">
      <c r="A34" s="801" t="s">
        <v>110</v>
      </c>
      <c r="B34" s="802"/>
      <c r="C34" s="802"/>
      <c r="D34" s="802"/>
      <c r="E34" s="802"/>
      <c r="F34" s="802"/>
      <c r="G34" s="802"/>
      <c r="H34" s="802"/>
      <c r="I34" s="802"/>
      <c r="J34" s="802"/>
      <c r="K34" s="796"/>
      <c r="L34" s="796"/>
    </row>
    <row r="35" spans="1:14" ht="24" customHeight="1" thickBot="1">
      <c r="A35" s="241" t="s">
        <v>192</v>
      </c>
      <c r="B35" s="786"/>
      <c r="C35" s="787"/>
      <c r="D35" s="787"/>
      <c r="E35" s="788"/>
      <c r="F35" s="242" t="s">
        <v>109</v>
      </c>
      <c r="G35" s="752"/>
      <c r="H35" s="753"/>
      <c r="I35" s="243" t="s">
        <v>65</v>
      </c>
      <c r="J35" s="244"/>
      <c r="K35" s="245" t="s">
        <v>193</v>
      </c>
      <c r="L35" s="246"/>
      <c r="M35" s="124"/>
      <c r="N35" s="125"/>
    </row>
    <row r="36" spans="1:12" ht="15" customHeight="1">
      <c r="A36" s="792" t="s">
        <v>3627</v>
      </c>
      <c r="B36" s="793"/>
      <c r="C36" s="793"/>
      <c r="D36" s="793"/>
      <c r="E36" s="793"/>
      <c r="F36" s="793"/>
      <c r="G36" s="793"/>
      <c r="H36" s="793"/>
      <c r="I36" s="793"/>
      <c r="J36" s="793"/>
      <c r="K36" s="733"/>
      <c r="L36" s="733"/>
    </row>
    <row r="37" spans="1:12" ht="15" customHeight="1" thickBot="1">
      <c r="A37" s="794" t="s">
        <v>320</v>
      </c>
      <c r="B37" s="795"/>
      <c r="C37" s="795"/>
      <c r="D37" s="795"/>
      <c r="E37" s="795"/>
      <c r="F37" s="795"/>
      <c r="G37" s="795"/>
      <c r="H37" s="795"/>
      <c r="I37" s="795"/>
      <c r="J37" s="795"/>
      <c r="K37" s="796"/>
      <c r="L37" s="796"/>
    </row>
    <row r="38" spans="1:14" ht="24" customHeight="1">
      <c r="A38" s="12" t="s">
        <v>194</v>
      </c>
      <c r="B38" s="747"/>
      <c r="C38" s="748"/>
      <c r="D38" s="748"/>
      <c r="E38" s="749"/>
      <c r="F38" s="107" t="s">
        <v>3464</v>
      </c>
      <c r="G38" s="789"/>
      <c r="H38" s="790"/>
      <c r="I38" s="791"/>
      <c r="J38" s="799" t="s">
        <v>195</v>
      </c>
      <c r="K38" s="800"/>
      <c r="L38" s="14"/>
      <c r="M38" s="124"/>
      <c r="N38" s="125"/>
    </row>
    <row r="39" spans="1:14" ht="24" customHeight="1" thickBot="1">
      <c r="A39" s="13" t="s">
        <v>196</v>
      </c>
      <c r="B39" s="750"/>
      <c r="C39" s="751"/>
      <c r="D39" s="797" t="s">
        <v>3812</v>
      </c>
      <c r="E39" s="798"/>
      <c r="F39" s="775"/>
      <c r="G39" s="751"/>
      <c r="H39" s="239" t="s">
        <v>3813</v>
      </c>
      <c r="I39" s="772"/>
      <c r="J39" s="773"/>
      <c r="K39" s="773"/>
      <c r="L39" s="774"/>
      <c r="M39" s="124"/>
      <c r="N39" s="125"/>
    </row>
    <row r="40" spans="1:12" ht="12" customHeight="1">
      <c r="A40" s="779"/>
      <c r="B40" s="780"/>
      <c r="C40" s="780"/>
      <c r="D40" s="780"/>
      <c r="E40" s="780"/>
      <c r="F40" s="780"/>
      <c r="G40" s="780"/>
      <c r="H40" s="780"/>
      <c r="I40" s="780"/>
      <c r="J40" s="780"/>
      <c r="K40" s="780"/>
      <c r="L40" s="780"/>
    </row>
    <row r="41" spans="1:12" ht="24" customHeight="1">
      <c r="A41" s="781" t="s">
        <v>111</v>
      </c>
      <c r="B41" s="782"/>
      <c r="C41" s="782"/>
      <c r="D41" s="782"/>
      <c r="E41" s="783"/>
      <c r="F41" s="108"/>
      <c r="G41" s="109"/>
      <c r="H41" s="874" t="s">
        <v>55</v>
      </c>
      <c r="I41" s="875"/>
      <c r="J41" s="876"/>
      <c r="K41" s="872"/>
      <c r="L41" s="873"/>
    </row>
    <row r="42" spans="1:12" ht="12" customHeight="1">
      <c r="A42" s="813"/>
      <c r="B42" s="733"/>
      <c r="C42" s="733"/>
      <c r="D42" s="733"/>
      <c r="E42" s="733"/>
      <c r="F42" s="733"/>
      <c r="G42" s="733"/>
      <c r="H42" s="733"/>
      <c r="I42" s="733"/>
      <c r="J42" s="733"/>
      <c r="K42" s="733"/>
      <c r="L42" s="733"/>
    </row>
    <row r="43" spans="1:12" ht="24" customHeight="1">
      <c r="A43" s="812" t="s">
        <v>3565</v>
      </c>
      <c r="B43" s="767"/>
      <c r="C43" s="767"/>
      <c r="D43" s="767"/>
      <c r="E43" s="116" t="s">
        <v>236</v>
      </c>
      <c r="F43" s="69"/>
      <c r="G43" s="116" t="s">
        <v>141</v>
      </c>
      <c r="H43" s="69" t="s">
        <v>258</v>
      </c>
      <c r="I43" s="778"/>
      <c r="J43" s="733"/>
      <c r="K43" s="733"/>
      <c r="L43" s="733"/>
    </row>
    <row r="44" spans="1:12" ht="9" customHeight="1">
      <c r="A44" s="870"/>
      <c r="B44" s="733"/>
      <c r="C44" s="733"/>
      <c r="D44" s="733"/>
      <c r="E44" s="733"/>
      <c r="F44" s="733"/>
      <c r="G44" s="733"/>
      <c r="H44" s="733"/>
      <c r="I44" s="733"/>
      <c r="J44" s="733"/>
      <c r="K44" s="733"/>
      <c r="L44" s="733"/>
    </row>
    <row r="45" spans="1:12" ht="9" customHeight="1">
      <c r="A45" s="871" t="s">
        <v>3930</v>
      </c>
      <c r="B45" s="871"/>
      <c r="C45" s="733"/>
      <c r="D45" s="733"/>
      <c r="E45" s="733"/>
      <c r="F45" s="733"/>
      <c r="G45" s="733"/>
      <c r="H45" s="733"/>
      <c r="I45" s="733"/>
      <c r="J45" s="733"/>
      <c r="K45" s="733"/>
      <c r="L45" s="733"/>
    </row>
    <row r="46" spans="1:12" ht="10.5" customHeight="1">
      <c r="A46" s="807" t="s">
        <v>247</v>
      </c>
      <c r="B46" s="808"/>
      <c r="C46" s="808"/>
      <c r="D46" s="808"/>
      <c r="E46" s="808"/>
      <c r="F46" s="808"/>
      <c r="G46" s="808"/>
      <c r="H46" s="808"/>
      <c r="I46" s="808"/>
      <c r="J46" s="808"/>
      <c r="K46" s="808"/>
      <c r="L46" s="808"/>
    </row>
    <row r="47" spans="1:12" ht="10.5" customHeight="1">
      <c r="A47" s="807">
        <f>+ZAKL_DATA!A44</f>
        <v>0</v>
      </c>
      <c r="B47" s="808"/>
      <c r="C47" s="808"/>
      <c r="D47" s="808"/>
      <c r="E47" s="808"/>
      <c r="F47" s="808"/>
      <c r="G47" s="808"/>
      <c r="H47" s="808"/>
      <c r="I47" s="808"/>
      <c r="J47" s="808"/>
      <c r="K47" s="808"/>
      <c r="L47" s="808"/>
    </row>
    <row r="48" spans="1:12" ht="10.5" customHeight="1">
      <c r="A48" s="764">
        <v>1</v>
      </c>
      <c r="B48" s="733"/>
      <c r="C48" s="733"/>
      <c r="D48" s="733"/>
      <c r="E48" s="733"/>
      <c r="F48" s="733"/>
      <c r="G48" s="733"/>
      <c r="H48" s="733"/>
      <c r="I48" s="733"/>
      <c r="J48" s="733"/>
      <c r="K48" s="733"/>
      <c r="L48" s="733"/>
    </row>
    <row r="49" spans="1:7" ht="11.25" customHeight="1">
      <c r="A49" s="4"/>
      <c r="B49" s="4"/>
      <c r="E49" s="3"/>
      <c r="F49" s="3"/>
      <c r="G49" s="3"/>
    </row>
    <row r="50" spans="1:12" ht="12.75">
      <c r="A50" s="2"/>
      <c r="B50" s="2"/>
      <c r="C50" s="2"/>
      <c r="D50" s="2"/>
      <c r="H50" s="5"/>
      <c r="I50" s="2"/>
      <c r="K50" s="2"/>
      <c r="L50" s="2"/>
    </row>
    <row r="51" spans="1:12" ht="12.95" customHeight="1">
      <c r="A51" s="2"/>
      <c r="B51" s="2"/>
      <c r="C51" s="2"/>
      <c r="D51" s="2"/>
      <c r="H51" s="2"/>
      <c r="I51" s="2"/>
      <c r="K51" s="2"/>
      <c r="L51" s="2"/>
    </row>
    <row r="52" spans="1:12" ht="12.95" customHeight="1">
      <c r="A52" s="2"/>
      <c r="B52" s="2"/>
      <c r="C52" s="2"/>
      <c r="D52" s="2"/>
      <c r="H52" s="2"/>
      <c r="I52" s="2"/>
      <c r="K52" s="2"/>
      <c r="L52" s="2"/>
    </row>
    <row r="53" spans="1:12" ht="12.95" customHeight="1">
      <c r="A53" s="2"/>
      <c r="B53" s="2"/>
      <c r="C53" s="2"/>
      <c r="D53" s="2"/>
      <c r="H53" s="2"/>
      <c r="I53" s="2"/>
      <c r="K53" s="2"/>
      <c r="L53" s="2"/>
    </row>
    <row r="54" spans="1:12" ht="12.95" customHeight="1">
      <c r="A54" s="2"/>
      <c r="B54" s="2"/>
      <c r="C54" s="2"/>
      <c r="D54" s="2"/>
      <c r="H54" s="2"/>
      <c r="I54" s="2"/>
      <c r="K54" s="2"/>
      <c r="L54" s="2"/>
    </row>
    <row r="55" spans="1:12" ht="12.95" customHeight="1" hidden="1">
      <c r="A55" s="2" t="s">
        <v>92</v>
      </c>
      <c r="B55" s="2"/>
      <c r="C55" s="2"/>
      <c r="D55" s="2"/>
      <c r="H55" s="2"/>
      <c r="I55" s="2"/>
      <c r="K55" s="2"/>
      <c r="L55" s="2"/>
    </row>
    <row r="56" spans="1:12" ht="12.95" customHeight="1" hidden="1">
      <c r="A56" s="2" t="s">
        <v>93</v>
      </c>
      <c r="B56" s="2"/>
      <c r="C56" s="2"/>
      <c r="D56" s="2"/>
      <c r="H56" s="2"/>
      <c r="I56" s="2"/>
      <c r="K56" s="2"/>
      <c r="L56" s="2"/>
    </row>
    <row r="57" spans="1:12" ht="12.95" customHeight="1">
      <c r="A57" s="2"/>
      <c r="B57" s="2"/>
      <c r="C57" s="2"/>
      <c r="D57" s="2"/>
      <c r="H57" s="2"/>
      <c r="I57" s="2"/>
      <c r="K57" s="2"/>
      <c r="L57" s="2"/>
    </row>
    <row r="58" spans="1:12" ht="12.95" customHeight="1">
      <c r="A58" s="2"/>
      <c r="B58" s="2"/>
      <c r="C58" s="2"/>
      <c r="D58" s="2"/>
      <c r="H58" s="2"/>
      <c r="I58" s="2"/>
      <c r="K58" s="2"/>
      <c r="L58" s="2"/>
    </row>
    <row r="59" spans="1:12" ht="12.95" customHeight="1">
      <c r="A59" s="2"/>
      <c r="B59" s="2"/>
      <c r="C59" s="2"/>
      <c r="D59" s="2"/>
      <c r="H59" s="2"/>
      <c r="I59" s="2"/>
      <c r="K59" s="2"/>
      <c r="L59" s="2"/>
    </row>
    <row r="60" spans="5:8" ht="12.95" customHeight="1">
      <c r="E60" s="3"/>
      <c r="F60" s="3"/>
      <c r="G60" s="4"/>
      <c r="H60" s="2"/>
    </row>
    <row r="61" spans="5:7" ht="12.75">
      <c r="E61" s="3"/>
      <c r="F61" s="3"/>
      <c r="G61" s="3"/>
    </row>
    <row r="62" spans="5:7" ht="12.75">
      <c r="E62" s="3"/>
      <c r="F62" s="3"/>
      <c r="G62" s="3"/>
    </row>
    <row r="63" spans="5:7" ht="12.75">
      <c r="E63" s="3"/>
      <c r="F63" s="3"/>
      <c r="G63" s="3"/>
    </row>
    <row r="64" spans="5:7" ht="12.75">
      <c r="E64" s="3"/>
      <c r="F64" s="3"/>
      <c r="G64" s="3"/>
    </row>
    <row r="65" spans="5:7" ht="12.75">
      <c r="E65" s="3"/>
      <c r="F65" s="3"/>
      <c r="G65" s="3"/>
    </row>
    <row r="66" spans="5:7" ht="12.75">
      <c r="E66" s="3"/>
      <c r="F66" s="3"/>
      <c r="G66" s="3"/>
    </row>
    <row r="67" spans="5:7" ht="12.75">
      <c r="E67" s="3"/>
      <c r="F67" s="3"/>
      <c r="G67" s="3"/>
    </row>
    <row r="68" spans="5:6" ht="12.75">
      <c r="E68" s="3"/>
      <c r="F68" s="3"/>
    </row>
    <row r="69" spans="5:6" ht="12.75">
      <c r="E69" s="3"/>
      <c r="F69" s="3"/>
    </row>
    <row r="70" spans="5:6" ht="12.75">
      <c r="E70" s="3"/>
      <c r="F70" s="3"/>
    </row>
    <row r="71" spans="5:6" ht="12.75">
      <c r="E71" s="3"/>
      <c r="F71" s="3"/>
    </row>
    <row r="72" spans="5:6" ht="12.75">
      <c r="E72" s="3"/>
      <c r="F72" s="3"/>
    </row>
    <row r="204" spans="1:1" ht="12.75">
      <c r="A204" s="97">
        <v>1</v>
      </c>
    </row>
  </sheetData>
  <sheetProtection algorithmName="SHA-512" hashValue="i3aTGNLYVX0SkVlrsxPlvVnk+Trs/+P1SjZLzl4IHWwE84CLt5+YB8kho0hRxCTChqJ4s/cNdNwsxo9pI5OXkw==" saltValue="TWP09bgzXDpLUlqaMBBUwA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6"/>
  <sheetViews>
    <sheetView workbookViewId="0" topLeftCell="A1">
      <selection pane="topLeft" activeCell="E4" sqref="E4:G4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3"/>
    <col min="12" max="12" width="41.7142857142857" style="73" customWidth="1"/>
    <col min="13" max="18" width="14.7142857142857" style="73" customWidth="1"/>
    <col min="19" max="58" width="9.14285714285714" style="73"/>
  </cols>
  <sheetData>
    <row r="1" spans="1:10" ht="12.75">
      <c r="A1" s="764" t="s">
        <v>203</v>
      </c>
      <c r="B1" s="761"/>
      <c r="C1" s="761"/>
      <c r="D1" s="761"/>
      <c r="E1" s="761"/>
      <c r="F1" s="761"/>
      <c r="G1" s="733"/>
      <c r="H1" s="733"/>
      <c r="I1" s="733"/>
      <c r="J1" s="733"/>
    </row>
    <row r="2" spans="1:10" ht="13.5" thickBot="1">
      <c r="A2" s="882" t="s">
        <v>3465</v>
      </c>
      <c r="B2" s="883"/>
      <c r="C2" s="883"/>
      <c r="D2" s="883"/>
      <c r="E2" s="883"/>
      <c r="F2" s="883"/>
      <c r="G2" s="884"/>
      <c r="H2" s="884"/>
      <c r="I2" s="884"/>
      <c r="J2" s="884"/>
    </row>
    <row r="3" spans="1:18" ht="12" customHeight="1">
      <c r="A3" s="897"/>
      <c r="B3" s="898"/>
      <c r="C3" s="898"/>
      <c r="D3" s="899"/>
      <c r="E3" s="900" t="s">
        <v>149</v>
      </c>
      <c r="F3" s="900"/>
      <c r="G3" s="900"/>
      <c r="H3" s="900" t="s">
        <v>157</v>
      </c>
      <c r="I3" s="900"/>
      <c r="J3" s="901"/>
      <c r="L3" s="426" t="s">
        <v>3709</v>
      </c>
      <c r="M3" s="427" t="s">
        <v>3710</v>
      </c>
      <c r="N3" s="428" t="s">
        <v>3711</v>
      </c>
      <c r="O3" s="429" t="s">
        <v>3712</v>
      </c>
      <c r="P3" s="429" t="s">
        <v>3713</v>
      </c>
      <c r="Q3" s="429" t="s">
        <v>3714</v>
      </c>
      <c r="R3" s="430" t="s">
        <v>3715</v>
      </c>
    </row>
    <row r="4" spans="1:18" ht="15.95" customHeight="1">
      <c r="A4" s="18">
        <v>31</v>
      </c>
      <c r="B4" s="877" t="s">
        <v>201</v>
      </c>
      <c r="C4" s="880"/>
      <c r="D4" s="881"/>
      <c r="E4" s="888">
        <f>+M4</f>
        <v>0</v>
      </c>
      <c r="F4" s="889"/>
      <c r="G4" s="890"/>
      <c r="H4" s="891"/>
      <c r="I4" s="892"/>
      <c r="J4" s="893"/>
      <c r="L4" s="431" t="s">
        <v>3716</v>
      </c>
      <c r="M4" s="432">
        <f>+ROUND(SUM(N4:R4)+0.49,0)</f>
        <v>0</v>
      </c>
      <c r="N4" s="433">
        <v>0</v>
      </c>
      <c r="O4" s="434">
        <v>0</v>
      </c>
      <c r="P4" s="434">
        <v>0</v>
      </c>
      <c r="Q4" s="434">
        <v>0</v>
      </c>
      <c r="R4" s="435">
        <v>0</v>
      </c>
    </row>
    <row r="5" spans="1:18" ht="15.95" customHeight="1">
      <c r="A5" s="18">
        <v>32</v>
      </c>
      <c r="B5" s="902" t="s">
        <v>173</v>
      </c>
      <c r="C5" s="903"/>
      <c r="D5" s="904"/>
      <c r="E5" s="911"/>
      <c r="F5" s="912"/>
      <c r="G5" s="913"/>
      <c r="H5" s="891"/>
      <c r="I5" s="892"/>
      <c r="J5" s="893"/>
      <c r="L5" s="431" t="s">
        <v>3717</v>
      </c>
      <c r="M5" s="432">
        <f>+ROUND(SUM(N5:R5)+0.49,0)</f>
        <v>0</v>
      </c>
      <c r="N5" s="433">
        <v>0</v>
      </c>
      <c r="O5" s="434">
        <v>0</v>
      </c>
      <c r="P5" s="434">
        <v>0</v>
      </c>
      <c r="Q5" s="434">
        <v>0</v>
      </c>
      <c r="R5" s="435">
        <v>0</v>
      </c>
    </row>
    <row r="6" spans="1:18" ht="15.95" customHeight="1">
      <c r="A6" s="18">
        <v>33</v>
      </c>
      <c r="B6" s="877" t="s">
        <v>66</v>
      </c>
      <c r="C6" s="878"/>
      <c r="D6" s="879"/>
      <c r="E6" s="888">
        <v>0</v>
      </c>
      <c r="F6" s="889"/>
      <c r="G6" s="890"/>
      <c r="H6" s="891"/>
      <c r="I6" s="892"/>
      <c r="J6" s="893"/>
      <c r="L6" s="431" t="s">
        <v>3718</v>
      </c>
      <c r="M6" s="432">
        <f>+ROUND(SUM(N6:R6)+0.49,0)</f>
        <v>0</v>
      </c>
      <c r="N6" s="433">
        <v>0</v>
      </c>
      <c r="O6" s="434">
        <v>0</v>
      </c>
      <c r="P6" s="434">
        <v>0</v>
      </c>
      <c r="Q6" s="434">
        <v>0</v>
      </c>
      <c r="R6" s="435">
        <v>0</v>
      </c>
    </row>
    <row r="7" spans="1:18" ht="15.95" customHeight="1" thickBot="1">
      <c r="A7" s="18">
        <v>34</v>
      </c>
      <c r="B7" s="877" t="s">
        <v>3466</v>
      </c>
      <c r="C7" s="880"/>
      <c r="D7" s="881"/>
      <c r="E7" s="911">
        <f>+E4-E6</f>
        <v>0</v>
      </c>
      <c r="F7" s="912"/>
      <c r="G7" s="913"/>
      <c r="H7" s="891"/>
      <c r="I7" s="892"/>
      <c r="J7" s="893"/>
      <c r="L7" s="436" t="s">
        <v>3719</v>
      </c>
      <c r="M7" s="437">
        <f>+ROUND(SUM(N7:R7)+0.49,0)</f>
        <v>0</v>
      </c>
      <c r="N7" s="438">
        <v>0</v>
      </c>
      <c r="O7" s="439">
        <v>0</v>
      </c>
      <c r="P7" s="439">
        <v>0</v>
      </c>
      <c r="Q7" s="439">
        <v>0</v>
      </c>
      <c r="R7" s="440">
        <v>0</v>
      </c>
    </row>
    <row r="8" spans="1:10" ht="15.95" customHeight="1" thickBot="1">
      <c r="A8" s="17">
        <v>35</v>
      </c>
      <c r="B8" s="915" t="s">
        <v>3814</v>
      </c>
      <c r="C8" s="916"/>
      <c r="D8" s="917"/>
      <c r="E8" s="905">
        <v>0</v>
      </c>
      <c r="F8" s="906"/>
      <c r="G8" s="907"/>
      <c r="H8" s="908"/>
      <c r="I8" s="909"/>
      <c r="J8" s="910"/>
    </row>
    <row r="9" spans="1:10" ht="12.75" customHeight="1" thickBot="1">
      <c r="A9" s="882" t="s">
        <v>56</v>
      </c>
      <c r="B9" s="883"/>
      <c r="C9" s="883"/>
      <c r="D9" s="883"/>
      <c r="E9" s="883"/>
      <c r="F9" s="883"/>
      <c r="G9" s="884"/>
      <c r="H9" s="884"/>
      <c r="I9" s="884"/>
      <c r="J9" s="884"/>
    </row>
    <row r="10" spans="1:10" ht="15.95" customHeight="1">
      <c r="A10" s="112">
        <v>36</v>
      </c>
      <c r="B10" s="894" t="s">
        <v>57</v>
      </c>
      <c r="C10" s="895"/>
      <c r="D10" s="896"/>
      <c r="E10" s="921">
        <f>+E7</f>
        <v>0</v>
      </c>
      <c r="F10" s="922"/>
      <c r="G10" s="923"/>
      <c r="H10" s="924"/>
      <c r="I10" s="925"/>
      <c r="J10" s="926"/>
    </row>
    <row r="11" spans="1:10" ht="24" customHeight="1">
      <c r="A11" s="18">
        <v>37</v>
      </c>
      <c r="B11" s="877" t="s">
        <v>3628</v>
      </c>
      <c r="C11" s="880"/>
      <c r="D11" s="881"/>
      <c r="E11" s="885">
        <f>+'1Př1'!F23</f>
        <v>0</v>
      </c>
      <c r="F11" s="886"/>
      <c r="G11" s="887"/>
      <c r="H11" s="891"/>
      <c r="I11" s="892"/>
      <c r="J11" s="893"/>
    </row>
    <row r="12" spans="1:10" ht="15.95" customHeight="1">
      <c r="A12" s="18">
        <v>38</v>
      </c>
      <c r="B12" s="877" t="s">
        <v>233</v>
      </c>
      <c r="C12" s="878"/>
      <c r="D12" s="879"/>
      <c r="E12" s="888">
        <f>+ZAV!C32</f>
        <v>0</v>
      </c>
      <c r="F12" s="889"/>
      <c r="G12" s="890"/>
      <c r="H12" s="891"/>
      <c r="I12" s="892"/>
      <c r="J12" s="893"/>
    </row>
    <row r="13" spans="1:10" ht="24" customHeight="1">
      <c r="A13" s="18">
        <v>39</v>
      </c>
      <c r="B13" s="877" t="s">
        <v>3467</v>
      </c>
      <c r="C13" s="880"/>
      <c r="D13" s="881"/>
      <c r="E13" s="885">
        <f>+'2Př'!G16</f>
        <v>0</v>
      </c>
      <c r="F13" s="886"/>
      <c r="G13" s="887"/>
      <c r="H13" s="891"/>
      <c r="I13" s="892"/>
      <c r="J13" s="893"/>
    </row>
    <row r="14" spans="1:10" ht="24" customHeight="1">
      <c r="A14" s="18">
        <v>40</v>
      </c>
      <c r="B14" s="877" t="s">
        <v>204</v>
      </c>
      <c r="C14" s="878"/>
      <c r="D14" s="879"/>
      <c r="E14" s="885">
        <f>+'2Př'!G35</f>
        <v>0</v>
      </c>
      <c r="F14" s="886"/>
      <c r="G14" s="887"/>
      <c r="H14" s="891"/>
      <c r="I14" s="892"/>
      <c r="J14" s="893"/>
    </row>
    <row r="15" spans="1:10" ht="15.95" customHeight="1">
      <c r="A15" s="18">
        <v>41</v>
      </c>
      <c r="B15" s="877" t="s">
        <v>119</v>
      </c>
      <c r="C15" s="880"/>
      <c r="D15" s="881"/>
      <c r="E15" s="885">
        <f>SUM(E11:E14)</f>
        <v>0</v>
      </c>
      <c r="F15" s="886"/>
      <c r="G15" s="887"/>
      <c r="H15" s="891"/>
      <c r="I15" s="892"/>
      <c r="J15" s="893"/>
    </row>
    <row r="16" spans="1:10" ht="15.95" customHeight="1">
      <c r="A16" s="18">
        <v>42</v>
      </c>
      <c r="B16" s="949" t="s">
        <v>3815</v>
      </c>
      <c r="C16" s="950"/>
      <c r="D16" s="951"/>
      <c r="E16" s="911">
        <f>+E10+MAX(0,E15)</f>
        <v>0</v>
      </c>
      <c r="F16" s="912"/>
      <c r="G16" s="913"/>
      <c r="H16" s="891"/>
      <c r="I16" s="892"/>
      <c r="J16" s="893"/>
    </row>
    <row r="17" spans="1:10" ht="15.75" customHeight="1">
      <c r="A17" s="155">
        <v>43</v>
      </c>
      <c r="B17" s="902" t="s">
        <v>173</v>
      </c>
      <c r="C17" s="903"/>
      <c r="D17" s="904"/>
      <c r="E17" s="911"/>
      <c r="F17" s="912"/>
      <c r="G17" s="913"/>
      <c r="H17" s="891"/>
      <c r="I17" s="892"/>
      <c r="J17" s="893"/>
    </row>
    <row r="18" spans="1:10" ht="24" customHeight="1">
      <c r="A18" s="18">
        <v>44</v>
      </c>
      <c r="B18" s="902" t="s">
        <v>3816</v>
      </c>
      <c r="C18" s="927"/>
      <c r="D18" s="928"/>
      <c r="E18" s="888">
        <f>+'6Př'!E20</f>
        <v>0</v>
      </c>
      <c r="F18" s="889"/>
      <c r="G18" s="890"/>
      <c r="H18" s="891"/>
      <c r="I18" s="892"/>
      <c r="J18" s="893"/>
    </row>
    <row r="19" spans="1:11" ht="15.95" customHeight="1" thickBot="1">
      <c r="A19" s="17">
        <v>45</v>
      </c>
      <c r="B19" s="915" t="s">
        <v>3468</v>
      </c>
      <c r="C19" s="916"/>
      <c r="D19" s="917"/>
      <c r="E19" s="934">
        <f>IF(OR(E16&gt;300000,+E7+'1Př1'!F11+'1Př1'!A27+'2Př'!G10+'2Př'!D28&gt;800000),T("LIMIT"),+E16-E18)</f>
        <v>0</v>
      </c>
      <c r="F19" s="935"/>
      <c r="G19" s="936"/>
      <c r="H19" s="908"/>
      <c r="I19" s="909"/>
      <c r="J19" s="910"/>
      <c r="K19" s="684" t="str">
        <f>+IF(EXACT(E19,"LIMIT"),"Neomezenou verzi této šablony zakoupíte zde:"," ")</f>
        <v xml:space="preserve"> </v>
      </c>
    </row>
    <row r="20" spans="1:15" ht="15" customHeight="1" thickBot="1">
      <c r="A20" s="914" t="s">
        <v>54</v>
      </c>
      <c r="B20" s="760"/>
      <c r="C20" s="760"/>
      <c r="D20" s="760"/>
      <c r="E20" s="760"/>
      <c r="F20" s="760"/>
      <c r="G20" s="760"/>
      <c r="H20" s="760"/>
      <c r="I20" s="760"/>
      <c r="J20" s="760"/>
      <c r="K20" s="999" t="str">
        <f>+IF(EXACT(E19,"LIMIT"),"http://business.center.cz/business/sablony/s3-priznani-k-dani-z-prijmu-fyzickych-osob.aspx"," ")</f>
        <v xml:space="preserve"> </v>
      </c>
      <c r="L20" s="733"/>
      <c r="M20" s="733"/>
      <c r="N20" s="733"/>
      <c r="O20" s="733"/>
    </row>
    <row r="21" spans="1:12" ht="22.5" customHeight="1">
      <c r="A21" s="961" t="s">
        <v>94</v>
      </c>
      <c r="B21" s="962"/>
      <c r="C21" s="962"/>
      <c r="D21" s="963"/>
      <c r="E21" s="113" t="s">
        <v>232</v>
      </c>
      <c r="F21" s="918"/>
      <c r="G21" s="919"/>
      <c r="H21" s="113" t="s">
        <v>232</v>
      </c>
      <c r="I21" s="918"/>
      <c r="J21" s="920"/>
      <c r="L21" s="73" t="str">
        <f>+IF(OR(AND(AND(0&lt;F22,F22&lt;E16*0.02),AND(0&lt;F22,F22&lt;1000)),F22&gt;E16*0.3),"CHYBA"," ")</f>
        <v xml:space="preserve"> </v>
      </c>
    </row>
    <row r="22" spans="1:12" ht="15.95" customHeight="1">
      <c r="A22" s="40">
        <v>46</v>
      </c>
      <c r="B22" s="948" t="s">
        <v>67</v>
      </c>
      <c r="C22" s="948"/>
      <c r="D22" s="948"/>
      <c r="E22" s="139"/>
      <c r="F22" s="957">
        <v>0</v>
      </c>
      <c r="G22" s="890"/>
      <c r="H22" s="127"/>
      <c r="I22" s="929"/>
      <c r="J22" s="930"/>
      <c r="L22" s="73" t="str">
        <f>+IF(F23&gt;300000,"CHYBA"," ")</f>
        <v xml:space="preserve"> </v>
      </c>
    </row>
    <row r="23" spans="1:12" ht="15.95" customHeight="1">
      <c r="A23" s="40">
        <v>47</v>
      </c>
      <c r="B23" s="948" t="s">
        <v>274</v>
      </c>
      <c r="C23" s="948"/>
      <c r="D23" s="964"/>
      <c r="E23" s="87"/>
      <c r="F23" s="957">
        <v>0</v>
      </c>
      <c r="G23" s="890"/>
      <c r="H23" s="127"/>
      <c r="I23" s="929"/>
      <c r="J23" s="946"/>
      <c r="L23" s="73" t="str">
        <f>+IF(F24&gt;24000,"CHYBA"," ")</f>
        <v xml:space="preserve"> </v>
      </c>
    </row>
    <row r="24" spans="1:12" ht="24" customHeight="1">
      <c r="A24" s="40">
        <v>48</v>
      </c>
      <c r="B24" s="972" t="s">
        <v>3469</v>
      </c>
      <c r="C24" s="972"/>
      <c r="D24" s="973"/>
      <c r="E24" s="139"/>
      <c r="F24" s="957">
        <v>0</v>
      </c>
      <c r="G24" s="890"/>
      <c r="H24" s="127"/>
      <c r="I24" s="929"/>
      <c r="J24" s="946"/>
      <c r="L24" s="73" t="str">
        <f>+IF(F25&gt;24000,"CHYBA"," ")</f>
        <v xml:space="preserve"> </v>
      </c>
    </row>
    <row r="25" spans="1:12" ht="15.95" customHeight="1">
      <c r="A25" s="40">
        <v>49</v>
      </c>
      <c r="B25" s="948" t="s">
        <v>3610</v>
      </c>
      <c r="C25" s="948"/>
      <c r="D25" s="948"/>
      <c r="E25" s="139"/>
      <c r="F25" s="957">
        <v>0</v>
      </c>
      <c r="G25" s="890"/>
      <c r="H25" s="127"/>
      <c r="I25" s="929"/>
      <c r="J25" s="946"/>
      <c r="L25" s="73" t="str">
        <f>+IF(OR(F26&gt;3000,F26&gt;0.015*E4),"CHYBA"," ")</f>
        <v xml:space="preserve"> </v>
      </c>
    </row>
    <row r="26" spans="1:12" ht="15.95" customHeight="1">
      <c r="A26" s="40">
        <v>50</v>
      </c>
      <c r="B26" s="948" t="s">
        <v>53</v>
      </c>
      <c r="C26" s="948"/>
      <c r="D26" s="948"/>
      <c r="E26" s="139"/>
      <c r="F26" s="957">
        <v>0</v>
      </c>
      <c r="G26" s="890"/>
      <c r="H26" s="127"/>
      <c r="I26" s="929"/>
      <c r="J26" s="946"/>
      <c r="L26" s="73" t="str">
        <f>+IF(F27&gt;10000,"CHYBA"," ")</f>
        <v xml:space="preserve"> </v>
      </c>
    </row>
    <row r="27" spans="1:10" ht="24" customHeight="1">
      <c r="A27" s="40">
        <v>51</v>
      </c>
      <c r="B27" s="972" t="s">
        <v>3611</v>
      </c>
      <c r="C27" s="972"/>
      <c r="D27" s="972"/>
      <c r="E27" s="139"/>
      <c r="F27" s="957">
        <v>0</v>
      </c>
      <c r="G27" s="890"/>
      <c r="H27" s="127"/>
      <c r="I27" s="929"/>
      <c r="J27" s="946"/>
    </row>
    <row r="28" spans="1:10" ht="15.95" customHeight="1">
      <c r="A28" s="40">
        <v>52</v>
      </c>
      <c r="B28" s="948" t="s">
        <v>3612</v>
      </c>
      <c r="C28" s="948"/>
      <c r="D28" s="948"/>
      <c r="E28" s="139"/>
      <c r="F28" s="957">
        <v>0</v>
      </c>
      <c r="G28" s="890"/>
      <c r="H28" s="127"/>
      <c r="I28" s="929"/>
      <c r="J28" s="946"/>
    </row>
    <row r="29" spans="1:10" ht="15.95" customHeight="1" thickBot="1">
      <c r="A29" s="41">
        <v>53</v>
      </c>
      <c r="B29" s="947" t="s">
        <v>3613</v>
      </c>
      <c r="C29" s="947"/>
      <c r="D29" s="947"/>
      <c r="E29" s="139"/>
      <c r="F29" s="965">
        <v>0</v>
      </c>
      <c r="G29" s="907"/>
      <c r="H29" s="587"/>
      <c r="I29" s="929"/>
      <c r="J29" s="946"/>
    </row>
    <row r="30" spans="1:10" ht="6" customHeight="1" thickBot="1">
      <c r="A30" s="985"/>
      <c r="B30" s="986"/>
      <c r="C30" s="986"/>
      <c r="D30" s="986"/>
      <c r="E30" s="986"/>
      <c r="F30" s="986"/>
      <c r="G30" s="986"/>
      <c r="H30" s="986"/>
      <c r="I30" s="986"/>
      <c r="J30" s="986"/>
    </row>
    <row r="31" spans="1:10 59:61" ht="24" customHeight="1">
      <c r="A31" s="114">
        <v>54</v>
      </c>
      <c r="B31" s="942" t="s">
        <v>3817</v>
      </c>
      <c r="C31" s="942"/>
      <c r="D31" s="942"/>
      <c r="E31" s="943"/>
      <c r="F31" s="952">
        <f>+SUM('DAP2'!F22:G29)</f>
        <v>0</v>
      </c>
      <c r="G31" s="919"/>
      <c r="H31" s="931"/>
      <c r="I31" s="932"/>
      <c r="J31" s="933"/>
      <c r="BG31" s="73"/>
      <c r="BH31" s="73"/>
      <c r="BI31" s="73"/>
    </row>
    <row r="32" spans="1:10 59:61" ht="24" customHeight="1">
      <c r="A32" s="42">
        <v>55</v>
      </c>
      <c r="B32" s="972" t="s">
        <v>3470</v>
      </c>
      <c r="C32" s="880"/>
      <c r="D32" s="880"/>
      <c r="E32" s="881"/>
      <c r="F32" s="953">
        <f>MAX(+'DAP2'!E19-'DAP2'!F31,0)</f>
        <v>0</v>
      </c>
      <c r="G32" s="954"/>
      <c r="H32" s="929"/>
      <c r="I32" s="861"/>
      <c r="J32" s="956"/>
      <c r="BG32" s="73"/>
      <c r="BH32" s="73"/>
      <c r="BI32" s="73"/>
    </row>
    <row r="33" spans="1:10 59:61" ht="15" customHeight="1">
      <c r="A33" s="40">
        <v>56</v>
      </c>
      <c r="B33" s="948" t="s">
        <v>3585</v>
      </c>
      <c r="C33" s="948"/>
      <c r="D33" s="948"/>
      <c r="E33" s="964"/>
      <c r="F33" s="953">
        <f>+FLOOR(F32,100)</f>
        <v>0</v>
      </c>
      <c r="G33" s="955"/>
      <c r="H33" s="929"/>
      <c r="I33" s="861"/>
      <c r="J33" s="956"/>
      <c r="BG33" s="73"/>
      <c r="BH33" s="73"/>
      <c r="BI33" s="73"/>
    </row>
    <row r="34" spans="1:10 59:61" ht="15" customHeight="1" thickBot="1">
      <c r="A34" s="41">
        <v>57</v>
      </c>
      <c r="B34" s="968" t="s">
        <v>120</v>
      </c>
      <c r="C34" s="968"/>
      <c r="D34" s="968"/>
      <c r="E34" s="969"/>
      <c r="F34" s="970">
        <f>+F33*0.15+MAX(F33-1867728,0)*0.08</f>
        <v>0</v>
      </c>
      <c r="G34" s="971"/>
      <c r="H34" s="937"/>
      <c r="I34" s="785"/>
      <c r="J34" s="938"/>
      <c r="BG34" s="73"/>
      <c r="BH34" s="73"/>
      <c r="BI34" s="73"/>
    </row>
    <row r="35" spans="1:10" ht="15" customHeight="1" thickBot="1">
      <c r="A35" s="939" t="s">
        <v>302</v>
      </c>
      <c r="B35" s="940"/>
      <c r="C35" s="940"/>
      <c r="D35" s="940"/>
      <c r="E35" s="941"/>
      <c r="F35" s="941"/>
      <c r="G35" s="780"/>
      <c r="H35" s="780"/>
      <c r="I35" s="780"/>
      <c r="J35" s="780"/>
    </row>
    <row r="36" spans="1:10 59:61" ht="24" customHeight="1">
      <c r="A36" s="114">
        <v>58</v>
      </c>
      <c r="B36" s="942" t="s">
        <v>3471</v>
      </c>
      <c r="C36" s="942"/>
      <c r="D36" s="942"/>
      <c r="E36" s="943"/>
      <c r="F36" s="944">
        <f>+IF(OR(+'3Př'!F27+'3Př'!F30&gt;0),'3Př'!F30,F34)</f>
        <v>0</v>
      </c>
      <c r="G36" s="945"/>
      <c r="H36" s="931"/>
      <c r="I36" s="932"/>
      <c r="J36" s="933"/>
      <c r="BG36" s="73"/>
      <c r="BH36" s="73"/>
      <c r="BI36" s="73"/>
    </row>
    <row r="37" spans="1:10 59:61" ht="15.95" customHeight="1">
      <c r="A37" s="40">
        <v>59</v>
      </c>
      <c r="B37" s="966" t="s">
        <v>173</v>
      </c>
      <c r="C37" s="966"/>
      <c r="D37" s="966"/>
      <c r="E37" s="967"/>
      <c r="F37" s="958">
        <f>+MAX(0,(E4+E11-1672080-FLOOR(E8/1.34,1))*0.07)</f>
        <v>0</v>
      </c>
      <c r="G37" s="959"/>
      <c r="H37" s="929"/>
      <c r="I37" s="861"/>
      <c r="J37" s="956"/>
      <c r="BG37" s="73"/>
      <c r="BH37" s="73"/>
      <c r="BI37" s="73"/>
    </row>
    <row r="38" spans="1:10 59:61" ht="15" customHeight="1">
      <c r="A38" s="40">
        <v>60</v>
      </c>
      <c r="B38" s="966" t="s">
        <v>3818</v>
      </c>
      <c r="C38" s="966"/>
      <c r="D38" s="966"/>
      <c r="E38" s="967"/>
      <c r="F38" s="974">
        <f>+IF(F34=F36,CEILING(F36,1),CEILING(F36,1))</f>
        <v>0</v>
      </c>
      <c r="G38" s="975"/>
      <c r="H38" s="929"/>
      <c r="I38" s="861"/>
      <c r="J38" s="956"/>
      <c r="BG38" s="73"/>
      <c r="BH38" s="73"/>
      <c r="BI38" s="73"/>
    </row>
    <row r="39" spans="1:10 59:61" ht="24" customHeight="1" thickBot="1">
      <c r="A39" s="588">
        <v>61</v>
      </c>
      <c r="B39" s="994" t="s">
        <v>58</v>
      </c>
      <c r="C39" s="994"/>
      <c r="D39" s="994"/>
      <c r="E39" s="995"/>
      <c r="F39" s="970">
        <f>IF('DAP2'!E15&lt;0,-'DAP2'!E15,0)</f>
        <v>0</v>
      </c>
      <c r="G39" s="993"/>
      <c r="H39" s="937"/>
      <c r="I39" s="785"/>
      <c r="J39" s="938"/>
      <c r="BG39" s="73"/>
      <c r="BH39" s="73"/>
      <c r="BI39" s="73"/>
    </row>
    <row r="40" spans="1:10" ht="15" customHeight="1" thickBot="1">
      <c r="A40" s="990" t="s">
        <v>321</v>
      </c>
      <c r="B40" s="991"/>
      <c r="C40" s="991"/>
      <c r="D40" s="991"/>
      <c r="E40" s="991"/>
      <c r="F40" s="991"/>
      <c r="G40" s="780"/>
      <c r="H40" s="780"/>
      <c r="I40" s="780"/>
      <c r="J40" s="780"/>
    </row>
    <row r="41" spans="1:10" ht="15.95" customHeight="1">
      <c r="A41" s="114">
        <v>62</v>
      </c>
      <c r="B41" s="942" t="s">
        <v>205</v>
      </c>
      <c r="C41" s="942"/>
      <c r="D41" s="942"/>
      <c r="E41" s="943"/>
      <c r="F41" s="992">
        <v>0</v>
      </c>
      <c r="G41" s="919"/>
      <c r="H41" s="931"/>
      <c r="I41" s="932"/>
      <c r="J41" s="933"/>
    </row>
    <row r="42" spans="1:10" ht="15.95" customHeight="1">
      <c r="A42" s="40" t="s">
        <v>3931</v>
      </c>
      <c r="B42" s="966" t="s">
        <v>3932</v>
      </c>
      <c r="C42" s="966"/>
      <c r="D42" s="966"/>
      <c r="E42" s="967"/>
      <c r="F42" s="996">
        <v>0</v>
      </c>
      <c r="G42" s="975"/>
      <c r="H42" s="997"/>
      <c r="I42" s="950"/>
      <c r="J42" s="998"/>
    </row>
    <row r="43" spans="1:10" ht="15.95" customHeight="1" thickBot="1">
      <c r="A43" s="40">
        <v>63</v>
      </c>
      <c r="B43" s="972" t="s">
        <v>209</v>
      </c>
      <c r="C43" s="972"/>
      <c r="D43" s="972"/>
      <c r="E43" s="973"/>
      <c r="F43" s="957">
        <v>0</v>
      </c>
      <c r="G43" s="954"/>
      <c r="H43" s="929"/>
      <c r="I43" s="861"/>
      <c r="J43" s="956"/>
    </row>
    <row r="44" spans="1:10" ht="24" customHeight="1" thickBot="1">
      <c r="A44" s="976" t="s">
        <v>3472</v>
      </c>
      <c r="B44" s="977"/>
      <c r="C44" s="977"/>
      <c r="D44" s="977"/>
      <c r="E44" s="977"/>
      <c r="F44" s="977"/>
      <c r="G44" s="977"/>
      <c r="H44" s="977"/>
      <c r="I44" s="977"/>
      <c r="J44" s="977"/>
    </row>
    <row r="45" spans="1:10" ht="24" customHeight="1" thickBot="1">
      <c r="A45" s="978" t="s">
        <v>32</v>
      </c>
      <c r="B45" s="979"/>
      <c r="C45" s="980"/>
      <c r="D45" s="981"/>
      <c r="E45" s="982"/>
      <c r="F45" s="983" t="s">
        <v>148</v>
      </c>
      <c r="G45" s="984"/>
      <c r="H45" s="987"/>
      <c r="I45" s="988"/>
      <c r="J45" s="989"/>
    </row>
    <row r="46" spans="1:10" ht="12" customHeight="1">
      <c r="A46" s="960">
        <v>2</v>
      </c>
      <c r="B46" s="960"/>
      <c r="C46" s="960"/>
      <c r="D46" s="960"/>
      <c r="E46" s="960"/>
      <c r="F46" s="960"/>
      <c r="G46" s="960"/>
      <c r="H46" s="960"/>
      <c r="I46" s="960"/>
      <c r="J46" s="960"/>
    </row>
    <row r="47" spans="1:10" ht="12.75">
      <c r="A47" s="73"/>
      <c r="B47" s="73"/>
      <c r="C47" s="73"/>
      <c r="D47" s="73"/>
      <c r="E47" s="73"/>
      <c r="F47" s="73"/>
      <c r="G47" s="73"/>
      <c r="H47" s="73"/>
      <c r="I47" s="73"/>
      <c r="J47" s="73"/>
    </row>
    <row r="48" spans="1:10" ht="12.7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ht="12.75">
      <c r="A49" s="73"/>
      <c r="B49" s="73"/>
      <c r="C49" s="73"/>
      <c r="D49" s="73"/>
      <c r="E49" s="73"/>
      <c r="F49" s="73"/>
      <c r="G49" s="73"/>
      <c r="H49" s="73"/>
      <c r="I49" s="73"/>
      <c r="J49" s="73"/>
    </row>
    <row r="50" spans="1:10" ht="12.75">
      <c r="A50" s="73"/>
      <c r="B50" s="73"/>
      <c r="C50" s="73"/>
      <c r="D50" s="73"/>
      <c r="E50" s="73"/>
      <c r="F50" s="73"/>
      <c r="G50" s="73"/>
      <c r="H50" s="73"/>
      <c r="I50" s="73"/>
      <c r="J50" s="73"/>
    </row>
    <row r="51" spans="1:10" ht="12.75">
      <c r="A51" s="73"/>
      <c r="B51" s="73"/>
      <c r="C51" s="73"/>
      <c r="D51" s="73"/>
      <c r="E51" s="73"/>
      <c r="F51" s="73"/>
      <c r="G51" s="73"/>
      <c r="H51" s="73"/>
      <c r="I51" s="73"/>
      <c r="J51" s="73"/>
    </row>
    <row r="52" spans="1:10" ht="12.75">
      <c r="A52" s="73"/>
      <c r="B52" s="73"/>
      <c r="C52" s="73"/>
      <c r="D52" s="73"/>
      <c r="E52" s="73"/>
      <c r="F52" s="73"/>
      <c r="G52" s="73"/>
      <c r="H52" s="73"/>
      <c r="I52" s="73"/>
      <c r="J52" s="73"/>
    </row>
    <row r="53" spans="1:10" ht="12.75">
      <c r="A53" s="73"/>
      <c r="B53" s="73"/>
      <c r="C53" s="73"/>
      <c r="D53" s="73"/>
      <c r="E53" s="73"/>
      <c r="F53" s="73"/>
      <c r="G53" s="73"/>
      <c r="H53" s="73"/>
      <c r="I53" s="73"/>
      <c r="J53" s="73"/>
    </row>
    <row r="54" spans="1:10" ht="12.75">
      <c r="A54" s="73"/>
      <c r="B54" s="73"/>
      <c r="C54" s="73"/>
      <c r="D54" s="73"/>
      <c r="E54" s="73"/>
      <c r="F54" s="73"/>
      <c r="G54" s="73"/>
      <c r="H54" s="73"/>
      <c r="I54" s="73"/>
      <c r="J54" s="73"/>
    </row>
    <row r="55" spans="1:10" ht="12.75">
      <c r="A55" s="73"/>
      <c r="B55" s="73"/>
      <c r="C55" s="73"/>
      <c r="D55" s="73"/>
      <c r="E55" s="73"/>
      <c r="F55" s="73"/>
      <c r="G55" s="73"/>
      <c r="H55" s="73"/>
      <c r="I55" s="73"/>
      <c r="J55" s="73"/>
    </row>
    <row r="56" spans="1:10" ht="12.75">
      <c r="A56" s="73"/>
      <c r="B56" s="73"/>
      <c r="C56" s="73"/>
      <c r="D56" s="73"/>
      <c r="E56" s="73"/>
      <c r="F56" s="73"/>
      <c r="G56" s="73"/>
      <c r="H56" s="73"/>
      <c r="I56" s="73"/>
      <c r="J56" s="73"/>
    </row>
    <row r="57" spans="1:10" ht="12.75">
      <c r="A57" s="73"/>
      <c r="B57" s="73"/>
      <c r="C57" s="73"/>
      <c r="D57" s="73"/>
      <c r="E57" s="73"/>
      <c r="F57" s="73"/>
      <c r="G57" s="73"/>
      <c r="H57" s="73"/>
      <c r="I57" s="73"/>
      <c r="J57" s="73"/>
    </row>
    <row r="58" spans="1:10" ht="12.75">
      <c r="A58" s="73"/>
      <c r="B58" s="73"/>
      <c r="C58" s="73"/>
      <c r="D58" s="73"/>
      <c r="E58" s="73"/>
      <c r="F58" s="73"/>
      <c r="G58" s="73"/>
      <c r="H58" s="73"/>
      <c r="I58" s="73"/>
      <c r="J58" s="73"/>
    </row>
    <row r="59" spans="1:10" ht="12.75">
      <c r="A59" s="73"/>
      <c r="B59" s="73"/>
      <c r="C59" s="73"/>
      <c r="D59" s="73"/>
      <c r="E59" s="73"/>
      <c r="F59" s="73"/>
      <c r="G59" s="73"/>
      <c r="H59" s="73"/>
      <c r="I59" s="73"/>
      <c r="J59" s="73"/>
    </row>
    <row r="60" spans="1:10" ht="12.75">
      <c r="A60" s="73"/>
      <c r="B60" s="73"/>
      <c r="C60" s="73"/>
      <c r="D60" s="73"/>
      <c r="E60" s="73"/>
      <c r="F60" s="73"/>
      <c r="G60" s="73"/>
      <c r="H60" s="73"/>
      <c r="I60" s="73"/>
      <c r="J60" s="73"/>
    </row>
    <row r="61" spans="1:10" ht="12.75">
      <c r="A61" s="73"/>
      <c r="B61" s="73"/>
      <c r="C61" s="73"/>
      <c r="D61" s="73"/>
      <c r="E61" s="73"/>
      <c r="F61" s="73"/>
      <c r="G61" s="73"/>
      <c r="H61" s="73"/>
      <c r="I61" s="73"/>
      <c r="J61" s="73"/>
    </row>
    <row r="62" spans="1:10" ht="12.75">
      <c r="A62" s="73"/>
      <c r="B62" s="73"/>
      <c r="C62" s="73"/>
      <c r="D62" s="73"/>
      <c r="E62" s="73"/>
      <c r="F62" s="73"/>
      <c r="G62" s="73"/>
      <c r="H62" s="73"/>
      <c r="I62" s="73"/>
      <c r="J62" s="73"/>
    </row>
    <row r="63" spans="1:10" ht="12.75">
      <c r="A63" s="73"/>
      <c r="B63" s="73"/>
      <c r="C63" s="73"/>
      <c r="D63" s="73"/>
      <c r="E63" s="73"/>
      <c r="F63" s="73"/>
      <c r="G63" s="73"/>
      <c r="H63" s="73"/>
      <c r="I63" s="73"/>
      <c r="J63" s="73"/>
    </row>
    <row r="64" spans="1:10" ht="12.75">
      <c r="A64" s="7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2.75">
      <c r="A65" s="73"/>
      <c r="B65" s="73"/>
      <c r="C65" s="73"/>
      <c r="D65" s="73"/>
      <c r="E65" s="73"/>
      <c r="F65" s="73"/>
      <c r="G65" s="73"/>
      <c r="H65" s="73"/>
      <c r="I65" s="73"/>
      <c r="J65" s="73"/>
    </row>
    <row r="66" spans="1:10" ht="12.75">
      <c r="A66" s="73"/>
      <c r="B66" s="73"/>
      <c r="C66" s="73"/>
      <c r="D66" s="73"/>
      <c r="E66" s="73"/>
      <c r="F66" s="73"/>
      <c r="G66" s="73"/>
      <c r="H66" s="73"/>
      <c r="I66" s="73"/>
      <c r="J66" s="73"/>
    </row>
    <row r="67" spans="1:10" ht="12.75">
      <c r="A67" s="73"/>
      <c r="B67" s="73"/>
      <c r="C67" s="73"/>
      <c r="D67" s="73"/>
      <c r="E67" s="73"/>
      <c r="F67" s="73"/>
      <c r="G67" s="73"/>
      <c r="H67" s="73"/>
      <c r="I67" s="73"/>
      <c r="J67" s="73"/>
    </row>
    <row r="68" spans="1:10" ht="12.75">
      <c r="A68" s="73"/>
      <c r="B68" s="73"/>
      <c r="C68" s="73"/>
      <c r="D68" s="73"/>
      <c r="E68" s="73"/>
      <c r="F68" s="73"/>
      <c r="G68" s="73"/>
      <c r="H68" s="73"/>
      <c r="I68" s="73"/>
      <c r="J68" s="73"/>
    </row>
    <row r="69" spans="1:10" ht="12.75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12.75">
      <c r="A70" s="73"/>
      <c r="B70" s="73"/>
      <c r="C70" s="73"/>
      <c r="D70" s="73"/>
      <c r="E70" s="73"/>
      <c r="F70" s="73"/>
      <c r="G70" s="73"/>
      <c r="H70" s="73"/>
      <c r="I70" s="73"/>
      <c r="J70" s="73"/>
    </row>
    <row r="71" spans="1:10" ht="12.75">
      <c r="A71" s="73"/>
      <c r="B71" s="73"/>
      <c r="C71" s="73"/>
      <c r="D71" s="73"/>
      <c r="E71" s="73"/>
      <c r="F71" s="73"/>
      <c r="G71" s="73"/>
      <c r="H71" s="73"/>
      <c r="I71" s="73"/>
      <c r="J71" s="73"/>
    </row>
    <row r="72" spans="1:10" ht="12.75">
      <c r="A72" s="73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2.75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ht="12.75">
      <c r="A74" s="73"/>
      <c r="B74" s="73"/>
      <c r="C74" s="73"/>
      <c r="D74" s="73"/>
      <c r="E74" s="73"/>
      <c r="F74" s="73"/>
      <c r="G74" s="73"/>
      <c r="H74" s="73"/>
      <c r="I74" s="73"/>
      <c r="J74" s="73"/>
    </row>
    <row r="75" spans="1:10" ht="12.75">
      <c r="A75" s="73"/>
      <c r="B75" s="73"/>
      <c r="C75" s="73"/>
      <c r="D75" s="73"/>
      <c r="E75" s="73"/>
      <c r="F75" s="73"/>
      <c r="G75" s="73"/>
      <c r="H75" s="73"/>
      <c r="I75" s="73"/>
      <c r="J75" s="73"/>
    </row>
    <row r="76" spans="1:10" ht="12.75">
      <c r="A76" s="73"/>
      <c r="B76" s="73"/>
      <c r="C76" s="73"/>
      <c r="D76" s="73"/>
      <c r="E76" s="73"/>
      <c r="F76" s="73"/>
      <c r="G76" s="73"/>
      <c r="H76" s="73"/>
      <c r="I76" s="73"/>
      <c r="J76" s="73"/>
    </row>
    <row r="77" spans="1:10" ht="12.75">
      <c r="A77" s="73"/>
      <c r="B77" s="73"/>
      <c r="C77" s="73"/>
      <c r="D77" s="73"/>
      <c r="E77" s="73"/>
      <c r="F77" s="73"/>
      <c r="G77" s="73"/>
      <c r="H77" s="73"/>
      <c r="I77" s="73"/>
      <c r="J77" s="73"/>
    </row>
    <row r="78" spans="1:10" ht="12.7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ht="12.75">
      <c r="A79" s="73"/>
      <c r="B79" s="73"/>
      <c r="C79" s="73"/>
      <c r="D79" s="73"/>
      <c r="E79" s="73"/>
      <c r="F79" s="73"/>
      <c r="G79" s="73"/>
      <c r="H79" s="73"/>
      <c r="I79" s="73"/>
      <c r="J79" s="73"/>
    </row>
    <row r="80" spans="1:10" ht="12.75">
      <c r="A80" s="73"/>
      <c r="B80" s="73"/>
      <c r="C80" s="73"/>
      <c r="D80" s="73"/>
      <c r="E80" s="73"/>
      <c r="F80" s="73"/>
      <c r="G80" s="73"/>
      <c r="H80" s="73"/>
      <c r="I80" s="73"/>
      <c r="J80" s="73"/>
    </row>
    <row r="81" spans="1:10" ht="12.75">
      <c r="A81" s="73"/>
      <c r="B81" s="73"/>
      <c r="C81" s="73"/>
      <c r="D81" s="73"/>
      <c r="E81" s="73"/>
      <c r="F81" s="73"/>
      <c r="G81" s="73"/>
      <c r="H81" s="73"/>
      <c r="I81" s="73"/>
      <c r="J81" s="73"/>
    </row>
    <row r="82" spans="1:10" ht="12.75">
      <c r="A82" s="73"/>
      <c r="B82" s="73"/>
      <c r="C82" s="73"/>
      <c r="D82" s="73"/>
      <c r="E82" s="73"/>
      <c r="F82" s="73"/>
      <c r="G82" s="73"/>
      <c r="H82" s="73"/>
      <c r="I82" s="73"/>
      <c r="J82" s="73"/>
    </row>
    <row r="83" spans="1:10" ht="12.75">
      <c r="A83" s="73"/>
      <c r="B83" s="73"/>
      <c r="C83" s="73"/>
      <c r="D83" s="73"/>
      <c r="E83" s="73"/>
      <c r="F83" s="73"/>
      <c r="G83" s="73"/>
      <c r="H83" s="73"/>
      <c r="I83" s="73"/>
      <c r="J83" s="73"/>
    </row>
    <row r="84" spans="1:10" ht="12.75">
      <c r="A84" s="73"/>
      <c r="B84" s="73"/>
      <c r="C84" s="73"/>
      <c r="D84" s="73"/>
      <c r="E84" s="73"/>
      <c r="F84" s="73"/>
      <c r="G84" s="73"/>
      <c r="H84" s="73"/>
      <c r="I84" s="73"/>
      <c r="J84" s="73"/>
    </row>
    <row r="85" spans="1:10" ht="12.75">
      <c r="A85" s="73"/>
      <c r="B85" s="73"/>
      <c r="C85" s="73"/>
      <c r="D85" s="73"/>
      <c r="E85" s="73"/>
      <c r="F85" s="73"/>
      <c r="G85" s="73"/>
      <c r="H85" s="73"/>
      <c r="I85" s="73"/>
      <c r="J85" s="73"/>
    </row>
    <row r="86" spans="1:10" ht="12.75">
      <c r="A86" s="73"/>
      <c r="B86" s="73"/>
      <c r="C86" s="73"/>
      <c r="D86" s="73"/>
      <c r="E86" s="73"/>
      <c r="F86" s="73"/>
      <c r="G86" s="73"/>
      <c r="H86" s="73"/>
      <c r="I86" s="73"/>
      <c r="J86" s="73"/>
    </row>
    <row r="87" spans="1:10" ht="12.75">
      <c r="A87" s="73"/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12.75">
      <c r="A88" s="73"/>
      <c r="B88" s="73"/>
      <c r="C88" s="73"/>
      <c r="D88" s="73"/>
      <c r="E88" s="73"/>
      <c r="F88" s="73"/>
      <c r="G88" s="73"/>
      <c r="H88" s="73"/>
      <c r="I88" s="73"/>
      <c r="J88" s="73"/>
    </row>
    <row r="89" spans="1:10" ht="12.75">
      <c r="A89" s="73"/>
      <c r="B89" s="73"/>
      <c r="C89" s="73"/>
      <c r="D89" s="73"/>
      <c r="E89" s="73"/>
      <c r="F89" s="73"/>
      <c r="G89" s="73"/>
      <c r="H89" s="73"/>
      <c r="I89" s="73"/>
      <c r="J89" s="73"/>
    </row>
    <row r="90" spans="1:10" ht="12.75">
      <c r="A90" s="73"/>
      <c r="B90" s="73"/>
      <c r="C90" s="73"/>
      <c r="D90" s="73"/>
      <c r="E90" s="73"/>
      <c r="F90" s="73"/>
      <c r="G90" s="73"/>
      <c r="H90" s="73"/>
      <c r="I90" s="73"/>
      <c r="J90" s="73"/>
    </row>
    <row r="91" spans="1:10" ht="12.75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 ht="12.75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 ht="12.75">
      <c r="A93" s="73"/>
      <c r="B93" s="73"/>
      <c r="C93" s="73"/>
      <c r="D93" s="73"/>
      <c r="E93" s="73"/>
      <c r="F93" s="73"/>
      <c r="G93" s="73"/>
      <c r="H93" s="73"/>
      <c r="I93" s="73"/>
      <c r="J93" s="73"/>
    </row>
    <row r="94" spans="1:10" ht="12.75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2.75">
      <c r="A95" s="73"/>
      <c r="B95" s="73"/>
      <c r="C95" s="73"/>
      <c r="D95" s="73"/>
      <c r="E95" s="73"/>
      <c r="F95" s="73"/>
      <c r="G95" s="73"/>
      <c r="H95" s="73"/>
      <c r="I95" s="73"/>
      <c r="J95" s="73"/>
    </row>
    <row r="96" spans="1:10" ht="12.75">
      <c r="A96" s="73"/>
      <c r="B96" s="73"/>
      <c r="C96" s="73"/>
      <c r="D96" s="73"/>
      <c r="E96" s="73"/>
      <c r="F96" s="73"/>
      <c r="G96" s="73"/>
      <c r="H96" s="73"/>
      <c r="I96" s="73"/>
      <c r="J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</sheetData>
  <sheetProtection algorithmName="SHA-512" hashValue="HFSPVWRc3xyqYB6JHWrBVG3kcVGi7zS0B0COPwI5QuNlvPhWKfW18K3qI756UFvd+pSneUdrdwx8AztHL6pB4g==" saltValue="odD8NsGUteEADYwbBqDbUQ==" spinCount="100000" sheet="1" objects="1" scenarios="1"/>
  <mergeCells count="122">
    <mergeCell ref="K20:O20"/>
    <mergeCell ref="H33:J33"/>
    <mergeCell ref="I26:J26"/>
    <mergeCell ref="B24:D24"/>
    <mergeCell ref="B25:D25"/>
    <mergeCell ref="B26:D26"/>
    <mergeCell ref="F28:G28"/>
    <mergeCell ref="B27:D27"/>
    <mergeCell ref="H18:J18"/>
    <mergeCell ref="B31:E31"/>
    <mergeCell ref="B32:E32"/>
    <mergeCell ref="B33:E33"/>
    <mergeCell ref="H45:J45"/>
    <mergeCell ref="H43:J43"/>
    <mergeCell ref="A40:J40"/>
    <mergeCell ref="B41:E41"/>
    <mergeCell ref="F41:G41"/>
    <mergeCell ref="H41:J41"/>
    <mergeCell ref="F39:G39"/>
    <mergeCell ref="H38:J38"/>
    <mergeCell ref="H39:J39"/>
    <mergeCell ref="B38:E38"/>
    <mergeCell ref="B39:E39"/>
    <mergeCell ref="B42:E42"/>
    <mergeCell ref="F42:G42"/>
    <mergeCell ref="H42:J42"/>
    <mergeCell ref="H37:J37"/>
    <mergeCell ref="F37:G37"/>
    <mergeCell ref="B22:D22"/>
    <mergeCell ref="A46:J46"/>
    <mergeCell ref="A21:D21"/>
    <mergeCell ref="B23:D23"/>
    <mergeCell ref="F23:G23"/>
    <mergeCell ref="F24:G24"/>
    <mergeCell ref="F25:G25"/>
    <mergeCell ref="F29:G29"/>
    <mergeCell ref="B37:E37"/>
    <mergeCell ref="B34:E34"/>
    <mergeCell ref="F34:G34"/>
    <mergeCell ref="B43:E43"/>
    <mergeCell ref="F43:G43"/>
    <mergeCell ref="H36:J36"/>
    <mergeCell ref="F38:G38"/>
    <mergeCell ref="A44:J44"/>
    <mergeCell ref="A45:B45"/>
    <mergeCell ref="C45:E45"/>
    <mergeCell ref="F45:G45"/>
    <mergeCell ref="F26:G26"/>
    <mergeCell ref="F27:G27"/>
    <mergeCell ref="A30:J30"/>
    <mergeCell ref="E16:G16"/>
    <mergeCell ref="B18:D18"/>
    <mergeCell ref="H16:J16"/>
    <mergeCell ref="I22:J22"/>
    <mergeCell ref="H31:J31"/>
    <mergeCell ref="E19:G19"/>
    <mergeCell ref="H34:J34"/>
    <mergeCell ref="A35:J35"/>
    <mergeCell ref="B36:E36"/>
    <mergeCell ref="F36:G36"/>
    <mergeCell ref="I27:J27"/>
    <mergeCell ref="I28:J28"/>
    <mergeCell ref="I29:J29"/>
    <mergeCell ref="I24:J24"/>
    <mergeCell ref="I25:J25"/>
    <mergeCell ref="B29:D29"/>
    <mergeCell ref="B28:D28"/>
    <mergeCell ref="B16:D16"/>
    <mergeCell ref="F31:G31"/>
    <mergeCell ref="F32:G32"/>
    <mergeCell ref="F33:G33"/>
    <mergeCell ref="H32:J32"/>
    <mergeCell ref="I23:J23"/>
    <mergeCell ref="F22:G22"/>
    <mergeCell ref="E12:G12"/>
    <mergeCell ref="E15:G15"/>
    <mergeCell ref="E10:G10"/>
    <mergeCell ref="B8:D8"/>
    <mergeCell ref="E6:G6"/>
    <mergeCell ref="H6:J6"/>
    <mergeCell ref="B7:D7"/>
    <mergeCell ref="E7:G7"/>
    <mergeCell ref="H7:J7"/>
    <mergeCell ref="H11:J11"/>
    <mergeCell ref="H10:J10"/>
    <mergeCell ref="A9:J9"/>
    <mergeCell ref="H13:J13"/>
    <mergeCell ref="E11:G11"/>
    <mergeCell ref="B12:D12"/>
    <mergeCell ref="H17:J17"/>
    <mergeCell ref="E17:G17"/>
    <mergeCell ref="A20:J20"/>
    <mergeCell ref="E18:G18"/>
    <mergeCell ref="B19:D19"/>
    <mergeCell ref="B17:D17"/>
    <mergeCell ref="F21:G21"/>
    <mergeCell ref="I21:J21"/>
    <mergeCell ref="H19:J19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H12:J12"/>
    <mergeCell ref="B5:D5"/>
    <mergeCell ref="E8:G8"/>
    <mergeCell ref="H8:J8"/>
    <mergeCell ref="E5:G5"/>
    <mergeCell ref="H5:J5"/>
    <mergeCell ref="B6:D6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4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1">
      <selection pane="topLeft" activeCell="E4" sqref="E4:G4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3"/>
  </cols>
  <sheetData>
    <row r="1" spans="1:11 67:73" ht="24" customHeight="1">
      <c r="A1" s="961" t="s">
        <v>33</v>
      </c>
      <c r="B1" s="962"/>
      <c r="C1" s="963"/>
      <c r="D1" s="113" t="s">
        <v>232</v>
      </c>
      <c r="E1" s="918"/>
      <c r="F1" s="1047"/>
      <c r="G1" s="919"/>
      <c r="H1" s="113" t="s">
        <v>232</v>
      </c>
      <c r="I1" s="918"/>
      <c r="J1" s="1038"/>
      <c r="K1" s="920"/>
      <c r="BO1"/>
      <c r="BP1"/>
      <c r="BQ1"/>
      <c r="BR1"/>
      <c r="BS1"/>
      <c r="BT1"/>
      <c r="BU1"/>
    </row>
    <row r="2" spans="1:11 67:73" ht="18" customHeight="1">
      <c r="A2" s="40">
        <v>64</v>
      </c>
      <c r="B2" s="948" t="s">
        <v>70</v>
      </c>
      <c r="C2" s="964"/>
      <c r="D2" s="121"/>
      <c r="E2" s="996">
        <v>30840</v>
      </c>
      <c r="F2" s="1048"/>
      <c r="G2" s="975"/>
      <c r="H2" s="126"/>
      <c r="I2" s="929"/>
      <c r="J2" s="1028"/>
      <c r="K2" s="1029"/>
      <c r="BO2"/>
      <c r="BP2"/>
      <c r="BQ2"/>
      <c r="BR2"/>
      <c r="BS2"/>
      <c r="BT2"/>
      <c r="BU2"/>
    </row>
    <row r="3" spans="1:12 67:73" ht="18" customHeight="1">
      <c r="A3" s="40" t="s">
        <v>322</v>
      </c>
      <c r="B3" s="948" t="s">
        <v>71</v>
      </c>
      <c r="C3" s="964"/>
      <c r="D3" s="87">
        <v>0</v>
      </c>
      <c r="E3" s="996">
        <f>+D3*2070</f>
        <v>0</v>
      </c>
      <c r="F3" s="1039"/>
      <c r="G3" s="1040"/>
      <c r="H3" s="126"/>
      <c r="I3" s="929"/>
      <c r="J3" s="1028"/>
      <c r="K3" s="1029"/>
      <c r="L3" s="137"/>
      <c r="BO3"/>
      <c r="BP3"/>
      <c r="BQ3"/>
      <c r="BR3"/>
      <c r="BS3"/>
      <c r="BT3"/>
      <c r="BU3"/>
    </row>
    <row r="4" spans="1:12 67:73" ht="24" customHeight="1">
      <c r="A4" s="40" t="s">
        <v>323</v>
      </c>
      <c r="B4" s="972" t="s">
        <v>72</v>
      </c>
      <c r="C4" s="973"/>
      <c r="D4" s="87">
        <v>0</v>
      </c>
      <c r="E4" s="996">
        <f>+D4*4140</f>
        <v>0</v>
      </c>
      <c r="F4" s="1039"/>
      <c r="G4" s="1040"/>
      <c r="H4" s="126"/>
      <c r="I4" s="929"/>
      <c r="J4" s="1028"/>
      <c r="K4" s="1029"/>
      <c r="L4" s="137"/>
      <c r="BO4"/>
      <c r="BP4"/>
      <c r="BQ4"/>
      <c r="BR4"/>
      <c r="BS4"/>
      <c r="BT4"/>
      <c r="BU4"/>
    </row>
    <row r="5" spans="1:11 67:73" ht="24" customHeight="1">
      <c r="A5" s="40">
        <v>66</v>
      </c>
      <c r="B5" s="972" t="s">
        <v>3473</v>
      </c>
      <c r="C5" s="973"/>
      <c r="D5" s="87">
        <v>0</v>
      </c>
      <c r="E5" s="1000">
        <f>+D5*210</f>
        <v>0</v>
      </c>
      <c r="F5" s="1001"/>
      <c r="G5" s="1002"/>
      <c r="H5" s="126"/>
      <c r="I5" s="929"/>
      <c r="J5" s="1028"/>
      <c r="K5" s="1029"/>
      <c r="BO5"/>
      <c r="BP5"/>
      <c r="BQ5"/>
      <c r="BR5"/>
      <c r="BS5"/>
      <c r="BT5"/>
      <c r="BU5"/>
    </row>
    <row r="6" spans="1:11 67:73" ht="24" customHeight="1">
      <c r="A6" s="40">
        <v>67</v>
      </c>
      <c r="B6" s="972" t="s">
        <v>3474</v>
      </c>
      <c r="C6" s="973"/>
      <c r="D6" s="87">
        <v>0</v>
      </c>
      <c r="E6" s="1000">
        <f>+D6*420</f>
        <v>0</v>
      </c>
      <c r="F6" s="1001"/>
      <c r="G6" s="1002"/>
      <c r="H6" s="126"/>
      <c r="I6" s="929"/>
      <c r="J6" s="1028"/>
      <c r="K6" s="1029"/>
      <c r="BO6"/>
      <c r="BP6"/>
      <c r="BQ6"/>
      <c r="BR6"/>
      <c r="BS6"/>
      <c r="BT6"/>
      <c r="BU6"/>
    </row>
    <row r="7" spans="1:11 67:73" ht="18" customHeight="1">
      <c r="A7" s="40">
        <v>68</v>
      </c>
      <c r="B7" s="972" t="s">
        <v>3777</v>
      </c>
      <c r="C7" s="973"/>
      <c r="D7" s="87">
        <v>0</v>
      </c>
      <c r="E7" s="1000">
        <f>+D7*1345</f>
        <v>0</v>
      </c>
      <c r="F7" s="1001"/>
      <c r="G7" s="1002"/>
      <c r="H7" s="126"/>
      <c r="I7" s="929"/>
      <c r="J7" s="1028"/>
      <c r="K7" s="1029"/>
      <c r="BO7"/>
      <c r="BP7"/>
      <c r="BQ7"/>
      <c r="BR7"/>
      <c r="BS7"/>
      <c r="BT7"/>
      <c r="BU7"/>
    </row>
    <row r="8" spans="1:11 67:73" ht="18" customHeight="1">
      <c r="A8" s="40">
        <v>69</v>
      </c>
      <c r="B8" s="972" t="s">
        <v>73</v>
      </c>
      <c r="C8" s="973"/>
      <c r="D8" s="87">
        <v>0</v>
      </c>
      <c r="E8" s="1000">
        <f>+D8*335</f>
        <v>0</v>
      </c>
      <c r="F8" s="1001"/>
      <c r="G8" s="1002"/>
      <c r="H8" s="126"/>
      <c r="I8" s="929"/>
      <c r="J8" s="1028"/>
      <c r="K8" s="1029"/>
      <c r="BO8"/>
      <c r="BP8"/>
      <c r="BQ8"/>
      <c r="BR8"/>
      <c r="BS8"/>
      <c r="BT8"/>
      <c r="BU8"/>
    </row>
    <row r="9" spans="1:11 67:73" ht="18" customHeight="1">
      <c r="A9" s="40" t="s">
        <v>68</v>
      </c>
      <c r="B9" s="972" t="s">
        <v>69</v>
      </c>
      <c r="C9" s="973"/>
      <c r="D9" s="121"/>
      <c r="E9" s="996">
        <v>0</v>
      </c>
      <c r="F9" s="1039"/>
      <c r="G9" s="1040"/>
      <c r="H9" s="126"/>
      <c r="I9" s="929"/>
      <c r="J9" s="1028"/>
      <c r="K9" s="1029"/>
      <c r="BO9"/>
      <c r="BP9"/>
      <c r="BQ9"/>
      <c r="BR9"/>
      <c r="BS9"/>
      <c r="BT9"/>
      <c r="BU9"/>
    </row>
    <row r="10" spans="1:11 67:73" ht="18" customHeight="1">
      <c r="A10" s="40" t="s">
        <v>3614</v>
      </c>
      <c r="B10" s="972" t="s">
        <v>3771</v>
      </c>
      <c r="C10" s="973"/>
      <c r="D10" s="121"/>
      <c r="E10" s="957">
        <v>0</v>
      </c>
      <c r="F10" s="1064"/>
      <c r="G10" s="1065"/>
      <c r="H10" s="126"/>
      <c r="I10" s="929"/>
      <c r="J10" s="1028"/>
      <c r="K10" s="1029"/>
      <c r="BO10"/>
      <c r="BP10"/>
      <c r="BQ10"/>
      <c r="BR10"/>
      <c r="BS10"/>
      <c r="BT10"/>
      <c r="BU10"/>
    </row>
    <row r="11" spans="1:11 70:73" ht="30" customHeight="1">
      <c r="A11" s="40">
        <v>70</v>
      </c>
      <c r="B11" s="966" t="s">
        <v>3933</v>
      </c>
      <c r="C11" s="967"/>
      <c r="D11" s="121"/>
      <c r="E11" s="953">
        <f>+SUM(E2:F10)+'DAP2'!F41+'DAP2'!F42+'DAP2'!F43</f>
        <v>30840</v>
      </c>
      <c r="F11" s="1054"/>
      <c r="G11" s="1055"/>
      <c r="H11" s="126"/>
      <c r="I11" s="929"/>
      <c r="J11" s="1028"/>
      <c r="K11" s="1029"/>
      <c r="BR11"/>
      <c r="BS11"/>
      <c r="BT11"/>
      <c r="BU11"/>
    </row>
    <row r="12" spans="1:11 70:73" ht="24" customHeight="1" thickBot="1">
      <c r="A12" s="41">
        <v>71</v>
      </c>
      <c r="B12" s="1032" t="s">
        <v>3475</v>
      </c>
      <c r="C12" s="1033"/>
      <c r="D12" s="122"/>
      <c r="E12" s="970">
        <f>+MAX('DAP2'!F38-'DAP3'!E11,0)</f>
        <v>0</v>
      </c>
      <c r="F12" s="1056"/>
      <c r="G12" s="1057"/>
      <c r="H12" s="128"/>
      <c r="I12" s="937"/>
      <c r="J12" s="1066"/>
      <c r="K12" s="1067"/>
      <c r="BR12"/>
      <c r="BS12"/>
      <c r="BT12"/>
      <c r="BU12"/>
    </row>
    <row r="13" spans="1:11" ht="15.95" customHeight="1" thickBot="1">
      <c r="A13" s="1068" t="s">
        <v>3476</v>
      </c>
      <c r="B13" s="1068"/>
      <c r="C13" s="1069"/>
      <c r="D13" s="1069"/>
      <c r="E13" s="1069"/>
      <c r="F13" s="1069"/>
      <c r="G13" s="1069"/>
      <c r="H13" s="1069"/>
      <c r="I13" s="1069"/>
      <c r="J13" s="1069"/>
      <c r="K13" s="1069"/>
    </row>
    <row r="14" spans="1:11 69:73" ht="22.5" customHeight="1">
      <c r="A14" s="1025"/>
      <c r="B14" s="1059" t="s">
        <v>3479</v>
      </c>
      <c r="C14" s="1072"/>
      <c r="D14" s="1059" t="s">
        <v>148</v>
      </c>
      <c r="E14" s="1060"/>
      <c r="F14" s="1042" t="s">
        <v>3477</v>
      </c>
      <c r="G14" s="1063"/>
      <c r="H14" s="1042" t="s">
        <v>3478</v>
      </c>
      <c r="I14" s="1063"/>
      <c r="J14" s="1042" t="s">
        <v>3568</v>
      </c>
      <c r="K14" s="1043"/>
      <c r="BQ14"/>
      <c r="BR14"/>
      <c r="BS14"/>
      <c r="BT14"/>
      <c r="BU14"/>
    </row>
    <row r="15" spans="1:11 69:73" ht="21.95" customHeight="1">
      <c r="A15" s="1026"/>
      <c r="B15" s="1061"/>
      <c r="C15" s="1062"/>
      <c r="D15" s="1061"/>
      <c r="E15" s="1062"/>
      <c r="F15" s="679" t="s">
        <v>3566</v>
      </c>
      <c r="G15" s="679" t="s">
        <v>3567</v>
      </c>
      <c r="H15" s="679" t="s">
        <v>3566</v>
      </c>
      <c r="I15" s="679" t="s">
        <v>3567</v>
      </c>
      <c r="J15" s="679" t="s">
        <v>3566</v>
      </c>
      <c r="K15" s="336" t="s">
        <v>3567</v>
      </c>
      <c r="BQ15"/>
      <c r="BR15"/>
      <c r="BS15"/>
      <c r="BT15"/>
      <c r="BU15"/>
    </row>
    <row r="16" spans="1:11 69:73" ht="12" customHeight="1">
      <c r="A16" s="1027"/>
      <c r="B16" s="1070">
        <v>1</v>
      </c>
      <c r="C16" s="1071"/>
      <c r="D16" s="1070">
        <v>2</v>
      </c>
      <c r="E16" s="1070"/>
      <c r="F16" s="1030">
        <v>3</v>
      </c>
      <c r="G16" s="1044"/>
      <c r="H16" s="1030">
        <v>4</v>
      </c>
      <c r="I16" s="1044"/>
      <c r="J16" s="1030">
        <v>5</v>
      </c>
      <c r="K16" s="1031"/>
      <c r="BQ16"/>
      <c r="BR16"/>
      <c r="BS16"/>
      <c r="BT16"/>
      <c r="BU16"/>
    </row>
    <row r="17" spans="1:11 69:73" ht="18" customHeight="1">
      <c r="A17" s="132">
        <v>1</v>
      </c>
      <c r="B17" s="1045" t="s">
        <v>142</v>
      </c>
      <c r="C17" s="1046"/>
      <c r="D17" s="1052"/>
      <c r="E17" s="1058"/>
      <c r="F17" s="680"/>
      <c r="G17" s="680"/>
      <c r="H17" s="680"/>
      <c r="I17" s="680"/>
      <c r="J17" s="680"/>
      <c r="K17" s="425"/>
      <c r="BQ17"/>
      <c r="BR17"/>
      <c r="BS17"/>
      <c r="BT17"/>
      <c r="BU17"/>
    </row>
    <row r="18" spans="1:11 69:73" ht="18" customHeight="1">
      <c r="A18" s="132">
        <v>2</v>
      </c>
      <c r="B18" s="1045" t="s">
        <v>142</v>
      </c>
      <c r="C18" s="1046"/>
      <c r="D18" s="1052"/>
      <c r="E18" s="1052"/>
      <c r="F18" s="680"/>
      <c r="G18" s="680"/>
      <c r="H18" s="680"/>
      <c r="I18" s="680"/>
      <c r="J18" s="680"/>
      <c r="K18" s="425"/>
      <c r="BQ18"/>
      <c r="BR18"/>
      <c r="BS18"/>
      <c r="BT18"/>
      <c r="BU18"/>
    </row>
    <row r="19" spans="1:11 69:73" ht="18" customHeight="1">
      <c r="A19" s="132">
        <v>3</v>
      </c>
      <c r="B19" s="1045" t="s">
        <v>142</v>
      </c>
      <c r="C19" s="1046"/>
      <c r="D19" s="1052"/>
      <c r="E19" s="1052"/>
      <c r="F19" s="680"/>
      <c r="G19" s="680"/>
      <c r="H19" s="680"/>
      <c r="I19" s="680"/>
      <c r="J19" s="680"/>
      <c r="K19" s="425"/>
      <c r="BQ19"/>
      <c r="BR19"/>
      <c r="BS19"/>
      <c r="BT19"/>
      <c r="BU19"/>
    </row>
    <row r="20" spans="1:11 69:73" ht="18" customHeight="1">
      <c r="A20" s="132">
        <v>4</v>
      </c>
      <c r="B20" s="1045" t="s">
        <v>142</v>
      </c>
      <c r="C20" s="1046"/>
      <c r="D20" s="1052"/>
      <c r="E20" s="1052"/>
      <c r="F20" s="680"/>
      <c r="G20" s="680"/>
      <c r="H20" s="680"/>
      <c r="I20" s="680"/>
      <c r="J20" s="680"/>
      <c r="K20" s="425"/>
      <c r="BQ20"/>
      <c r="BR20"/>
      <c r="BS20"/>
      <c r="BT20"/>
      <c r="BU20"/>
    </row>
    <row r="21" spans="1:11 73:73" ht="15.95" customHeight="1" thickBot="1">
      <c r="A21" s="133"/>
      <c r="B21" s="1050" t="s">
        <v>59</v>
      </c>
      <c r="C21" s="1051"/>
      <c r="D21" s="1041"/>
      <c r="E21" s="1041"/>
      <c r="F21" s="335">
        <f t="shared" si="0" ref="F21:I21">+SUM(F17:F20)</f>
        <v>0</v>
      </c>
      <c r="G21" s="335">
        <f t="shared" si="0"/>
        <v>0</v>
      </c>
      <c r="H21" s="335">
        <f t="shared" si="0"/>
        <v>0</v>
      </c>
      <c r="I21" s="335">
        <f t="shared" si="0"/>
        <v>0</v>
      </c>
      <c r="J21" s="335">
        <f>+SUM(J17:J20)+Příl_děti!J13</f>
        <v>0</v>
      </c>
      <c r="K21" s="678">
        <f>+SUM(K17:K20)+Příl_děti!K13</f>
        <v>0</v>
      </c>
      <c r="BU21"/>
    </row>
    <row r="22" spans="1:11" ht="6" customHeight="1" thickBot="1">
      <c r="A22" s="1053"/>
      <c r="B22" s="1053"/>
      <c r="C22" s="977"/>
      <c r="D22" s="977"/>
      <c r="E22" s="977"/>
      <c r="F22" s="977"/>
      <c r="G22" s="977"/>
      <c r="H22" s="977"/>
      <c r="I22" s="977"/>
      <c r="J22" s="977"/>
      <c r="K22" s="977"/>
    </row>
    <row r="23" spans="1:12" ht="18" customHeight="1">
      <c r="A23" s="112">
        <v>72</v>
      </c>
      <c r="B23" s="894" t="s">
        <v>60</v>
      </c>
      <c r="C23" s="1049"/>
      <c r="D23" s="1018">
        <f>+F21*1267+G21*2534+H21*1860+I21*3720+J21*2320+K21*4640</f>
        <v>0</v>
      </c>
      <c r="E23" s="1019"/>
      <c r="F23" s="1019"/>
      <c r="G23" s="1020"/>
      <c r="H23" s="900"/>
      <c r="I23" s="1077"/>
      <c r="J23" s="1077"/>
      <c r="K23" s="1078"/>
      <c r="L23" s="137"/>
    </row>
    <row r="24" spans="1:11" ht="24" customHeight="1">
      <c r="A24" s="18">
        <v>73</v>
      </c>
      <c r="B24" s="902" t="s">
        <v>3480</v>
      </c>
      <c r="C24" s="1081"/>
      <c r="D24" s="1083">
        <f>+MIN(D23,E12)</f>
        <v>0</v>
      </c>
      <c r="E24" s="1084"/>
      <c r="F24" s="1084"/>
      <c r="G24" s="1085"/>
      <c r="H24" s="1008"/>
      <c r="I24" s="1082"/>
      <c r="J24" s="1082"/>
      <c r="K24" s="1010"/>
    </row>
    <row r="25" spans="1:11" ht="18" customHeight="1">
      <c r="A25" s="589">
        <v>74</v>
      </c>
      <c r="B25" s="1087" t="s">
        <v>3615</v>
      </c>
      <c r="C25" s="1088"/>
      <c r="D25" s="1083">
        <f>+E12-D24</f>
        <v>0</v>
      </c>
      <c r="E25" s="1084"/>
      <c r="F25" s="1084"/>
      <c r="G25" s="1085"/>
      <c r="H25" s="1089"/>
      <c r="I25" s="1090"/>
      <c r="J25" s="1090"/>
      <c r="K25" s="1091"/>
    </row>
    <row r="26" spans="1:11" ht="24" customHeight="1" thickBot="1">
      <c r="A26" s="590" t="s">
        <v>3819</v>
      </c>
      <c r="B26" s="1079" t="s">
        <v>3934</v>
      </c>
      <c r="C26" s="1080"/>
      <c r="D26" s="934">
        <f>+'4Př'!F20</f>
        <v>0</v>
      </c>
      <c r="E26" s="935"/>
      <c r="F26" s="935"/>
      <c r="G26" s="1017"/>
      <c r="H26" s="1073"/>
      <c r="I26" s="1074"/>
      <c r="J26" s="1074"/>
      <c r="K26" s="1075"/>
    </row>
    <row r="27" spans="1:11" ht="6" customHeight="1" thickBot="1">
      <c r="A27" s="1053"/>
      <c r="B27" s="1053"/>
      <c r="C27" s="977"/>
      <c r="D27" s="977"/>
      <c r="E27" s="977"/>
      <c r="F27" s="977"/>
      <c r="G27" s="977"/>
      <c r="H27" s="977"/>
      <c r="I27" s="977"/>
      <c r="J27" s="977"/>
      <c r="K27" s="977"/>
    </row>
    <row r="28" spans="1:11" ht="18" customHeight="1">
      <c r="A28" s="112">
        <v>75</v>
      </c>
      <c r="B28" s="894" t="s">
        <v>3820</v>
      </c>
      <c r="C28" s="1049"/>
      <c r="D28" s="1018">
        <f>+D25+D26</f>
        <v>0</v>
      </c>
      <c r="E28" s="1019"/>
      <c r="F28" s="1019"/>
      <c r="G28" s="1020"/>
      <c r="H28" s="900"/>
      <c r="I28" s="1077"/>
      <c r="J28" s="1077"/>
      <c r="K28" s="1078"/>
    </row>
    <row r="29" spans="1:11" ht="18" customHeight="1">
      <c r="A29" s="18">
        <v>76</v>
      </c>
      <c r="B29" s="902" t="s">
        <v>3481</v>
      </c>
      <c r="C29" s="1081"/>
      <c r="D29" s="1083">
        <f>IF(OR(+D23-D24&lt;99,+MAX('1Př1'!F11+'1Př1'!A27+'1Př1'!F19+'1Př1'!F22)+'DAP2'!E7&lt;6*16200),0,+D23-D24)</f>
        <v>0</v>
      </c>
      <c r="E29" s="1084"/>
      <c r="F29" s="1084"/>
      <c r="G29" s="1085"/>
      <c r="H29" s="1008"/>
      <c r="I29" s="1082"/>
      <c r="J29" s="1082"/>
      <c r="K29" s="1010"/>
    </row>
    <row r="30" spans="1:11" ht="24" customHeight="1">
      <c r="A30" s="18">
        <v>77</v>
      </c>
      <c r="B30" s="902" t="s">
        <v>3821</v>
      </c>
      <c r="C30" s="1081"/>
      <c r="D30" s="1083">
        <f>+MAX(0,D28-D29)</f>
        <v>0</v>
      </c>
      <c r="E30" s="1084"/>
      <c r="F30" s="1084"/>
      <c r="G30" s="1085"/>
      <c r="H30" s="1008"/>
      <c r="I30" s="1082"/>
      <c r="J30" s="1082"/>
      <c r="K30" s="1010"/>
    </row>
    <row r="31" spans="1:11" ht="24" customHeight="1" thickBot="1">
      <c r="A31" s="17" t="s">
        <v>3822</v>
      </c>
      <c r="B31" s="915" t="s">
        <v>3823</v>
      </c>
      <c r="C31" s="1076"/>
      <c r="D31" s="905">
        <f>+MAX(0,-D28+D29)</f>
        <v>0</v>
      </c>
      <c r="E31" s="906"/>
      <c r="F31" s="906"/>
      <c r="G31" s="1086"/>
      <c r="H31" s="1005"/>
      <c r="I31" s="1006"/>
      <c r="J31" s="1006"/>
      <c r="K31" s="1007"/>
    </row>
    <row r="32" spans="1:11" ht="15.95" customHeight="1" thickBot="1">
      <c r="A32" s="1021" t="s">
        <v>324</v>
      </c>
      <c r="B32" s="1021"/>
      <c r="C32" s="1022"/>
      <c r="D32" s="1022"/>
      <c r="E32" s="1022"/>
      <c r="F32" s="1022"/>
      <c r="G32" s="1022"/>
      <c r="H32" s="1022"/>
      <c r="I32" s="1022"/>
      <c r="J32" s="1022"/>
      <c r="K32" s="1022"/>
    </row>
    <row r="33" spans="1:11" ht="18" customHeight="1">
      <c r="A33" s="18">
        <v>78</v>
      </c>
      <c r="B33" s="1003" t="s">
        <v>210</v>
      </c>
      <c r="C33" s="1004"/>
      <c r="D33" s="1018">
        <v>0</v>
      </c>
      <c r="E33" s="1019"/>
      <c r="F33" s="1019"/>
      <c r="G33" s="1020"/>
      <c r="H33" s="1008"/>
      <c r="I33" s="1009"/>
      <c r="J33" s="1009"/>
      <c r="K33" s="1010"/>
    </row>
    <row r="34" spans="1:11" ht="24" customHeight="1">
      <c r="A34" s="18">
        <v>79</v>
      </c>
      <c r="B34" s="1023" t="s">
        <v>3824</v>
      </c>
      <c r="C34" s="1024"/>
      <c r="D34" s="888">
        <f>+IF(OR(EXACT("X",'DAP1'!E13),EXACT("x",'DAP1'!E13)),'DAP3'!D26,0)</f>
        <v>0</v>
      </c>
      <c r="E34" s="889"/>
      <c r="F34" s="889"/>
      <c r="G34" s="1011"/>
      <c r="H34" s="1008"/>
      <c r="I34" s="1009"/>
      <c r="J34" s="1009"/>
      <c r="K34" s="1010"/>
    </row>
    <row r="35" spans="1:11" ht="24" customHeight="1">
      <c r="A35" s="18">
        <v>80</v>
      </c>
      <c r="B35" s="1012" t="s">
        <v>3482</v>
      </c>
      <c r="C35" s="1013"/>
      <c r="D35" s="885">
        <f>+D34-D33</f>
        <v>0</v>
      </c>
      <c r="E35" s="886"/>
      <c r="F35" s="886"/>
      <c r="G35" s="1016"/>
      <c r="H35" s="1008"/>
      <c r="I35" s="1009"/>
      <c r="J35" s="1009"/>
      <c r="K35" s="1010"/>
    </row>
    <row r="36" spans="1:11" ht="18" customHeight="1">
      <c r="A36" s="18">
        <v>81</v>
      </c>
      <c r="B36" s="1012" t="s">
        <v>3483</v>
      </c>
      <c r="C36" s="1013"/>
      <c r="D36" s="888">
        <v>0</v>
      </c>
      <c r="E36" s="889"/>
      <c r="F36" s="889"/>
      <c r="G36" s="1011"/>
      <c r="H36" s="1008"/>
      <c r="I36" s="1009"/>
      <c r="J36" s="1009"/>
      <c r="K36" s="1010"/>
    </row>
    <row r="37" spans="1:11" ht="24" customHeight="1">
      <c r="A37" s="18">
        <v>82</v>
      </c>
      <c r="B37" s="1012" t="s">
        <v>211</v>
      </c>
      <c r="C37" s="1013"/>
      <c r="D37" s="888">
        <f>+IF(OR(EXACT("X",'DAP1'!E13),EXACT("x",'DAP1'!E13)),'DAP2'!F39,0)</f>
        <v>0</v>
      </c>
      <c r="E37" s="889"/>
      <c r="F37" s="889"/>
      <c r="G37" s="1011"/>
      <c r="H37" s="1008"/>
      <c r="I37" s="1009"/>
      <c r="J37" s="1009"/>
      <c r="K37" s="1010"/>
    </row>
    <row r="38" spans="1:11" ht="24" customHeight="1" thickBot="1">
      <c r="A38" s="17">
        <v>83</v>
      </c>
      <c r="B38" s="1014" t="s">
        <v>3484</v>
      </c>
      <c r="C38" s="1015"/>
      <c r="D38" s="934">
        <f>+D37-D36</f>
        <v>0</v>
      </c>
      <c r="E38" s="935"/>
      <c r="F38" s="935"/>
      <c r="G38" s="1017"/>
      <c r="H38" s="1005"/>
      <c r="I38" s="1006"/>
      <c r="J38" s="1006"/>
      <c r="K38" s="1007"/>
    </row>
    <row r="39" spans="1:11" ht="15.95" customHeight="1" thickBot="1">
      <c r="A39" s="1021" t="s">
        <v>325</v>
      </c>
      <c r="B39" s="1021"/>
      <c r="C39" s="1022"/>
      <c r="D39" s="1022"/>
      <c r="E39" s="1022"/>
      <c r="F39" s="1022"/>
      <c r="G39" s="1022"/>
      <c r="H39" s="1022"/>
      <c r="I39" s="1022"/>
      <c r="J39" s="1022"/>
      <c r="K39" s="1022"/>
    </row>
    <row r="40" spans="1:11" ht="24" customHeight="1">
      <c r="A40" s="110">
        <v>84</v>
      </c>
      <c r="B40" s="877" t="s">
        <v>3485</v>
      </c>
      <c r="C40" s="1037"/>
      <c r="D40" s="1018">
        <f>+'DAP2'!M5</f>
        <v>0</v>
      </c>
      <c r="E40" s="1019"/>
      <c r="F40" s="1019"/>
      <c r="G40" s="1020"/>
      <c r="H40" s="1008"/>
      <c r="I40" s="1009"/>
      <c r="J40" s="1009"/>
      <c r="K40" s="1010"/>
    </row>
    <row r="41" spans="1:11" ht="18" customHeight="1">
      <c r="A41" s="18">
        <v>85</v>
      </c>
      <c r="B41" s="1035" t="s">
        <v>106</v>
      </c>
      <c r="C41" s="1036"/>
      <c r="D41" s="888">
        <v>0</v>
      </c>
      <c r="E41" s="889"/>
      <c r="F41" s="889"/>
      <c r="G41" s="1011"/>
      <c r="H41" s="1008"/>
      <c r="I41" s="1009"/>
      <c r="J41" s="1009"/>
      <c r="K41" s="1010"/>
    </row>
    <row r="42" spans="1:11" ht="24" customHeight="1">
      <c r="A42" s="18">
        <v>86</v>
      </c>
      <c r="B42" s="902" t="s">
        <v>3825</v>
      </c>
      <c r="C42" s="1034"/>
      <c r="D42" s="888">
        <v>0</v>
      </c>
      <c r="E42" s="889"/>
      <c r="F42" s="889"/>
      <c r="G42" s="1011"/>
      <c r="H42" s="1008"/>
      <c r="I42" s="1009"/>
      <c r="J42" s="1009"/>
      <c r="K42" s="1010"/>
    </row>
    <row r="43" spans="1:11" ht="18" customHeight="1">
      <c r="A43" s="18">
        <v>87</v>
      </c>
      <c r="B43" s="1035" t="s">
        <v>3921</v>
      </c>
      <c r="C43" s="1036"/>
      <c r="D43" s="888">
        <f>+'DAP2'!M6</f>
        <v>0</v>
      </c>
      <c r="E43" s="889"/>
      <c r="F43" s="889"/>
      <c r="G43" s="1011"/>
      <c r="H43" s="1008"/>
      <c r="I43" s="1009"/>
      <c r="J43" s="1009"/>
      <c r="K43" s="1010"/>
    </row>
    <row r="44" spans="1:11" ht="18" customHeight="1">
      <c r="A44" s="18" t="s">
        <v>289</v>
      </c>
      <c r="B44" s="1035" t="s">
        <v>290</v>
      </c>
      <c r="C44" s="1036"/>
      <c r="D44" s="888">
        <v>0</v>
      </c>
      <c r="E44" s="889"/>
      <c r="F44" s="889"/>
      <c r="G44" s="1011"/>
      <c r="H44" s="1008"/>
      <c r="I44" s="1009"/>
      <c r="J44" s="1009"/>
      <c r="K44" s="1010"/>
    </row>
    <row r="45" spans="1:11" ht="18" customHeight="1">
      <c r="A45" s="18">
        <v>88</v>
      </c>
      <c r="B45" s="949" t="s">
        <v>115</v>
      </c>
      <c r="C45" s="1034"/>
      <c r="D45" s="888">
        <v>0</v>
      </c>
      <c r="E45" s="889"/>
      <c r="F45" s="889"/>
      <c r="G45" s="1011"/>
      <c r="H45" s="1008"/>
      <c r="I45" s="1009"/>
      <c r="J45" s="1009"/>
      <c r="K45" s="1010"/>
    </row>
    <row r="46" spans="1:11" ht="24" customHeight="1">
      <c r="A46" s="18">
        <v>89</v>
      </c>
      <c r="B46" s="902" t="s">
        <v>3826</v>
      </c>
      <c r="C46" s="1034"/>
      <c r="D46" s="888">
        <f>+'DAP2'!M7</f>
        <v>0</v>
      </c>
      <c r="E46" s="889"/>
      <c r="F46" s="889"/>
      <c r="G46" s="1011"/>
      <c r="H46" s="1008"/>
      <c r="I46" s="1009"/>
      <c r="J46" s="1009"/>
      <c r="K46" s="1010"/>
    </row>
    <row r="47" spans="1:11" ht="18" customHeight="1">
      <c r="A47" s="18">
        <v>90</v>
      </c>
      <c r="B47" s="1035" t="s">
        <v>90</v>
      </c>
      <c r="C47" s="1036"/>
      <c r="D47" s="888">
        <v>0</v>
      </c>
      <c r="E47" s="889"/>
      <c r="F47" s="889"/>
      <c r="G47" s="1011"/>
      <c r="H47" s="1008"/>
      <c r="I47" s="1009"/>
      <c r="J47" s="1009"/>
      <c r="K47" s="1010"/>
    </row>
    <row r="48" spans="1:11" ht="24" customHeight="1" thickBot="1">
      <c r="A48" s="18">
        <v>91</v>
      </c>
      <c r="B48" s="1014" t="s">
        <v>3906</v>
      </c>
      <c r="C48" s="1015"/>
      <c r="D48" s="934">
        <f>+IF(OR(EXACT("X",'DAP1'!E13),EXACT("x",'DAP1'!E13)),0,+D30-D31-SUM(D40:E45)+D46-D47)</f>
        <v>0</v>
      </c>
      <c r="E48" s="935"/>
      <c r="F48" s="935"/>
      <c r="G48" s="1017"/>
      <c r="H48" s="1008"/>
      <c r="I48" s="1009"/>
      <c r="J48" s="1009"/>
      <c r="K48" s="1010"/>
    </row>
    <row r="49" spans="1:11" ht="12.75">
      <c r="A49" s="939">
        <v>3</v>
      </c>
      <c r="B49" s="939"/>
      <c r="C49" s="939"/>
      <c r="D49" s="939"/>
      <c r="E49" s="939"/>
      <c r="F49" s="939"/>
      <c r="G49" s="939"/>
      <c r="H49" s="939"/>
      <c r="I49" s="939"/>
      <c r="J49" s="939"/>
      <c r="K49" s="939"/>
    </row>
    <row r="50" spans="1:11" ht="12.7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</row>
    <row r="51" spans="1:11" ht="12.75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</row>
    <row r="52" spans="1:11" ht="12.75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</row>
    <row r="53" spans="1:11" ht="12.75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</row>
    <row r="54" spans="1:11" ht="12.7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</row>
    <row r="55" spans="1:11" ht="12.7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</row>
    <row r="56" spans="1:11" ht="12.75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</row>
    <row r="57" spans="1:11" ht="12.75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</row>
    <row r="58" spans="1:11" ht="12.7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</row>
    <row r="59" spans="1:11" ht="12.75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</row>
    <row r="60" spans="1:11" ht="12.75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</row>
    <row r="61" spans="1:11" ht="12.75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</row>
    <row r="62" spans="1:11" ht="12.75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</row>
    <row r="63" spans="1:11" ht="12.75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</row>
    <row r="64" spans="1:11" ht="12.75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</row>
    <row r="65" spans="1:11" ht="12.7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</row>
    <row r="66" spans="1:11" ht="12.7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</row>
    <row r="67" spans="1:11" ht="12.7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</row>
    <row r="68" spans="1:11" ht="12.75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</row>
    <row r="69" spans="1:11" ht="12.75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</row>
    <row r="70" spans="1:11" ht="12.7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</row>
    <row r="71" spans="1:11" ht="12.7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</row>
    <row r="72" spans="1:11" ht="12.7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</row>
    <row r="73" spans="1:11" ht="12.7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</row>
    <row r="74" spans="1:11" ht="12.7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</row>
    <row r="75" spans="1:11" ht="12.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</row>
    <row r="76" spans="1:11" ht="12.75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</row>
    <row r="77" spans="1:11" ht="12.75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</row>
    <row r="78" spans="1:11" ht="12.75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</row>
    <row r="79" spans="1:11" ht="12.75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</row>
    <row r="80" spans="1:11" ht="12.75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</row>
    <row r="81" spans="1:11" ht="12.75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</row>
    <row r="82" spans="1:11" ht="12.75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</row>
    <row r="83" spans="1:11" ht="12.75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</row>
    <row r="84" spans="1:11" ht="12.75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</row>
    <row r="85" spans="1:11" ht="12.7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</row>
    <row r="86" spans="1:11" ht="12.75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</row>
    <row r="87" spans="1:11" ht="12.75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</row>
    <row r="88" spans="1:11" ht="12.75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</row>
    <row r="89" spans="1:11" ht="12.75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</row>
    <row r="90" spans="1:11" ht="12.75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</row>
    <row r="91" spans="1:11" ht="12.75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</row>
    <row r="92" spans="1:11" ht="12.75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</row>
    <row r="93" spans="1:11" ht="12.75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</row>
    <row r="94" spans="1:11" ht="12.75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</row>
    <row r="95" spans="1:11" ht="12.7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</row>
    <row r="96" spans="1:11" ht="12.75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</row>
    <row r="97" s="73" customFormat="1" ht="12.75"/>
    <row r="98" s="73" customFormat="1" ht="12.75"/>
    <row r="99" s="73" customFormat="1" ht="12.75"/>
    <row r="100" s="73" customFormat="1" ht="12.75"/>
    <row r="101" s="73" customFormat="1" ht="12.75"/>
    <row r="102" s="73" customFormat="1" ht="12.75"/>
    <row r="103" s="73" customFormat="1" ht="12.75"/>
    <row r="104" s="73" customFormat="1" ht="12.75"/>
    <row r="105" s="73" customFormat="1" ht="12.75"/>
    <row r="106" s="73" customFormat="1" ht="12.75"/>
    <row r="107" s="73" customFormat="1" ht="12.75"/>
    <row r="108" s="73" customFormat="1" ht="12.75"/>
    <row r="109" s="73" customFormat="1" ht="12.75"/>
    <row r="110" s="73" customFormat="1" ht="12.75"/>
    <row r="111" s="73" customFormat="1" ht="12.75"/>
    <row r="112" s="73" customFormat="1" ht="12.75"/>
    <row r="113" s="73" customFormat="1" ht="12.75"/>
    <row r="114" s="73" customFormat="1" ht="12.75"/>
    <row r="115" s="73" customFormat="1" ht="12.75"/>
    <row r="116" s="73" customFormat="1" ht="12.75"/>
    <row r="117" s="73" customFormat="1" ht="12.75"/>
    <row r="118" s="73" customFormat="1" ht="12.75"/>
    <row r="119" s="73" customFormat="1" ht="12.75"/>
    <row r="120" s="73" customFormat="1" ht="12.75"/>
    <row r="121" s="73" customFormat="1" ht="12.75"/>
    <row r="122" s="73" customFormat="1" ht="12.75"/>
    <row r="123" s="73" customFormat="1" ht="12.75"/>
    <row r="124" s="73" customFormat="1" ht="12.75"/>
    <row r="125" s="73" customFormat="1" ht="12.75"/>
    <row r="126" s="73" customFormat="1" ht="12.75"/>
    <row r="127" s="73" customFormat="1" ht="12.75"/>
    <row r="128" s="73" customFormat="1" ht="12.75"/>
    <row r="129" s="73" customFormat="1" ht="12.75"/>
    <row r="130" s="73" customFormat="1" ht="12.75"/>
    <row r="131" s="73" customFormat="1" ht="12.75"/>
    <row r="132" s="73" customFormat="1" ht="12.75"/>
    <row r="133" s="73" customFormat="1" ht="12.75"/>
    <row r="134" s="73" customFormat="1" ht="12.75"/>
    <row r="135" s="73" customFormat="1" ht="12.75"/>
    <row r="136" s="73" customFormat="1" ht="12.75"/>
    <row r="137" s="73" customFormat="1" ht="12.75"/>
    <row r="138" s="73" customFormat="1" ht="12.75"/>
    <row r="139" s="73" customFormat="1" ht="12.75"/>
    <row r="140" s="73" customFormat="1" ht="12.75"/>
    <row r="141" s="73" customFormat="1" ht="12.75"/>
    <row r="142" s="73" customFormat="1" ht="12.75"/>
    <row r="143" s="73" customFormat="1" ht="12.75"/>
    <row r="144" s="73" customFormat="1" ht="12.75"/>
    <row r="145" s="73" customFormat="1" ht="12.75"/>
    <row r="146" s="73" customFormat="1" ht="12.75"/>
    <row r="147" s="73" customFormat="1" ht="12.75"/>
    <row r="148" s="73" customFormat="1" ht="12.75"/>
    <row r="149" s="73" customFormat="1" ht="12.75"/>
    <row r="150" s="73" customFormat="1" ht="12.75"/>
    <row r="151" s="73" customFormat="1" ht="12.75"/>
    <row r="152" s="73" customFormat="1" ht="12.75"/>
    <row r="153" s="73" customFormat="1" ht="12.75"/>
    <row r="154" s="73" customFormat="1" ht="12.75"/>
    <row r="155" s="73" customFormat="1" ht="12.75"/>
    <row r="156" s="73" customFormat="1" ht="12.75"/>
    <row r="157" s="73" customFormat="1" ht="12.75"/>
    <row r="158" s="73" customFormat="1" ht="12.75"/>
    <row r="159" s="73" customFormat="1" ht="12.75"/>
    <row r="160" s="73" customFormat="1" ht="12.75"/>
    <row r="161" s="73" customFormat="1" ht="12.75"/>
    <row r="162" s="73" customFormat="1" ht="12.75"/>
    <row r="163" s="73" customFormat="1" ht="12.75"/>
    <row r="164" s="73" customFormat="1" ht="12.75"/>
    <row r="165" s="73" customFormat="1" ht="12.75"/>
    <row r="166" s="73" customFormat="1" ht="12.75"/>
    <row r="167" s="73" customFormat="1" ht="12.75"/>
    <row r="168" s="73" customFormat="1" ht="12.75"/>
    <row r="169" s="73" customFormat="1" ht="12.75"/>
    <row r="170" s="73" customFormat="1" ht="12.75"/>
    <row r="171" s="73" customFormat="1" ht="12.75"/>
    <row r="172" s="73" customFormat="1" ht="12.75"/>
    <row r="173" s="73" customFormat="1" ht="12.75"/>
    <row r="174" s="73" customFormat="1" ht="12.75"/>
    <row r="175" s="73" customFormat="1" ht="12.75"/>
    <row r="176" s="73" customFormat="1" ht="12.75"/>
    <row r="177" s="73" customFormat="1" ht="12.75"/>
    <row r="178" s="73" customFormat="1" ht="12.75"/>
    <row r="179" s="73" customFormat="1" ht="12.75"/>
    <row r="180" s="73" customFormat="1" ht="12.75"/>
    <row r="181" s="73" customFormat="1" ht="12.75"/>
    <row r="182" s="73" customFormat="1" ht="12.75"/>
    <row r="183" s="73" customFormat="1" ht="12.75"/>
    <row r="184" s="73" customFormat="1" ht="12.75"/>
    <row r="185" s="73" customFormat="1" ht="12.75"/>
    <row r="186" s="73" customFormat="1" ht="12.75"/>
    <row r="187" s="73" customFormat="1" ht="12.75"/>
    <row r="188" s="73" customFormat="1" ht="12.75"/>
    <row r="189" s="73" customFormat="1" ht="12.75"/>
    <row r="190" s="73" customFormat="1" ht="12.75"/>
    <row r="191" s="73" customFormat="1" ht="12.75"/>
    <row r="192" s="73" customFormat="1" ht="12.75"/>
    <row r="193" s="73" customFormat="1" ht="12.75"/>
    <row r="194" s="73" customFormat="1" ht="12.75"/>
    <row r="195" s="73" customFormat="1" ht="12.75"/>
    <row r="196" s="73" customFormat="1" ht="12.75"/>
    <row r="197" s="73" customFormat="1" ht="12.75"/>
    <row r="198" s="73" customFormat="1" ht="12.75"/>
    <row r="199" s="73" customFormat="1" ht="12.75"/>
    <row r="200" s="73" customFormat="1" ht="12.75"/>
    <row r="201" s="73" customFormat="1" ht="12.75"/>
    <row r="202" s="73" customFormat="1" ht="12.75"/>
    <row r="203" s="73" customFormat="1" ht="12.75"/>
    <row r="204" s="73" customFormat="1" ht="12.75"/>
    <row r="205" s="73" customFormat="1" ht="12.75"/>
    <row r="206" s="73" customFormat="1" ht="12.75"/>
    <row r="207" s="73" customFormat="1" ht="12.75"/>
    <row r="208" s="73" customFormat="1" ht="12.75"/>
    <row r="209" s="73" customFormat="1" ht="12.75"/>
    <row r="210" s="73" customFormat="1" ht="12.75"/>
    <row r="211" s="73" customFormat="1" ht="12.75"/>
    <row r="212" s="73" customFormat="1" ht="12.75"/>
    <row r="213" s="73" customFormat="1" ht="12.75"/>
    <row r="214" s="73" customFormat="1" ht="12.75"/>
    <row r="215" s="73" customFormat="1" ht="12.75"/>
    <row r="216" s="73" customFormat="1" ht="12.75"/>
    <row r="217" s="73" customFormat="1" ht="12.75"/>
    <row r="218" s="73" customFormat="1" ht="12.75"/>
    <row r="219" s="73" customFormat="1" ht="12.75"/>
    <row r="220" s="73" customFormat="1" ht="12.75"/>
    <row r="221" s="73" customFormat="1" ht="12.75"/>
    <row r="222" s="73" customFormat="1" ht="12.75"/>
    <row r="223" s="73" customFormat="1" ht="12.75"/>
    <row r="224" s="73" customFormat="1" ht="12.75"/>
    <row r="225" s="73" customFormat="1" ht="12.75"/>
    <row r="226" s="73" customFormat="1" ht="12.75"/>
    <row r="227" s="73" customFormat="1" ht="12.75"/>
    <row r="228" s="73" customFormat="1" ht="12.75"/>
    <row r="229" s="73" customFormat="1" ht="12.75"/>
    <row r="230" s="73" customFormat="1" ht="12.75"/>
    <row r="231" s="73" customFormat="1" ht="12.75"/>
    <row r="232" s="73" customFormat="1" ht="12.75"/>
    <row r="233" s="73" customFormat="1" ht="12.75"/>
    <row r="234" s="73" customFormat="1" ht="12.75"/>
    <row r="235" s="73" customFormat="1" ht="12.75"/>
    <row r="236" s="73" customFormat="1" ht="12.75"/>
    <row r="237" s="73" customFormat="1" ht="12.75"/>
    <row r="238" s="73" customFormat="1" ht="12.75"/>
    <row r="239" s="73" customFormat="1" ht="12.75"/>
    <row r="240" s="73" customFormat="1" ht="12.75"/>
    <row r="241" s="73" customFormat="1" ht="12.75"/>
    <row r="242" s="73" customFormat="1" ht="12.75"/>
    <row r="243" s="73" customFormat="1" ht="12.75"/>
    <row r="244" s="73" customFormat="1" ht="12.75"/>
    <row r="245" s="73" customFormat="1" ht="12.75"/>
    <row r="246" s="73" customFormat="1" ht="12.75"/>
    <row r="247" s="73" customFormat="1" ht="12.75"/>
    <row r="248" s="73" customFormat="1" ht="12.75"/>
    <row r="249" s="73" customFormat="1" ht="12.75"/>
    <row r="250" s="73" customFormat="1" ht="12.75"/>
    <row r="251" s="73" customFormat="1" ht="12.75"/>
    <row r="252" s="73" customFormat="1" ht="12.75"/>
    <row r="253" s="73" customFormat="1" ht="12.75"/>
    <row r="254" s="73" customFormat="1" ht="12.75"/>
    <row r="255" s="73" customFormat="1" ht="12.75"/>
    <row r="256" s="73" customFormat="1" ht="12.75"/>
    <row r="257" s="73" customFormat="1" ht="12.75"/>
    <row r="258" s="73" customFormat="1" ht="12.75"/>
    <row r="259" s="73" customFormat="1" ht="12.75"/>
    <row r="260" s="73" customFormat="1" ht="12.75"/>
    <row r="261" s="73" customFormat="1" ht="12.75"/>
    <row r="262" s="73" customFormat="1" ht="12.75"/>
    <row r="263" s="73" customFormat="1" ht="12.75"/>
    <row r="264" s="73" customFormat="1" ht="12.75"/>
    <row r="265" s="73" customFormat="1" ht="12.75"/>
    <row r="266" s="73" customFormat="1" ht="12.75"/>
    <row r="267" s="73" customFormat="1" ht="12.75"/>
    <row r="268" s="73" customFormat="1" ht="12.75"/>
    <row r="269" s="73" customFormat="1" ht="12.75"/>
    <row r="270" s="73" customFormat="1" ht="12.75"/>
    <row r="271" s="73" customFormat="1" ht="12.75"/>
    <row r="272" s="73" customFormat="1" ht="12.75"/>
    <row r="273" s="73" customFormat="1" ht="12.75"/>
    <row r="274" s="73" customFormat="1" ht="12.75"/>
    <row r="275" s="73" customFormat="1" ht="12.75"/>
    <row r="276" s="73" customFormat="1" ht="12.75"/>
    <row r="277" s="73" customFormat="1" ht="12.75"/>
    <row r="278" s="73" customFormat="1" ht="12.75"/>
    <row r="279" s="73" customFormat="1" ht="12.75"/>
    <row r="280" s="73" customFormat="1" ht="12.75"/>
    <row r="281" s="73" customFormat="1" ht="12.75"/>
    <row r="282" s="73" customFormat="1" ht="12.75"/>
    <row r="283" s="73" customFormat="1" ht="12.75"/>
    <row r="284" s="73" customFormat="1" ht="12.75"/>
    <row r="285" s="73" customFormat="1" ht="12.75"/>
    <row r="286" s="73" customFormat="1" ht="12.75"/>
    <row r="287" s="73" customFormat="1" ht="12.75"/>
    <row r="288" s="73" customFormat="1" ht="12.75"/>
    <row r="289" s="73" customFormat="1" ht="12.75"/>
    <row r="290" s="73" customFormat="1" ht="12.75"/>
    <row r="291" s="73" customFormat="1" ht="12.75"/>
    <row r="292" s="73" customFormat="1" ht="12.75"/>
    <row r="293" s="73" customFormat="1" ht="12.75"/>
    <row r="294" s="73" customFormat="1" ht="12.75"/>
    <row r="295" s="73" customFormat="1" ht="12.75"/>
    <row r="296" s="73" customFormat="1" ht="12.75"/>
    <row r="297" s="73" customFormat="1" ht="12.75"/>
    <row r="298" s="73" customFormat="1" ht="12.75"/>
    <row r="299" s="73" customFormat="1" ht="12.75"/>
    <row r="300" s="73" customFormat="1" ht="12.75"/>
    <row r="301" s="73" customFormat="1" ht="12.75"/>
    <row r="302" s="73" customFormat="1" ht="12.75"/>
    <row r="303" s="73" customFormat="1" ht="12.75"/>
    <row r="304" s="73" customFormat="1" ht="12.75"/>
    <row r="305" s="73" customFormat="1" ht="12.75"/>
    <row r="306" s="73" customFormat="1" ht="12.75"/>
    <row r="307" s="73" customFormat="1" ht="12.75"/>
    <row r="308" s="73" customFormat="1" ht="12.75"/>
    <row r="309" s="73" customFormat="1" ht="12.75"/>
    <row r="310" s="73" customFormat="1" ht="12.75"/>
    <row r="311" s="73" customFormat="1" ht="12.75"/>
    <row r="312" s="73" customFormat="1" ht="12.75"/>
    <row r="313" s="73" customFormat="1" ht="12.75"/>
    <row r="314" s="73" customFormat="1" ht="12.75"/>
    <row r="315" s="73" customFormat="1" ht="12.75"/>
    <row r="316" s="73" customFormat="1" ht="12.75"/>
    <row r="317" s="73" customFormat="1" ht="12.75"/>
    <row r="318" s="73" customFormat="1" ht="12.75"/>
    <row r="319" s="73" customFormat="1" ht="12.75"/>
    <row r="320" s="73" customFormat="1" ht="12.75"/>
    <row r="321" s="73" customFormat="1" ht="12.75"/>
    <row r="322" s="73" customFormat="1" ht="12.75"/>
    <row r="323" s="73" customFormat="1" ht="12.75"/>
    <row r="324" s="73" customFormat="1" ht="12.75"/>
    <row r="325" s="73" customFormat="1" ht="12.75"/>
    <row r="326" s="73" customFormat="1" ht="12.75"/>
    <row r="327" s="73" customFormat="1" ht="12.75"/>
    <row r="328" s="73" customFormat="1" ht="12.75"/>
    <row r="329" s="73" customFormat="1" ht="12.75"/>
    <row r="330" s="73" customFormat="1" ht="12.75"/>
    <row r="331" s="73" customFormat="1" ht="12.75"/>
    <row r="332" s="73" customFormat="1" ht="12.75"/>
    <row r="333" s="73" customFormat="1" ht="12.75"/>
    <row r="334" s="73" customFormat="1" ht="12.75"/>
    <row r="335" s="73" customFormat="1" ht="12.75"/>
    <row r="336" s="73" customFormat="1" ht="12.75"/>
    <row r="337" s="73" customFormat="1" ht="12.75"/>
    <row r="338" s="73" customFormat="1" ht="12.75"/>
    <row r="339" s="73" customFormat="1" ht="12.75"/>
    <row r="340" s="73" customFormat="1" ht="12.75"/>
    <row r="341" s="73" customFormat="1" ht="12.75"/>
    <row r="342" s="73" customFormat="1" ht="12.75"/>
    <row r="343" s="73" customFormat="1" ht="12.75"/>
    <row r="344" s="73" customFormat="1" ht="12.75"/>
    <row r="345" s="73" customFormat="1" ht="12.75"/>
    <row r="346" s="73" customFormat="1" ht="12.75"/>
    <row r="347" s="73" customFormat="1" ht="12.75"/>
    <row r="348" s="73" customFormat="1" ht="12.75"/>
    <row r="349" s="73" customFormat="1" ht="12.75"/>
    <row r="350" s="73" customFormat="1" ht="12.75"/>
    <row r="351" s="73" customFormat="1" ht="12.75"/>
    <row r="352" s="73" customFormat="1" ht="12.75"/>
    <row r="353" s="73" customFormat="1" ht="12.75"/>
    <row r="354" s="73" customFormat="1" ht="12.75"/>
    <row r="355" s="73" customFormat="1" ht="12.75"/>
    <row r="356" s="73" customFormat="1" ht="12.75"/>
    <row r="357" s="73" customFormat="1" ht="12.75"/>
    <row r="358" s="73" customFormat="1" ht="12.75"/>
    <row r="359" s="73" customFormat="1" ht="12.75"/>
    <row r="360" s="73" customFormat="1" ht="12.75"/>
    <row r="361" s="73" customFormat="1" ht="12.75"/>
    <row r="362" s="73" customFormat="1" ht="12.75"/>
    <row r="363" s="73" customFormat="1" ht="12.75"/>
    <row r="364" s="73" customFormat="1" ht="12.75"/>
    <row r="365" s="73" customFormat="1" ht="12.75"/>
    <row r="366" s="73" customFormat="1" ht="12.75"/>
    <row r="367" s="73" customFormat="1" ht="12.75"/>
    <row r="368" s="73" customFormat="1" ht="12.75"/>
    <row r="369" s="73" customFormat="1" ht="12.75"/>
    <row r="370" s="73" customFormat="1" ht="12.75"/>
    <row r="371" s="73" customFormat="1" ht="12.75"/>
    <row r="372" s="73" customFormat="1" ht="12.75"/>
    <row r="373" s="73" customFormat="1" ht="12.75"/>
    <row r="374" s="73" customFormat="1" ht="12.75"/>
    <row r="375" s="73" customFormat="1" ht="12.75"/>
    <row r="376" s="73" customFormat="1" ht="12.75"/>
    <row r="377" s="73" customFormat="1" ht="12.75"/>
    <row r="378" s="73" customFormat="1" ht="12.75"/>
    <row r="379" s="73" customFormat="1" ht="12.75"/>
    <row r="380" s="73" customFormat="1" ht="12.75"/>
    <row r="381" s="73" customFormat="1" ht="12.75"/>
    <row r="382" s="73" customFormat="1" ht="12.75"/>
    <row r="383" s="73" customFormat="1" ht="12.75"/>
    <row r="384" s="73" customFormat="1" ht="12.75"/>
    <row r="385" s="73" customFormat="1" ht="12.75"/>
    <row r="386" s="73" customFormat="1" ht="12.75"/>
    <row r="387" s="73" customFormat="1" ht="12.75"/>
    <row r="388" s="73" customFormat="1" ht="12.75"/>
    <row r="389" s="73" customFormat="1" ht="12.75"/>
    <row r="390" s="73" customFormat="1" ht="12.75"/>
    <row r="391" s="73" customFormat="1" ht="12.75"/>
    <row r="392" s="73" customFormat="1" ht="12.75"/>
    <row r="393" s="73" customFormat="1" ht="12.75"/>
    <row r="394" s="73" customFormat="1" ht="12.75"/>
    <row r="395" s="73" customFormat="1" ht="12.75"/>
    <row r="396" s="73" customFormat="1" ht="12.75"/>
    <row r="397" s="73" customFormat="1" ht="12.75"/>
    <row r="398" s="73" customFormat="1" ht="12.75"/>
    <row r="399" s="73" customFormat="1" ht="12.75"/>
    <row r="400" s="73" customFormat="1" ht="12.75"/>
    <row r="401" s="73" customFormat="1" ht="12.75"/>
    <row r="402" s="73" customFormat="1" ht="12.75"/>
    <row r="403" s="73" customFormat="1" ht="12.75"/>
    <row r="404" s="73" customFormat="1" ht="12.75"/>
    <row r="405" s="73" customFormat="1" ht="12.75"/>
    <row r="406" s="73" customFormat="1" ht="12.75"/>
    <row r="407" s="73" customFormat="1" ht="12.75"/>
    <row r="408" s="73" customFormat="1" ht="12.75"/>
    <row r="409" s="73" customFormat="1" ht="12.75"/>
    <row r="410" s="73" customFormat="1" ht="12.75"/>
    <row r="411" s="73" customFormat="1" ht="12.75"/>
    <row r="412" s="73" customFormat="1" ht="12.75"/>
    <row r="413" s="73" customFormat="1" ht="12.75"/>
    <row r="414" s="73" customFormat="1" ht="12.75"/>
    <row r="415" s="73" customFormat="1" ht="12.75"/>
    <row r="416" s="73" customFormat="1" ht="12.75"/>
    <row r="417" s="73" customFormat="1" ht="12.75"/>
    <row r="418" s="73" customFormat="1" ht="12.75"/>
    <row r="419" s="73" customFormat="1" ht="12.75"/>
    <row r="420" s="73" customFormat="1" ht="12.75"/>
    <row r="421" s="73" customFormat="1" ht="12.75"/>
    <row r="422" s="73" customFormat="1" ht="12.75"/>
    <row r="423" s="73" customFormat="1" ht="12.75"/>
    <row r="424" s="73" customFormat="1" ht="12.75"/>
    <row r="425" s="73" customFormat="1" ht="12.75"/>
    <row r="426" s="73" customFormat="1" ht="12.75"/>
    <row r="427" s="73" customFormat="1" ht="12.75"/>
    <row r="428" s="73" customFormat="1" ht="12.75"/>
    <row r="429" s="73" customFormat="1" ht="12.75"/>
    <row r="430" s="73" customFormat="1" ht="12.75"/>
    <row r="431" s="73" customFormat="1" ht="12.75"/>
    <row r="432" s="73" customFormat="1" ht="12.75"/>
    <row r="433" s="73" customFormat="1" ht="12.75"/>
    <row r="434" s="73" customFormat="1" ht="12.75"/>
    <row r="435" s="73" customFormat="1" ht="12.75"/>
    <row r="436" s="73" customFormat="1" ht="12.75"/>
    <row r="437" s="73" customFormat="1" ht="12.75"/>
    <row r="438" s="73" customFormat="1" ht="12.75"/>
    <row r="439" s="73" customFormat="1" ht="12.75"/>
    <row r="440" s="73" customFormat="1" ht="12.75"/>
    <row r="441" s="73" customFormat="1" ht="12.75"/>
    <row r="442" s="73" customFormat="1" ht="12.75"/>
    <row r="443" s="73" customFormat="1" ht="12.75"/>
    <row r="444" s="73" customFormat="1" ht="12.75"/>
    <row r="445" s="73" customFormat="1" ht="12.75"/>
    <row r="446" s="73" customFormat="1" ht="12.75"/>
    <row r="447" s="73" customFormat="1" ht="12.75"/>
    <row r="448" s="73" customFormat="1" ht="12.75"/>
    <row r="449" s="73" customFormat="1" ht="12.75"/>
    <row r="450" s="73" customFormat="1" ht="12.75"/>
    <row r="451" s="73" customFormat="1" ht="12.75"/>
    <row r="452" s="73" customFormat="1" ht="12.75"/>
    <row r="453" s="73" customFormat="1" ht="12.75"/>
    <row r="454" s="73" customFormat="1" ht="12.75"/>
    <row r="455" s="73" customFormat="1" ht="12.75"/>
    <row r="456" s="73" customFormat="1" ht="12.75"/>
    <row r="457" s="73" customFormat="1" ht="12.75"/>
    <row r="458" s="73" customFormat="1" ht="12.75"/>
    <row r="459" s="73" customFormat="1" ht="12.75"/>
    <row r="460" s="73" customFormat="1" ht="12.75"/>
    <row r="461" s="73" customFormat="1" ht="12.75"/>
    <row r="462" s="73" customFormat="1" ht="12.75"/>
    <row r="463" s="73" customFormat="1" ht="12.75"/>
    <row r="464" s="73" customFormat="1" ht="12.75"/>
    <row r="465" s="73" customFormat="1" ht="12.75"/>
    <row r="466" s="73" customFormat="1" ht="12.75"/>
    <row r="467" s="73" customFormat="1" ht="12.75"/>
    <row r="468" s="73" customFormat="1" ht="12.75"/>
    <row r="469" s="73" customFormat="1" ht="12.75"/>
    <row r="470" s="73" customFormat="1" ht="12.75"/>
    <row r="471" s="73" customFormat="1" ht="12.75"/>
    <row r="472" s="73" customFormat="1" ht="12.75"/>
    <row r="473" s="73" customFormat="1" ht="12.75"/>
    <row r="474" s="73" customFormat="1" ht="12.75"/>
    <row r="475" s="73" customFormat="1" ht="12.75"/>
    <row r="476" s="73" customFormat="1" ht="12.75"/>
    <row r="477" s="73" customFormat="1" ht="12.75"/>
    <row r="478" s="73" customFormat="1" ht="12.75"/>
    <row r="479" s="73" customFormat="1" ht="12.75"/>
    <row r="480" s="73" customFormat="1" ht="12.75"/>
    <row r="481" s="73" customFormat="1" ht="12.75"/>
    <row r="482" s="73" customFormat="1" ht="12.75"/>
    <row r="483" s="73" customFormat="1" ht="12.75"/>
    <row r="484" s="73" customFormat="1" ht="12.75"/>
    <row r="485" s="73" customFormat="1" ht="12.75"/>
    <row r="486" s="73" customFormat="1" ht="12.75"/>
    <row r="487" s="73" customFormat="1" ht="12.75"/>
    <row r="488" s="73" customFormat="1" ht="12.75"/>
    <row r="489" s="73" customFormat="1" ht="12.75"/>
    <row r="490" s="73" customFormat="1" ht="12.75"/>
    <row r="491" s="73" customFormat="1" ht="12.75"/>
    <row r="492" s="73" customFormat="1" ht="12.75"/>
    <row r="493" s="73" customFormat="1" ht="12.75"/>
    <row r="494" s="73" customFormat="1" ht="12.75"/>
    <row r="495" s="73" customFormat="1" ht="12.75"/>
    <row r="496" s="73" customFormat="1" ht="12.75"/>
    <row r="497" s="73" customFormat="1" ht="12.75"/>
    <row r="498" s="73" customFormat="1" ht="12.75"/>
    <row r="499" s="73" customFormat="1" ht="12.75"/>
    <row r="500" s="73" customFormat="1" ht="12.75"/>
    <row r="501" s="73" customFormat="1" ht="12.75"/>
    <row r="502" s="73" customFormat="1" ht="12.75"/>
    <row r="503" s="73" customFormat="1" ht="12.75"/>
    <row r="504" s="73" customFormat="1" ht="12.75"/>
    <row r="505" s="73" customFormat="1" ht="12.75"/>
    <row r="506" s="73" customFormat="1" ht="12.75"/>
    <row r="507" s="73" customFormat="1" ht="12.75"/>
    <row r="508" s="73" customFormat="1" ht="12.75"/>
    <row r="509" s="73" customFormat="1" ht="12.75"/>
    <row r="510" s="73" customFormat="1" ht="12.75"/>
    <row r="511" s="73" customFormat="1" ht="12.75"/>
    <row r="512" s="73" customFormat="1" ht="12.75"/>
    <row r="513" s="73" customFormat="1" ht="12.75"/>
    <row r="514" s="73" customFormat="1" ht="12.75"/>
    <row r="515" s="73" customFormat="1" ht="12.75"/>
    <row r="516" s="73" customFormat="1" ht="12.75"/>
    <row r="517" s="73" customFormat="1" ht="12.75"/>
    <row r="518" s="73" customFormat="1" ht="12.75"/>
    <row r="519" s="73" customFormat="1" ht="12.75"/>
    <row r="520" s="73" customFormat="1" ht="12.75"/>
    <row r="521" s="73" customFormat="1" ht="12.75"/>
    <row r="522" s="73" customFormat="1" ht="12.75"/>
    <row r="523" s="73" customFormat="1" ht="12.75"/>
    <row r="524" s="73" customFormat="1" ht="12.75"/>
    <row r="525" s="73" customFormat="1" ht="12.75"/>
    <row r="526" s="73" customFormat="1" ht="12.75"/>
    <row r="527" s="73" customFormat="1" ht="12.75"/>
    <row r="528" s="73" customFormat="1" ht="12.75"/>
    <row r="529" s="73" customFormat="1" ht="12.75"/>
    <row r="530" s="73" customFormat="1" ht="12.75"/>
    <row r="531" s="73" customFormat="1" ht="12.75"/>
    <row r="532" s="73" customFormat="1" ht="12.75"/>
    <row r="533" s="73" customFormat="1" ht="12.75"/>
    <row r="534" s="73" customFormat="1" ht="12.75"/>
    <row r="535" s="73" customFormat="1" ht="12.75"/>
    <row r="536" s="73" customFormat="1" ht="12.75"/>
    <row r="537" s="73" customFormat="1" ht="12.75"/>
    <row r="538" s="73" customFormat="1" ht="12.75"/>
    <row r="539" s="73" customFormat="1" ht="12.75"/>
    <row r="540" s="73" customFormat="1" ht="12.75"/>
    <row r="541" s="73" customFormat="1" ht="12.75"/>
    <row r="542" s="73" customFormat="1" ht="12.75"/>
    <row r="543" s="73" customFormat="1" ht="12.75"/>
    <row r="544" s="73" customFormat="1" ht="12.75"/>
    <row r="545" s="73" customFormat="1" ht="12.75"/>
    <row r="546" s="73" customFormat="1" ht="12.75"/>
    <row r="547" s="73" customFormat="1" ht="12.75"/>
    <row r="548" s="73" customFormat="1" ht="12.75"/>
    <row r="549" s="73" customFormat="1" ht="12.75"/>
    <row r="550" s="73" customFormat="1" ht="12.75"/>
    <row r="551" s="73" customFormat="1" ht="12.75"/>
    <row r="552" s="73" customFormat="1" ht="12.75"/>
    <row r="553" s="73" customFormat="1" ht="12.75"/>
    <row r="554" s="73" customFormat="1" ht="12.75"/>
    <row r="555" s="73" customFormat="1" ht="12.75"/>
    <row r="556" s="73" customFormat="1" ht="12.75"/>
    <row r="557" s="73" customFormat="1" ht="12.75"/>
    <row r="558" s="73" customFormat="1" ht="12.75"/>
    <row r="559" s="73" customFormat="1" ht="12.75"/>
    <row r="560" s="73" customFormat="1" ht="12.75"/>
    <row r="561" s="73" customFormat="1" ht="12.75"/>
    <row r="562" s="73" customFormat="1" ht="12.75"/>
    <row r="563" s="73" customFormat="1" ht="12.75"/>
    <row r="564" s="73" customFormat="1" ht="12.75"/>
    <row r="565" s="73" customFormat="1" ht="12.75"/>
    <row r="566" s="73" customFormat="1" ht="12.75"/>
    <row r="567" s="73" customFormat="1" ht="12.75"/>
    <row r="568" s="73" customFormat="1" ht="12.75"/>
    <row r="569" s="73" customFormat="1" ht="12.75"/>
    <row r="570" s="73" customFormat="1" ht="12.75"/>
    <row r="571" s="73" customFormat="1" ht="12.75"/>
    <row r="572" s="73" customFormat="1" ht="12.75"/>
    <row r="573" s="73" customFormat="1" ht="12.75"/>
    <row r="574" s="73" customFormat="1" ht="12.75"/>
    <row r="575" s="73" customFormat="1" ht="12.75"/>
    <row r="576" s="73" customFormat="1" ht="12.75"/>
    <row r="577" s="73" customFormat="1" ht="12.75"/>
    <row r="578" s="73" customFormat="1" ht="12.75"/>
    <row r="579" s="73" customFormat="1" ht="12.75"/>
    <row r="580" s="73" customFormat="1" ht="12.75"/>
    <row r="581" s="73" customFormat="1" ht="12.75"/>
    <row r="582" s="73" customFormat="1" ht="12.75"/>
    <row r="583" s="73" customFormat="1" ht="12.75"/>
    <row r="584" s="73" customFormat="1" ht="12.75"/>
    <row r="585" s="73" customFormat="1" ht="12.75"/>
    <row r="586" s="73" customFormat="1" ht="12.75"/>
    <row r="587" s="73" customFormat="1" ht="12.75"/>
    <row r="588" s="73" customFormat="1" ht="12.75"/>
    <row r="589" s="73" customFormat="1" ht="12.75"/>
    <row r="590" s="73" customFormat="1" ht="12.75"/>
    <row r="591" s="73" customFormat="1" ht="12.75"/>
    <row r="592" s="73" customFormat="1" ht="12.75"/>
    <row r="593" s="73" customFormat="1" ht="12.75"/>
    <row r="594" s="73" customFormat="1" ht="12.75"/>
    <row r="595" s="73" customFormat="1" ht="12.75"/>
    <row r="596" s="73" customFormat="1" ht="12.75"/>
    <row r="597" s="73" customFormat="1" ht="12.75"/>
    <row r="598" s="73" customFormat="1" ht="12.75"/>
    <row r="599" s="73" customFormat="1" ht="12.75"/>
    <row r="600" s="73" customFormat="1" ht="12.75"/>
    <row r="601" s="73" customFormat="1" ht="12.75"/>
    <row r="602" s="73" customFormat="1" ht="12.75"/>
    <row r="603" s="73" customFormat="1" ht="12.75"/>
    <row r="604" s="73" customFormat="1" ht="12.75"/>
    <row r="605" s="73" customFormat="1" ht="12.75"/>
    <row r="606" s="73" customFormat="1" ht="12.75"/>
    <row r="607" s="73" customFormat="1" ht="12.75"/>
    <row r="608" s="73" customFormat="1" ht="12.75"/>
    <row r="609" s="73" customFormat="1" ht="12.75"/>
    <row r="610" s="73" customFormat="1" ht="12.75"/>
    <row r="611" s="73" customFormat="1" ht="12.75"/>
    <row r="612" s="73" customFormat="1" ht="12.75"/>
    <row r="613" s="73" customFormat="1" ht="12.75"/>
    <row r="614" s="73" customFormat="1" ht="12.75"/>
    <row r="615" s="73" customFormat="1" ht="12.75"/>
    <row r="616" s="73" customFormat="1" ht="12.75"/>
    <row r="617" s="73" customFormat="1" ht="12.75"/>
    <row r="618" s="73" customFormat="1" ht="12.75"/>
    <row r="619" s="73" customFormat="1" ht="12.75"/>
    <row r="620" s="73" customFormat="1" ht="12.75"/>
    <row r="621" s="73" customFormat="1" ht="12.75"/>
    <row r="622" s="73" customFormat="1" ht="12.75"/>
    <row r="623" s="73" customFormat="1" ht="12.75"/>
    <row r="624" s="73" customFormat="1" ht="12.75"/>
    <row r="625" s="73" customFormat="1" ht="12.75"/>
    <row r="626" s="73" customFormat="1" ht="12.75"/>
    <row r="627" s="73" customFormat="1" ht="12.75"/>
    <row r="628" s="73" customFormat="1" ht="12.75"/>
    <row r="629" s="73" customFormat="1" ht="12.75"/>
    <row r="630" s="73" customFormat="1" ht="12.75"/>
    <row r="631" s="73" customFormat="1" ht="12.75"/>
    <row r="632" s="73" customFormat="1" ht="12.75"/>
    <row r="633" s="73" customFormat="1" ht="12.75"/>
    <row r="634" s="73" customFormat="1" ht="12.75"/>
    <row r="635" s="73" customFormat="1" ht="12.75"/>
  </sheetData>
  <sheetProtection algorithmName="SHA-512" hashValue="ATxmmeEU9l1eWPN6+B+CyF2v+6Wr1vNF8n4ygDSehzHCL/r5vTamiGpE582vvpj2gx8LWGoqiXub2u+xl9sv9A==" saltValue="jcMNOh/39nruwqC3N2nxRA==" spinCount="100000" sheet="1" objects="1" scenarios="1"/>
  <mergeCells count="132">
    <mergeCell ref="H23:K23"/>
    <mergeCell ref="B20:C20"/>
    <mergeCell ref="B25:C25"/>
    <mergeCell ref="D25:G25"/>
    <mergeCell ref="H25:K25"/>
    <mergeCell ref="B29:C29"/>
    <mergeCell ref="D29:G29"/>
    <mergeCell ref="H29:K29"/>
    <mergeCell ref="B24:C24"/>
    <mergeCell ref="H24:K24"/>
    <mergeCell ref="B28:C28"/>
    <mergeCell ref="A27:K27"/>
    <mergeCell ref="A13:K13"/>
    <mergeCell ref="B16:C16"/>
    <mergeCell ref="B36:C36"/>
    <mergeCell ref="B14:C15"/>
    <mergeCell ref="H26:K26"/>
    <mergeCell ref="H31:K31"/>
    <mergeCell ref="B31:C31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17:C17"/>
    <mergeCell ref="D16:E16"/>
    <mergeCell ref="D18:E18"/>
    <mergeCell ref="E2:G2"/>
    <mergeCell ref="B23:C23"/>
    <mergeCell ref="B21:C21"/>
    <mergeCell ref="D20:E20"/>
    <mergeCell ref="A22:K22"/>
    <mergeCell ref="E7:G7"/>
    <mergeCell ref="E8:G8"/>
    <mergeCell ref="E9:G9"/>
    <mergeCell ref="E11:G11"/>
    <mergeCell ref="E12:G12"/>
    <mergeCell ref="D23:G23"/>
    <mergeCell ref="D19:E19"/>
    <mergeCell ref="D17:E17"/>
    <mergeCell ref="D14:E15"/>
    <mergeCell ref="F14:G14"/>
    <mergeCell ref="F16:G16"/>
    <mergeCell ref="I9:K9"/>
    <mergeCell ref="I10:K10"/>
    <mergeCell ref="B10:C10"/>
    <mergeCell ref="E10:G10"/>
    <mergeCell ref="B18:C18"/>
    <mergeCell ref="H14:I14"/>
    <mergeCell ref="B8:C8"/>
    <mergeCell ref="I12:K12"/>
    <mergeCell ref="H45:K45"/>
    <mergeCell ref="B43:C43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21:E21"/>
    <mergeCell ref="J14:K14"/>
    <mergeCell ref="H16:I16"/>
    <mergeCell ref="B19:C19"/>
    <mergeCell ref="E1:G1"/>
    <mergeCell ref="I7:K7"/>
    <mergeCell ref="I8:K8"/>
    <mergeCell ref="I11:K11"/>
    <mergeCell ref="B9:C9"/>
    <mergeCell ref="B11:C11"/>
    <mergeCell ref="J16:K16"/>
    <mergeCell ref="B12:C12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E6:G6"/>
    <mergeCell ref="B2:C2"/>
    <mergeCell ref="B3:C3"/>
    <mergeCell ref="B33:C33"/>
    <mergeCell ref="H38:K38"/>
    <mergeCell ref="H36:K36"/>
    <mergeCell ref="D44:G44"/>
    <mergeCell ref="B37:C37"/>
    <mergeCell ref="B38:C38"/>
    <mergeCell ref="D34:G34"/>
    <mergeCell ref="D35:G35"/>
    <mergeCell ref="D36:G36"/>
    <mergeCell ref="D37:G37"/>
    <mergeCell ref="D38:G38"/>
    <mergeCell ref="D40:G40"/>
    <mergeCell ref="D41:G41"/>
    <mergeCell ref="D42:G42"/>
    <mergeCell ref="D43:G43"/>
    <mergeCell ref="A39:K39"/>
    <mergeCell ref="B34:C34"/>
    <mergeCell ref="B35:C35"/>
    <mergeCell ref="H37:K37"/>
    <mergeCell ref="A14:A16"/>
    <mergeCell ref="B7:C7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FU</vt:lpstr>
      <vt:lpstr>XML export</vt:lpstr>
      <vt:lpstr>UVOD</vt:lpstr>
      <vt:lpstr>XML_export</vt:lpstr>
      <vt:lpstr>Moje daně</vt:lpstr>
      <vt:lpstr>ZAKL_DATA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SP1</vt:lpstr>
      <vt:lpstr>SP2</vt:lpstr>
      <vt:lpstr>SP_zam</vt:lpstr>
      <vt:lpstr>SP_stud</vt:lpstr>
      <vt:lpstr>SP_prijem</vt:lpstr>
      <vt:lpstr>VZP</vt:lpstr>
      <vt:lpstr>Ostatní ZP</vt:lpstr>
      <vt:lpstr>Zálohy</vt:lpstr>
      <vt:lpstr>Účetní_závěrka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2022-12-17T17:56:20Z</cp:lastPrinted>
  <dcterms:created xsi:type="dcterms:W3CDTF">2000-01-30T17:10:20Z</dcterms:created>
  <dcterms:modified xsi:type="dcterms:W3CDTF">2023-03-09T13:13:45Z</dcterms:modified>
  <cp:category/>
</cp:coreProperties>
</file>