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D:\DATA\PRIZNANI\TODO\ROZPRACOVANE\"/>
    </mc:Choice>
  </mc:AlternateContent>
  <bookViews>
    <workbookView xWindow="-120" yWindow="-120" windowWidth="29040" windowHeight="15720" tabRatio="889" firstSheet="2" activeTab="2"/>
  </bookViews>
  <sheets>
    <sheet name="FU" sheetId="61" state="hidden" r:id="rId3"/>
    <sheet name="XML export" sheetId="62" state="hidden" r:id="rId4"/>
    <sheet name="UVOD" sheetId="79" r:id="rId5"/>
    <sheet name="XML_export" sheetId="76" r:id="rId6"/>
    <sheet name="Moje daně" sheetId="78" r:id="rId7"/>
    <sheet name="ZAKL_DATA" sheetId="57" r:id="rId8"/>
    <sheet name="DAP1" sheetId="1" r:id="rId9"/>
    <sheet name="DAP2" sheetId="30" r:id="rId10"/>
    <sheet name="DAP3" sheetId="31" r:id="rId11"/>
    <sheet name="DAP4" sheetId="32" r:id="rId12"/>
    <sheet name="ZAV" sheetId="27" r:id="rId13"/>
    <sheet name="1Př1" sheetId="33" r:id="rId14"/>
    <sheet name="1Př2" sheetId="34" r:id="rId15"/>
    <sheet name="2Př" sheetId="35" r:id="rId16"/>
    <sheet name="3Př" sheetId="38" r:id="rId17"/>
    <sheet name="4Př" sheetId="74" r:id="rId18"/>
    <sheet name="3Př_a" sheetId="54" r:id="rId19"/>
    <sheet name="6Př" sheetId="53" r:id="rId20"/>
    <sheet name="Př_b" sheetId="55" r:id="rId21"/>
    <sheet name="Příl_děti" sheetId="75" r:id="rId22"/>
    <sheet name="Potvr_ZAM" sheetId="66" r:id="rId23"/>
    <sheet name="Prohl_manž" sheetId="67" r:id="rId24"/>
    <sheet name="Zálohy" sheetId="80" r:id="rId25"/>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fin_ur" localSheetId="4">[1]FU!$B$3:$B$17</definedName>
    <definedName name="fin_ur" localSheetId="20">[2]FU!$B$3:$B$17</definedName>
    <definedName name="fin_ur" localSheetId="21">[2]FU!$B$3:$B$17</definedName>
    <definedName name="fin_ur" localSheetId="19">[3]FU!$B$3:$B$17</definedName>
    <definedName name="fin_ur" localSheetId="2">[4]FU!$B$3:$B$17</definedName>
    <definedName name="fin_ur" localSheetId="3">[1]FU!$B$3:$B$17</definedName>
    <definedName name="fin_ur" localSheetId="22">[5]FU!$B$3:$B$17</definedName>
    <definedName name="fin_ur">FU!$B$3:$B$17</definedName>
    <definedName name="_xlnm.Print_Area" localSheetId="11">'1Př1'!$A$1:$K$38</definedName>
    <definedName name="_xlnm.Print_Area" localSheetId="12">'1Př2'!$A$1:$G$50</definedName>
    <definedName name="_xlnm.Print_Area" localSheetId="13">'2Př'!$A$1:$J$40</definedName>
    <definedName name="_xlnm.Print_Area" localSheetId="14">'3Př'!$A$1:$G$34</definedName>
    <definedName name="_xlnm.Print_Area" localSheetId="16">'3Př_a'!$A$1:$G$23</definedName>
    <definedName name="_xlnm.Print_Area" localSheetId="15">'4Př'!$A$1:$G$25</definedName>
    <definedName name="_xlnm.Print_Area" localSheetId="17">'6Př'!$A$1:$F$36</definedName>
    <definedName name="_xlnm.Print_Area" localSheetId="6">'DAP1'!$A$1:$L$48</definedName>
    <definedName name="_xlnm.Print_Area" localSheetId="7">'DAP2'!$A$1:$J$46</definedName>
    <definedName name="_xlnm.Print_Area" localSheetId="8">'DAP3'!$A$1:$K$49</definedName>
    <definedName name="_xlnm.Print_Area" localSheetId="9">'DAP4'!$A$1:$K$62</definedName>
    <definedName name="_xlnm.Print_Area" localSheetId="4">'Moje daně'!$A$1:$B$28</definedName>
    <definedName name="_xlnm.Print_Area" localSheetId="20">Potvr_ZAM!$A$1:$G$52</definedName>
    <definedName name="_xlnm.Print_Area" localSheetId="21">Prohl_manž!$A$1:$E$24</definedName>
    <definedName name="_xlnm.Print_Area" localSheetId="18">Př_b!$A$1:$F$36</definedName>
    <definedName name="_xlnm.Print_Area" localSheetId="19">Příl_děti!$A$1:$K$15</definedName>
    <definedName name="_xlnm.Print_Area" localSheetId="2">UVOD!$A$1:$J$29</definedName>
    <definedName name="_xlnm.Print_Area" localSheetId="3">XML_export!$A$1:$B$25</definedName>
    <definedName name="_xlnm.Print_Area" localSheetId="5">ZAKL_DATA!$A$1:$E$42</definedName>
    <definedName name="_xlnm.Print_Area" localSheetId="22">Zálohy!$A$1:$B$20</definedName>
    <definedName name="_xlnm.Print_Area" localSheetId="10">ZAV!$A$2:$C$49</definedName>
    <definedName name="staty" localSheetId="4">[1]FU!$J$3:$J$253</definedName>
    <definedName name="staty" localSheetId="20">[2]FU!$J$3:$J$253</definedName>
    <definedName name="staty" localSheetId="21">[2]FU!$J$3:$J$253</definedName>
    <definedName name="staty" localSheetId="19">[3]FU!$J$3:$J$253</definedName>
    <definedName name="staty" localSheetId="2">[4]FU!$J$3:$J$253</definedName>
    <definedName name="staty" localSheetId="3">[1]FU!$J$3:$J$253</definedName>
    <definedName name="staty" localSheetId="22">[5]FU!$J$3:$J$253</definedName>
    <definedName name="staty">FU!$J$3:$J$253</definedName>
    <definedName name="validation_list">OFFSET('[6]Obory činnosti'!$E$2,,,COUNTIF('[6]Obory činnosti'!$E$2:$E$1750,"?*"))</definedName>
    <definedName name="validation_list2" localSheetId="4">OFFSET('[7]Finanční úřady'!$H$3,,,COUNTIF('[7]Finanční úřady'!$H$3:$H$204,"?*"))</definedName>
    <definedName name="validation_list2" localSheetId="20">OFFSET([2]FU!$H$3,,,COUNTIF([2]FU!$H$3:$H$204,"?*"))</definedName>
    <definedName name="validation_list2" localSheetId="21">OFFSET([2]FU!$H$3,,,COUNTIF([2]FU!$H$3:$H$204,"?*"))</definedName>
    <definedName name="validation_list2" localSheetId="19">OFFSET([3]FU!$H$3,,,COUNTIF([3]FU!$H$3:$H$204,"?*"))</definedName>
    <definedName name="validation_list2" localSheetId="2">OFFSET([4]FU!$H$3,,,COUNTIF([4]FU!$H$3:$H$204,"?*"))</definedName>
    <definedName name="validation_list2" localSheetId="3">OFFSET('[7]Finanční úřady'!$H$3,,,COUNTIF('[7]Finanční úřady'!$H$3:$H$204,"?*"))</definedName>
    <definedName name="validation_list2" localSheetId="22">OFFSET([5]FU!$H$3,,,COUNTIF([5]FU!$H$3:$H$204,"?*"))</definedName>
    <definedName name="validation_list2">OFFSET(FU!$H$3,,,COUNTIF(FU!$H$3:$H$204,"?*"))</definedName>
    <definedName name="vl_cinnosti" localSheetId="4">OFFSET([1]FU!$Q$3,,,COUNTIF([1]FU!$Q$3:$Q$1699,"?*"))</definedName>
    <definedName name="vl_cinnosti" localSheetId="20">OFFSET([2]FU!$Q$3,,,COUNTIF([2]FU!$Q$3:$Q$1699,"?*"))</definedName>
    <definedName name="vl_cinnosti" localSheetId="21">OFFSET([2]FU!$Q$3,,,COUNTIF([2]FU!$Q$3:$Q$1699,"?*"))</definedName>
    <definedName name="vl_cinnosti" localSheetId="19">OFFSET([3]FU!$Q$3,,,COUNTIF([3]FU!$Q$3:$Q$1699,"?*"))</definedName>
    <definedName name="vl_cinnosti" localSheetId="2">OFFSET([4]FU!$Q$3,,,COUNTIF([4]FU!$Q$3:$Q$1699,"?*"))</definedName>
    <definedName name="vl_cinnosti" localSheetId="3">OFFSET([1]FU!$Q$3,,,COUNTIF([1]FU!$Q$3:$Q$1699,"?*"))</definedName>
    <definedName name="vl_cinnosti" localSheetId="22">OFFSET([5]FU!$Q$3,,,COUNTIF([5]FU!$Q$3:$Q$1699,"?*"))</definedName>
    <definedName name="vl_cinnosti">OFFSET(FU!$Q$3,,,COUNTIF(FU!$Q$3:$Q$1425,"?*"))</definedName>
    <definedName name="vl_cinnosti2" localSheetId="4">OFFSET([8]FU!$Q$3,,,COUNTIF([8]FU!$T$3:$T$992,"?*"))</definedName>
    <definedName name="vl_cinnosti2" localSheetId="20">OFFSET([2]FU!$Q$3,,,COUNTIF([2]FU!$T$3:$T$992,"?*"))</definedName>
    <definedName name="vl_cinnosti2" localSheetId="21">OFFSET([2]FU!$Q$3,,,COUNTIF([2]FU!$T$3:$T$992,"?*"))</definedName>
    <definedName name="vl_cinnosti2" localSheetId="19">OFFSET([3]FU!$Q$3,,,COUNTIF([3]FU!$T$3:$T$992,"?*"))</definedName>
    <definedName name="vl_cinnosti2" localSheetId="2">OFFSET([4]FU!$Q$3,,,COUNTIF([4]FU!$T$3:$T$992,"?*"))</definedName>
    <definedName name="vl_cinnosti2" localSheetId="3">OFFSET([8]FU!$Q$3,,,COUNTIF([8]FU!$T$3:$T$992,"?*"))</definedName>
    <definedName name="vl_cinnosti2" localSheetId="22">OFFSET([9]FU!$Q$3,,,COUNTIF([9]FU!$T$3:$T$992,"?*"))</definedName>
    <definedName name="vl_cinnosti2">OFFSET(FU!$Q$3,,,COUNTIF(FU!$T$3:$T$718,"?*"))</definedName>
    <definedName name="vl_cinnosti3" localSheetId="4">OFFSET([8]FU!$Q$3,,,COUNTIF([8]FU!$W$3:$W$992,"?*"))</definedName>
    <definedName name="vl_cinnosti3" localSheetId="20">OFFSET([2]FU!$Q$3,,,COUNTIF([2]FU!$W$3:$W$992,"?*"))</definedName>
    <definedName name="vl_cinnosti3" localSheetId="21">OFFSET([2]FU!$Q$3,,,COUNTIF([2]FU!$W$3:$W$992,"?*"))</definedName>
    <definedName name="vl_cinnosti3" localSheetId="19">OFFSET([3]FU!$Q$3,,,COUNTIF([3]FU!$W$3:$W$992,"?*"))</definedName>
    <definedName name="vl_cinnosti3" localSheetId="2">OFFSET([4]FU!$Q$3,,,COUNTIF([4]FU!$W$3:$W$992,"?*"))</definedName>
    <definedName name="vl_cinnosti3" localSheetId="3">OFFSET([8]FU!$Q$3,,,COUNTIF([8]FU!$W$3:$W$992,"?*"))</definedName>
    <definedName name="vl_cinnosti3" localSheetId="22">OFFSET([9]FU!$Q$3,,,COUNTIF([9]FU!$W$3:$W$992,"?*"))</definedName>
    <definedName name="vl_cinnosti3">OFFSET(FU!$Q$3,,,COUNTIF(FU!$W$3:$W$718,"?*"))</definedName>
    <definedName name="vl_cinnosti4" localSheetId="4">OFFSET([8]FU!$Q$3,,,COUNTIF([8]FU!$Z$3:$Z$992,"?*"))</definedName>
    <definedName name="vl_cinnosti4" localSheetId="20">OFFSET([2]FU!$Q$3,,,COUNTIF([2]FU!$Z$3:$Z$992,"?*"))</definedName>
    <definedName name="vl_cinnosti4" localSheetId="21">OFFSET([2]FU!$Q$3,,,COUNTIF([2]FU!$Z$3:$Z$992,"?*"))</definedName>
    <definedName name="vl_cinnosti4" localSheetId="19">OFFSET([3]FU!$Q$3,,,COUNTIF([3]FU!$Z$3:$Z$992,"?*"))</definedName>
    <definedName name="vl_cinnosti4" localSheetId="2">OFFSET([4]FU!$Q$3,,,COUNTIF([4]FU!$Z$3:$Z$992,"?*"))</definedName>
    <definedName name="vl_cinnosti4" localSheetId="3">OFFSET([8]FU!$Q$3,,,COUNTIF([8]FU!$Z$3:$Z$992,"?*"))</definedName>
    <definedName name="vl_cinnosti4" localSheetId="22">OFFSET([9]FU!$Q$3,,,COUNTIF([9]FU!$Z$3:$Z$992,"?*"))</definedName>
    <definedName name="vl_cinnosti4">OFFSET(FU!$Q$3,,,COUNTIF(FU!$Z$3:$Z$718,"?*"))</definedName>
    <definedName name="VL_Obec" localSheetId="22">OFFSET([5]FU!$T$3,,,COUNTIF([5]FU!$T$3:$T$6255,"?*"))</definedName>
    <definedName name="VL_Obec">OFFSET([5]FU!$T$3,,,COUNTIF([5]FU!$T$3:$T$6255,"?*"))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61"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30" authorId="0" shapeId="0" xr:uid="{00000000-0006-0000-09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B00-00000100000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shapeId="0" xr:uid="{00000000-0006-0000-0B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7" authorId="1" shapeId="0" xr:uid="{00000000-0006-0000-0B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C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C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D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2" authorId="0" shapeId="0" xr:uid="{00000000-0006-0000-1300-000001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5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5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5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5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5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5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Stepan</author>
    <author>Martin Štěpán</author>
  </authors>
  <commentList>
    <comment ref="E11" authorId="0" shapeId="0" xr:uid="{00000000-0006-0000-07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2" authorId="0" shapeId="0" xr:uid="{00000000-0006-0000-07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3" authorId="0" shapeId="0" xr:uid="{00000000-0006-0000-07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4" authorId="0" shapeId="0" xr:uid="{00000000-0006-0000-07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6" authorId="0" shapeId="0" xr:uid="{00000000-0006-0000-07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 ref="H45" authorId="1" shapeId="0" xr:uid="{00000000-0006-0000-0700-000006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4" authorId="0" shapeId="0" xr:uid="{00000000-0006-0000-0800-000001000000}">
      <text>
        <r>
          <rPr>
            <b/>
            <sz val="9"/>
            <rFont val="Tahoma"/>
            <family val="2"/>
            <charset val="-18"/>
          </rPr>
          <t>Martin Štěpán:</t>
        </r>
        <r>
          <rPr>
            <sz val="9"/>
            <rFont val="Tahoma"/>
            <family val="2"/>
            <charset val="-18"/>
          </rPr>
          <t xml:space="preserve">
Rodné číslo je potřeba uvést bez lomítek</t>
        </r>
      </text>
    </comment>
    <comment ref="D29" authorId="0" shapeId="0" xr:uid="{00000000-0006-0000-0800-000002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2025 v hodnotě 20.800,- Kč.</t>
        </r>
      </text>
    </comment>
  </commentList>
</comments>
</file>

<file path=xl/sharedStrings.xml><?xml version="1.0" encoding="utf-8"?>
<sst xmlns="http://schemas.openxmlformats.org/spreadsheetml/2006/main" count="5853" uniqueCount="3632">
  <si>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</si>
  <si>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</si>
  <si>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</si>
  <si>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</si>
  <si>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</si>
  <si>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</si>
  <si>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</si>
  <si>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</si>
  <si>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</si>
  <si>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</si>
  <si>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</si>
  <si>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</si>
  <si>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</si>
  <si>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</si>
  <si>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</si>
  <si>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</si>
  <si>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</si>
  <si>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</si>
  <si>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</si>
  <si>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</si>
  <si>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</si>
  <si>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</si>
  <si>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</si>
  <si>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</si>
  <si>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</si>
  <si>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</si>
  <si>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</si>
  <si>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</si>
  <si>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</si>
  <si>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</si>
  <si>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</si>
  <si>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</si>
  <si>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</si>
  <si>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</si>
  <si>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</si>
  <si>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</si>
  <si>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</si>
  <si>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</si>
  <si>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</si>
  <si>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PSČ</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</si>
  <si>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</si>
  <si>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</si>
  <si>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</si>
  <si>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</si>
  <si>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</si>
  <si>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</si>
  <si>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</si>
  <si>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</si>
  <si>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</si>
  <si>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</si>
  <si>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</si>
  <si>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</si>
  <si>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</si>
  <si>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</si>
  <si>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</si>
  <si>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</si>
  <si>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</si>
  <si>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21 Číslo pop./or.</t>
  </si>
  <si>
    <t>Daň zaplacená v zahraničí podle § 6 odst. 13 zákona</t>
  </si>
  <si>
    <t>69a</t>
  </si>
  <si>
    <t>písm. a) zákona (základní sleva na poplatníka)</t>
  </si>
  <si>
    <t>písm. b) zákona (sleva na manželku/manžela)</t>
  </si>
  <si>
    <t>písm. b) zákona (sleva na manželku/manžela, která/který je držitelem ZTP/P)</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</si>
  <si>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</si>
  <si>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</si>
  <si>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</si>
  <si>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</si>
  <si>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</si>
  <si>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</si>
  <si>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</si>
  <si>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</si>
  <si>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</si>
  <si>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</si>
  <si>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</si>
  <si>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</si>
  <si>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</si>
  <si>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</si>
  <si>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</si>
  <si>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Zaplacená daňová povinnost (záloha) podle § 38gb odst. 2 zákona</t>
  </si>
  <si>
    <t>Formulář zpracovala ASPEKT HM, daňová, účetní a auditorská kancelář, Bělohorská 39, Praha 6-Břevnov, www.aspekthm.cz</t>
  </si>
  <si>
    <t>Formulář zpracovala ASPEKT HM, daňová, účetní a auditorská kancelář pro server business.center.cz</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</si>
  <si>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</si>
  <si>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</si>
  <si>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</si>
  <si>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</si>
  <si>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</si>
  <si>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</si>
  <si>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</si>
  <si>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</si>
  <si>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</si>
  <si>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</si>
  <si>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</si>
  <si>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</si>
  <si>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</si>
  <si>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</si>
  <si>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</si>
  <si>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</si>
  <si>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</si>
  <si>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Rozdíl mezi příjmy a výdaji</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</si>
  <si>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</si>
  <si>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</si>
  <si>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</si>
  <si>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Dílčí základ daně připadající na ostatní příjmy podle § 10 zákona  (ř. 207 - ř. 208)</t>
  </si>
  <si>
    <t>S E Z N A M</t>
  </si>
  <si>
    <t xml:space="preserve">Úhrn řádků (ř. 37 + ř. 38 + ř. 39 + ř. 40). </t>
  </si>
  <si>
    <t>Daň podle § 16 zákona</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</si>
  <si>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</si>
  <si>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</si>
  <si>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</si>
  <si>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</si>
  <si>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</si>
  <si>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</si>
  <si>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</si>
  <si>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</si>
  <si>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</si>
  <si>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</si>
  <si>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</si>
  <si>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</si>
  <si>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</si>
  <si>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</si>
  <si>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</si>
  <si>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</si>
  <si>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</si>
  <si>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</si>
  <si>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</si>
  <si>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</si>
  <si>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</si>
  <si>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</si>
  <si>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</si>
  <si>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</si>
  <si>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</si>
  <si>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</si>
  <si>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</si>
  <si>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</si>
  <si>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</si>
  <si>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</si>
  <si>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</si>
  <si>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</si>
  <si>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</si>
  <si>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Finančnímu úřadu pro / Specializovanému finančnímu úřadu</t>
  </si>
  <si>
    <t>Územnímu pracovišti v, ve, pro,</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</si>
  <si>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</si>
  <si>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</si>
  <si>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(neobsazeno)</t>
  </si>
  <si>
    <t xml:space="preserve">přeplatku na dani z příjmů fyzických osob  </t>
  </si>
  <si>
    <t>CZ - NACE</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</si>
  <si>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</si>
  <si>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</si>
  <si>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</si>
  <si>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</si>
  <si>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</si>
  <si>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</si>
  <si>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</si>
  <si>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</si>
  <si>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</si>
  <si>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</si>
  <si>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</si>
  <si>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</si>
  <si>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</si>
  <si>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</si>
  <si>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</si>
  <si>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</si>
  <si>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</si>
  <si>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</si>
  <si>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</si>
  <si>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</si>
  <si>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</si>
  <si>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</si>
  <si>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</si>
  <si>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</si>
  <si>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</si>
  <si>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</si>
  <si>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</si>
  <si>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</si>
  <si>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</si>
  <si>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</si>
  <si>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</si>
  <si>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</si>
  <si>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</si>
  <si>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</si>
  <si>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</si>
  <si>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</si>
  <si>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</si>
  <si>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</si>
  <si>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</si>
  <si>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č.</t>
  </si>
  <si>
    <t>specifický symbol</t>
  </si>
  <si>
    <t>Počet měsíců</t>
  </si>
  <si>
    <t>Dílčí základ daně z kapitálového majetku podle § 8 zákona</t>
  </si>
  <si>
    <t>ano</t>
  </si>
  <si>
    <r>
      <t xml:space="preserve">03 DAP </t>
    </r>
    <r>
      <rPr>
        <vertAlign val="superscript"/>
        <sz val="8"/>
        <rFont val="Arial CE"/>
        <family val="2"/>
        <charset val="-18"/>
      </rPr>
      <t>1)</t>
    </r>
  </si>
  <si>
    <t>Důvody pro podání dodatečného                                                       DAP zjištěny dne</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</si>
  <si>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</si>
  <si>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</si>
  <si>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</si>
  <si>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</si>
  <si>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Roční úhrn čistého obratu</t>
  </si>
  <si>
    <t>Otisk podacího razítka finančního úřadu</t>
  </si>
  <si>
    <t>Formulář zpracovala ASPEKT HM, daňová, účetní a auditorská kancelář, www.danovapriznani.cz, business.center.cz</t>
  </si>
  <si>
    <t>DIČ (RČ)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</si>
  <si>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</si>
  <si>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</si>
  <si>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</si>
  <si>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</si>
  <si>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</si>
  <si>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</si>
  <si>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</si>
  <si>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</si>
  <si>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</si>
  <si>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</si>
  <si>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</si>
  <si>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</si>
  <si>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</si>
  <si>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</si>
  <si>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</si>
  <si>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</si>
  <si>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</si>
  <si>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</si>
  <si>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</si>
  <si>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</si>
  <si>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</si>
  <si>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</si>
  <si>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</si>
  <si>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</si>
  <si>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</si>
  <si>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</si>
  <si>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</si>
  <si>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</si>
  <si>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</si>
  <si>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</si>
  <si>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</si>
  <si>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</si>
  <si>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</si>
  <si>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Datum přerušení činnosti</t>
  </si>
  <si>
    <t>Datum ukončení činnosti</t>
  </si>
  <si>
    <t>Datum obnovení činnosti</t>
  </si>
  <si>
    <t>PŘÍLOHA č. 1</t>
  </si>
  <si>
    <t>( 1 )</t>
  </si>
  <si>
    <t>( 2 )</t>
  </si>
  <si>
    <t>4. ODDÍL - Daň celkem, ztráta</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</si>
  <si>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</si>
  <si>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</si>
  <si>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</si>
  <si>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</si>
  <si>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</si>
  <si>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</si>
  <si>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</si>
  <si>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</si>
  <si>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</si>
  <si>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</si>
  <si>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</si>
  <si>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</si>
  <si>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</si>
  <si>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</si>
  <si>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</si>
  <si>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</si>
  <si>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</si>
  <si>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</si>
  <si>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</si>
  <si>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</si>
  <si>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</si>
  <si>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</si>
  <si>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</si>
  <si>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</si>
  <si>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</si>
  <si>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</si>
  <si>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</si>
  <si>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</si>
  <si>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</si>
  <si>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</si>
  <si>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</si>
  <si>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</si>
  <si>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</si>
  <si>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</si>
  <si>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Datum</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</si>
  <si>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</si>
  <si>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</si>
  <si>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</si>
  <si>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</si>
  <si>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</si>
  <si>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</si>
  <si>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</si>
  <si>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</si>
  <si>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</si>
  <si>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</si>
  <si>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</si>
  <si>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</si>
  <si>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</si>
  <si>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</si>
  <si>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</si>
  <si>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</si>
  <si>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</si>
  <si>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</si>
  <si>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</si>
  <si>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</si>
  <si>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</si>
  <si>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</si>
  <si>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</si>
  <si>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</si>
  <si>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</si>
  <si>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</si>
  <si>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</si>
  <si>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</si>
  <si>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</si>
  <si>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</si>
  <si>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</si>
  <si>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</si>
  <si>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</si>
  <si>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</si>
  <si>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</si>
  <si>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</si>
  <si>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</si>
  <si>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</si>
  <si>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</si>
  <si>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</si>
  <si>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</si>
  <si>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</si>
  <si>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</si>
  <si>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</si>
  <si>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</si>
  <si>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</si>
  <si>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</si>
  <si>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</si>
  <si>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</si>
  <si>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</si>
  <si>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</si>
  <si>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</si>
  <si>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</si>
  <si>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</si>
  <si>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</si>
  <si>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</si>
  <si>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</si>
  <si>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</si>
  <si>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</si>
  <si>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</si>
  <si>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</si>
  <si>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</si>
  <si>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</si>
  <si>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</si>
  <si>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</si>
  <si>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</si>
  <si>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</si>
  <si>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</si>
  <si>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</si>
  <si>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</si>
  <si>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</si>
  <si>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</si>
  <si>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</si>
  <si>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</si>
  <si>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</si>
  <si>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</si>
  <si>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</si>
  <si>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</si>
  <si>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</si>
  <si>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</si>
  <si>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</si>
  <si>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</si>
  <si>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</si>
  <si>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</si>
  <si>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</si>
  <si>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</si>
  <si>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</si>
  <si>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</si>
  <si>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</si>
  <si>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</si>
  <si>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</si>
  <si>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</si>
  <si>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</si>
  <si>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</si>
  <si>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</si>
  <si>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</si>
  <si>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</si>
  <si>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</si>
  <si>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</si>
  <si>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</si>
  <si>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</si>
  <si>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</si>
  <si>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</si>
  <si>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</si>
  <si>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</si>
  <si>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</si>
  <si>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</si>
  <si>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</si>
  <si>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</si>
  <si>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</si>
  <si>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</si>
  <si>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</si>
  <si>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</si>
  <si>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</si>
  <si>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</si>
  <si>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</si>
  <si>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</si>
  <si>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</si>
  <si>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</si>
  <si>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</si>
  <si>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</si>
  <si>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</si>
  <si>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</si>
  <si>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</si>
  <si>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</si>
  <si>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</si>
  <si>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</si>
  <si>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</si>
  <si>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</si>
  <si>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</si>
  <si>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</si>
  <si>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</si>
  <si>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</si>
  <si>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</si>
  <si>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</si>
  <si>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</si>
  <si>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</si>
  <si>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</si>
  <si>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</si>
  <si>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</si>
  <si>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</si>
  <si>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</si>
  <si>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</si>
  <si>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</si>
  <si>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</si>
  <si>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</si>
  <si>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</si>
  <si>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</si>
  <si>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</si>
  <si>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</si>
  <si>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</si>
  <si>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</si>
  <si>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</si>
  <si>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</si>
  <si>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</si>
  <si>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</si>
  <si>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</si>
  <si>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</si>
  <si>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</si>
  <si>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</si>
  <si>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</si>
  <si>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</si>
  <si>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</si>
  <si>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</si>
  <si>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</si>
  <si>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</si>
  <si>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</si>
  <si>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</si>
  <si>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</si>
  <si>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</si>
  <si>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</si>
  <si>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</si>
  <si>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</si>
  <si>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</si>
  <si>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</si>
  <si>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</si>
  <si>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</si>
  <si>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</si>
  <si>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</si>
  <si>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</si>
  <si>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</si>
  <si>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</si>
  <si>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</si>
  <si>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</si>
  <si>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</si>
  <si>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</si>
  <si>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</si>
  <si>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</si>
  <si>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</si>
  <si>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</si>
  <si>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</si>
  <si>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</si>
  <si>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</si>
  <si>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</si>
  <si>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</si>
  <si>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</si>
  <si>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</si>
  <si>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</si>
  <si>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</si>
  <si>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</si>
  <si>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</si>
  <si>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</si>
  <si>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</si>
  <si>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</si>
  <si>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</si>
  <si>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</si>
  <si>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</si>
  <si>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</si>
  <si>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</si>
  <si>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</si>
  <si>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</si>
  <si>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</si>
  <si>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</si>
  <si>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</si>
  <si>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</si>
  <si>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</si>
  <si>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</si>
  <si>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</si>
  <si>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</si>
  <si>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</si>
  <si>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</si>
  <si>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</si>
  <si>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</si>
  <si>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</si>
  <si>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</si>
  <si>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</si>
  <si>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</si>
  <si>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</si>
  <si>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</si>
  <si>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</si>
  <si>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</si>
  <si>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</si>
  <si>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</si>
  <si>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</si>
  <si>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</si>
  <si>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</si>
  <si>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</si>
  <si>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</si>
  <si>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</si>
  <si>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</si>
  <si>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</si>
  <si>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</si>
  <si>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</si>
  <si>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</si>
  <si>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</si>
  <si>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</si>
  <si>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</si>
  <si>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</si>
  <si>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</si>
  <si>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</si>
  <si>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</si>
  <si>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</si>
  <si>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</si>
  <si>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</si>
  <si>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</si>
  <si>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</si>
  <si>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</si>
  <si>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</si>
  <si>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</si>
  <si>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</si>
  <si>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</si>
  <si>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</si>
  <si>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</si>
  <si>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</si>
  <si>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</si>
  <si>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</si>
  <si>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</si>
  <si>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</si>
  <si>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</si>
  <si>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</si>
  <si>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</si>
  <si>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</si>
  <si>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</si>
  <si>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</si>
  <si>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</si>
  <si>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</si>
  <si>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</si>
  <si>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</si>
  <si>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</si>
  <si>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</si>
  <si>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</si>
  <si>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</si>
  <si>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</si>
  <si>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</si>
  <si>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</si>
  <si>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</si>
  <si>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</si>
  <si>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</si>
  <si>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</si>
  <si>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</si>
  <si>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</si>
  <si>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</si>
  <si>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</si>
  <si>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</si>
  <si>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</si>
  <si>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</si>
  <si>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</si>
  <si>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</si>
  <si>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</si>
  <si>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</si>
  <si>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</si>
  <si>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</si>
  <si>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</si>
  <si>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</si>
  <si>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</si>
  <si>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</si>
  <si>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</si>
  <si>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</si>
  <si>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</si>
  <si>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</si>
  <si>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</si>
  <si>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</si>
  <si>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</si>
  <si>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</si>
  <si>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</si>
  <si>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</si>
  <si>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</si>
  <si>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</si>
  <si>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</si>
  <si>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</si>
  <si>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</si>
  <si>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</si>
  <si>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</si>
  <si>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</si>
  <si>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</si>
  <si>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</si>
  <si>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</si>
  <si>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</si>
  <si>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</si>
  <si>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</si>
  <si>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</si>
  <si>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</si>
  <si>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</si>
  <si>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</si>
  <si>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</si>
  <si>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</si>
  <si>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</si>
  <si>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</si>
  <si>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</si>
  <si>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</si>
  <si>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</si>
  <si>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</si>
  <si>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</si>
  <si>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</si>
  <si>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</si>
  <si>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</si>
  <si>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</si>
  <si>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</si>
  <si>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</si>
  <si>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</si>
  <si>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</si>
  <si>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</si>
  <si>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</si>
  <si>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</si>
  <si>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</si>
  <si>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</si>
  <si>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</si>
  <si>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</si>
  <si>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</si>
  <si>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</si>
  <si>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</si>
  <si>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</si>
  <si>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</si>
  <si>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</si>
  <si>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</si>
  <si>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</si>
  <si>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</si>
  <si>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</si>
  <si>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</si>
  <si>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</si>
  <si>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</si>
  <si>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</si>
  <si>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</si>
  <si>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</si>
  <si>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</si>
  <si>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</si>
  <si>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</si>
  <si>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</si>
  <si>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</si>
  <si>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</si>
  <si>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</si>
  <si>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</si>
  <si>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</si>
  <si>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</si>
  <si>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</si>
  <si>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</si>
  <si>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</si>
  <si>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</si>
  <si>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</si>
  <si>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</si>
  <si>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</si>
  <si>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</si>
  <si>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</si>
  <si>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STŘEDOČESKÝ KRAJ</t>
  </si>
  <si>
    <t>PRAHA 2</t>
  </si>
  <si>
    <t>Afghánská islámská republika</t>
  </si>
  <si>
    <t>AF</t>
  </si>
  <si>
    <t>Lesnictví a těžba dřeva</t>
  </si>
  <si>
    <t>JIHOČESKÝ KRAJ</t>
  </si>
  <si>
    <t>PRAHA 3</t>
  </si>
  <si>
    <t>Provincie Alandy</t>
  </si>
  <si>
    <t>AX</t>
  </si>
  <si>
    <t>Rybolov a akvakultura</t>
  </si>
  <si>
    <t>PLZEŇSKÝ KRAJ</t>
  </si>
  <si>
    <t>PRAHA 4</t>
  </si>
  <si>
    <t>Albánská republika</t>
  </si>
  <si>
    <t>AL</t>
  </si>
  <si>
    <t>Těžba a úprava černého a hnědého uhlí</t>
  </si>
  <si>
    <t>KARLOVARSKÝ KRAJ</t>
  </si>
  <si>
    <t>PRAHA 5</t>
  </si>
  <si>
    <t>Alžírská demokratická a lidová republika</t>
  </si>
  <si>
    <t>DZ</t>
  </si>
  <si>
    <t>Těžba ropy a zemního plynu</t>
  </si>
  <si>
    <t>ÚSTECKÝ KRAJ</t>
  </si>
  <si>
    <t>PRAHA 6</t>
  </si>
  <si>
    <t>Území Americká Samoa</t>
  </si>
  <si>
    <t>AS</t>
  </si>
  <si>
    <t>Těžba a úprava rud</t>
  </si>
  <si>
    <t>LIBERECKÝ KRAJ</t>
  </si>
  <si>
    <t>PRAHA 7</t>
  </si>
  <si>
    <t>Americké Panenské ostrovy</t>
  </si>
  <si>
    <t>VI</t>
  </si>
  <si>
    <t>Ostatní těžba a dobývání</t>
  </si>
  <si>
    <t>KRÁLOVÉHRADEC. KR.</t>
  </si>
  <si>
    <t>PRAHA 8</t>
  </si>
  <si>
    <t>Andorrské knížectví</t>
  </si>
  <si>
    <t>AD</t>
  </si>
  <si>
    <t>Podpůrné činnosti při těžbě</t>
  </si>
  <si>
    <t>PARDUBICKÝ KRAJ</t>
  </si>
  <si>
    <t>PRAHA 9</t>
  </si>
  <si>
    <t>Angolská republika</t>
  </si>
  <si>
    <t>AO</t>
  </si>
  <si>
    <t>Výroba potravinářských výrobků</t>
  </si>
  <si>
    <t>KRAJ VYSOČINA</t>
  </si>
  <si>
    <t>PRAHA 10</t>
  </si>
  <si>
    <t>Anguilla</t>
  </si>
  <si>
    <t>AI</t>
  </si>
  <si>
    <t>Výroba nápojů</t>
  </si>
  <si>
    <t>JIHOMORAVSKÝ KRAJ</t>
  </si>
  <si>
    <t>PRAHA-JIŽNÍ MĚSTO</t>
  </si>
  <si>
    <t>Antarktida</t>
  </si>
  <si>
    <t>AQ</t>
  </si>
  <si>
    <t>Pěstování plodin jiných než trvalých</t>
  </si>
  <si>
    <t>OLOMOUCKÝ KRAJ</t>
  </si>
  <si>
    <t>PRAHA-MODŘANY</t>
  </si>
  <si>
    <t>Antigua a Barbuda</t>
  </si>
  <si>
    <t>AG</t>
  </si>
  <si>
    <t>Výroba tabákových výrobků</t>
  </si>
  <si>
    <t>MORAVSKOSLEZS. KR.</t>
  </si>
  <si>
    <t>PRAHA - VÝCHOD</t>
  </si>
  <si>
    <t>Argentinská republika</t>
  </si>
  <si>
    <t>AR</t>
  </si>
  <si>
    <t>Pěstování trvalých plodin</t>
  </si>
  <si>
    <t>ZLÍNSKÝ KRAJ</t>
  </si>
  <si>
    <t>PRAHA ZÁPAD</t>
  </si>
  <si>
    <t>Arménská republika</t>
  </si>
  <si>
    <t>AM</t>
  </si>
  <si>
    <t>Výroba textilií</t>
  </si>
  <si>
    <t>SPECIALIZOVANÝ</t>
  </si>
  <si>
    <t>BENEŠOV</t>
  </si>
  <si>
    <t>Aruba</t>
  </si>
  <si>
    <t>AW</t>
  </si>
  <si>
    <t>Množení rostlin</t>
  </si>
  <si>
    <t>BEROUN</t>
  </si>
  <si>
    <t>Australské společenství</t>
  </si>
  <si>
    <t>AU</t>
  </si>
  <si>
    <t>Výroba oděvů</t>
  </si>
  <si>
    <t>BRANDÝS N.L. - ST.BOL.</t>
  </si>
  <si>
    <t>Ázerbájdžánská republika</t>
  </si>
  <si>
    <t>AZ</t>
  </si>
  <si>
    <t>živočišná výroba</t>
  </si>
  <si>
    <t>ČÁSLAV</t>
  </si>
  <si>
    <t>Bahamské společenství</t>
  </si>
  <si>
    <t>BS</t>
  </si>
  <si>
    <t>Výroba usní a souvisejících výrobků</t>
  </si>
  <si>
    <t>ČESKÝ BROD</t>
  </si>
  <si>
    <t>Království Bahrajn</t>
  </si>
  <si>
    <t>BH</t>
  </si>
  <si>
    <t>Smíšené hospodářství</t>
  </si>
  <si>
    <t>DOBŘÍŠ</t>
  </si>
  <si>
    <t>Bangladéšská lidová republika</t>
  </si>
  <si>
    <t>BD</t>
  </si>
  <si>
    <t>Zprac.dřeva,výroba dřevěných,korkových,proutěných a slam.výr.,kromě nábytku</t>
  </si>
  <si>
    <t>HOŘOVICE</t>
  </si>
  <si>
    <t>Barbados</t>
  </si>
  <si>
    <t>BB</t>
  </si>
  <si>
    <t>Podpůrné činnosti pro zemědělství a posklizňové činnosti</t>
  </si>
  <si>
    <t>KLADNO</t>
  </si>
  <si>
    <t>Belgické království</t>
  </si>
  <si>
    <t>BE</t>
  </si>
  <si>
    <t>Výroba papíru a výrobků z papíru</t>
  </si>
  <si>
    <t>KOLÍN</t>
  </si>
  <si>
    <t>Belize</t>
  </si>
  <si>
    <t>BZ</t>
  </si>
  <si>
    <t>Lov a odchyt divokých zvířat a související činnosti</t>
  </si>
  <si>
    <t>KRALUPY NAD VLTAVOU</t>
  </si>
  <si>
    <t>Běloruská republika</t>
  </si>
  <si>
    <t>BY</t>
  </si>
  <si>
    <t>Tisk a rozmnožování nahraných nosičů</t>
  </si>
  <si>
    <t>KUTNÁ HORA</t>
  </si>
  <si>
    <t>Beninská republika</t>
  </si>
  <si>
    <t>BJ</t>
  </si>
  <si>
    <t>Výroba koksu a rafinovaných ropných produktů</t>
  </si>
  <si>
    <t>MĚLNÍK</t>
  </si>
  <si>
    <t>Bermudy</t>
  </si>
  <si>
    <t>BM</t>
  </si>
  <si>
    <t>Výroba chemických látek a chemických přípravků</t>
  </si>
  <si>
    <t>MLADÁ BOLESLAV</t>
  </si>
  <si>
    <t>Bhútánské království</t>
  </si>
  <si>
    <t>BT</t>
  </si>
  <si>
    <t>Výroba základních farmaceutických výrobků a farmaceutických přípravků</t>
  </si>
  <si>
    <t>MNICHOVO HRADIŠTĚ</t>
  </si>
  <si>
    <t>Mnohonárodní stát Bolívie</t>
  </si>
  <si>
    <t>BO</t>
  </si>
  <si>
    <t>Lesní hospodářství a jiné činnosti v oblasti lesnictví</t>
  </si>
  <si>
    <t>NERATOVICE</t>
  </si>
  <si>
    <t>Bonaire, Svatý Eustach a Saba</t>
  </si>
  <si>
    <t>BQ</t>
  </si>
  <si>
    <t>Výroba pryžových a plastových výrobků</t>
  </si>
  <si>
    <t>NYMBURK</t>
  </si>
  <si>
    <t>Bosna a Hercegovina</t>
  </si>
  <si>
    <t>BA</t>
  </si>
  <si>
    <t>Těžba dřeva</t>
  </si>
  <si>
    <t>PODĚBRADY</t>
  </si>
  <si>
    <t>Botswanská republika</t>
  </si>
  <si>
    <t>BW</t>
  </si>
  <si>
    <t>Výroba ostatních nekovových minerálních výrobků</t>
  </si>
  <si>
    <t>PŘÍBRAM</t>
  </si>
  <si>
    <t>Bouvetův ostrov</t>
  </si>
  <si>
    <t>BV</t>
  </si>
  <si>
    <t>Sběr a získávání volně rostoucích plodů a materiálů, kromě dřeva</t>
  </si>
  <si>
    <t>RAKOVNÍK</t>
  </si>
  <si>
    <t>Brazilská federativní republika</t>
  </si>
  <si>
    <t>BR</t>
  </si>
  <si>
    <t>Výroba základních kovů, hutní zpracování kovů; slévárenství</t>
  </si>
  <si>
    <t>ŘÍČANY</t>
  </si>
  <si>
    <t>Britské území v Indickém oceánu</t>
  </si>
  <si>
    <t>IO</t>
  </si>
  <si>
    <t>Podpůrné činnosti pro lesnictví</t>
  </si>
  <si>
    <t>SEDLČANY</t>
  </si>
  <si>
    <t>Britské Panenské ostrovy</t>
  </si>
  <si>
    <t>VG</t>
  </si>
  <si>
    <t>Výroba kovových konstrukcí a kovodělných výrobků, kromě strojů a zařízení</t>
  </si>
  <si>
    <t>SLANÝ</t>
  </si>
  <si>
    <t>Stát Brunej Darussalam</t>
  </si>
  <si>
    <t>BN</t>
  </si>
  <si>
    <t>Výroba počítačů, elektronických a optických přístrojů a zařízení</t>
  </si>
  <si>
    <t>VLAŠIM</t>
  </si>
  <si>
    <t>Bulharská republika</t>
  </si>
  <si>
    <t>BG</t>
  </si>
  <si>
    <t>Výroba elektrických zařízení</t>
  </si>
  <si>
    <t>VOTICE</t>
  </si>
  <si>
    <t>Burkina Faso</t>
  </si>
  <si>
    <t>BF</t>
  </si>
  <si>
    <t>Výroba strojů a zařízení j. n.</t>
  </si>
  <si>
    <t>ČESKÉ BUDĚJOVICE</t>
  </si>
  <si>
    <t>Burundská republika</t>
  </si>
  <si>
    <t>BI</t>
  </si>
  <si>
    <t>Výroba motorových vozidel (kromě motocyklů), přívěsů a návěsů</t>
  </si>
  <si>
    <t>BLATNÁ</t>
  </si>
  <si>
    <t>Cookovy ostrovy</t>
  </si>
  <si>
    <t>CK</t>
  </si>
  <si>
    <t>Výroba ostatních dopravních prostředků a zařízení</t>
  </si>
  <si>
    <t>ČESKÝ KRUMLOV</t>
  </si>
  <si>
    <t>Curaçao</t>
  </si>
  <si>
    <t>CW</t>
  </si>
  <si>
    <t>Výroba nábytku</t>
  </si>
  <si>
    <t>DAČICE</t>
  </si>
  <si>
    <t>Čadská republika</t>
  </si>
  <si>
    <t>TD</t>
  </si>
  <si>
    <t>Rybolov</t>
  </si>
  <si>
    <t>JINDŘICHŮV HRADEC</t>
  </si>
  <si>
    <t>Černá Hora</t>
  </si>
  <si>
    <t>ME</t>
  </si>
  <si>
    <t>Ostatní zpracovatelský průmysl</t>
  </si>
  <si>
    <t>KAPLICE</t>
  </si>
  <si>
    <t>Česká republika</t>
  </si>
  <si>
    <t>Akvakultura</t>
  </si>
  <si>
    <t>MILEVSKO</t>
  </si>
  <si>
    <t>Čínská lidová republika</t>
  </si>
  <si>
    <t>CN</t>
  </si>
  <si>
    <t>Opravy a instalace strojů a zařízení</t>
  </si>
  <si>
    <t>PÍSEK</t>
  </si>
  <si>
    <t>Dánské království</t>
  </si>
  <si>
    <t>DK</t>
  </si>
  <si>
    <t>Výroba a rozvod elektřiny, plynu, tepla a klimatizovaného vzduchu</t>
  </si>
  <si>
    <t>PRACHATICE</t>
  </si>
  <si>
    <t>Demokratická republika Kongo</t>
  </si>
  <si>
    <t>CD</t>
  </si>
  <si>
    <t>Shromažďování, úprava a rozvod vody</t>
  </si>
  <si>
    <t>SOBĚSLAV</t>
  </si>
  <si>
    <t>Dominické společenství</t>
  </si>
  <si>
    <t>DM</t>
  </si>
  <si>
    <t>Činnosti související s odpadními vodami</t>
  </si>
  <si>
    <t>STRAKONICE</t>
  </si>
  <si>
    <t>Dominikánská republika</t>
  </si>
  <si>
    <t>DO</t>
  </si>
  <si>
    <t>Shromažďování,sběr a odstraňování odpadů,úprava odpadů k dalšímu využití</t>
  </si>
  <si>
    <t>TÁBOR</t>
  </si>
  <si>
    <t>Džibutská republika</t>
  </si>
  <si>
    <t>DJ</t>
  </si>
  <si>
    <t>Sanace a jiné činnosti související s odpady</t>
  </si>
  <si>
    <t>TRHOVÉ SVINY</t>
  </si>
  <si>
    <t>Egyptská arabská republika</t>
  </si>
  <si>
    <t>EG</t>
  </si>
  <si>
    <t>Výstavba budov</t>
  </si>
  <si>
    <t>TŘEBOŇ</t>
  </si>
  <si>
    <t>Ekvádorská republika</t>
  </si>
  <si>
    <t>EC</t>
  </si>
  <si>
    <t>Inženýrské stavitelství</t>
  </si>
  <si>
    <t>TÝN NAD VLTAVOU</t>
  </si>
  <si>
    <t>Stát Eritrea</t>
  </si>
  <si>
    <t>ER</t>
  </si>
  <si>
    <t>Specializované stavební činnosti</t>
  </si>
  <si>
    <t>VIMPERK</t>
  </si>
  <si>
    <t>Estonská republika</t>
  </si>
  <si>
    <t>EE</t>
  </si>
  <si>
    <t>Velkoobchod, maloobchod a opravy motorových vozidel</t>
  </si>
  <si>
    <t>VODŇANY</t>
  </si>
  <si>
    <t>Etiopská federativní demokratická republika</t>
  </si>
  <si>
    <t>ET</t>
  </si>
  <si>
    <t>Velkoobchod, kromě motorových vozidel</t>
  </si>
  <si>
    <t>PLZEŇ</t>
  </si>
  <si>
    <t>Faerské ostrovy</t>
  </si>
  <si>
    <t>FO</t>
  </si>
  <si>
    <t>Maloobchod, kromě motorových vozidel</t>
  </si>
  <si>
    <t>PLZEŇ-SEVER</t>
  </si>
  <si>
    <t>Falklandské ostrovy</t>
  </si>
  <si>
    <t>FK</t>
  </si>
  <si>
    <t>Pozemní a potrubní doprava</t>
  </si>
  <si>
    <t>PLZEŇ-JIH</t>
  </si>
  <si>
    <t>Fidžijská republika</t>
  </si>
  <si>
    <t>FJ</t>
  </si>
  <si>
    <t>Vodní doprava</t>
  </si>
  <si>
    <t>BLOVICE</t>
  </si>
  <si>
    <t>Filipínská republika</t>
  </si>
  <si>
    <t>PH</t>
  </si>
  <si>
    <t>Letecká doprava</t>
  </si>
  <si>
    <t>DOMAŽLICE</t>
  </si>
  <si>
    <t>Finská republika</t>
  </si>
  <si>
    <t>FI</t>
  </si>
  <si>
    <t>Těžba a úprava černého uhlí</t>
  </si>
  <si>
    <t>HORAŽĎOVICE</t>
  </si>
  <si>
    <t>Francouzská republika</t>
  </si>
  <si>
    <t>FR</t>
  </si>
  <si>
    <t>Skladování a vedlejší činnosti v dopravě</t>
  </si>
  <si>
    <t>HORŠOVSKÝ TÝN</t>
  </si>
  <si>
    <t>Region Francouzská Guyana</t>
  </si>
  <si>
    <t>GF</t>
  </si>
  <si>
    <t>Těžba a úprava hnědého uhlí</t>
  </si>
  <si>
    <t>KLATOVY</t>
  </si>
  <si>
    <t>Teritorium Francouzská jižní a antarktická území</t>
  </si>
  <si>
    <t>Poštovní a kurýrní činnosti</t>
  </si>
  <si>
    <t>KRALOVICE</t>
  </si>
  <si>
    <t>Francouzská Polynésie</t>
  </si>
  <si>
    <t>PF</t>
  </si>
  <si>
    <t>Ubytování</t>
  </si>
  <si>
    <t>NEPOMUK</t>
  </si>
  <si>
    <t>Gabonská republika</t>
  </si>
  <si>
    <t>GA</t>
  </si>
  <si>
    <t>Stravování a pohostinství</t>
  </si>
  <si>
    <t>PŘEŠTICE</t>
  </si>
  <si>
    <t>Gambijská republika</t>
  </si>
  <si>
    <t>GM</t>
  </si>
  <si>
    <t>Vydavatelské činnosti</t>
  </si>
  <si>
    <t>ROKYCANY</t>
  </si>
  <si>
    <t>Ghanská republika</t>
  </si>
  <si>
    <t>GH</t>
  </si>
  <si>
    <t>Čin.v obl.filmů,videozázn.a tel.programů,pořiz.zvuk.nahr.a hudeb.vyd.čin.</t>
  </si>
  <si>
    <t>TACHOV</t>
  </si>
  <si>
    <t>Gibraltar</t>
  </si>
  <si>
    <t>GI</t>
  </si>
  <si>
    <t>Tvorba programů a vysílání</t>
  </si>
  <si>
    <t>STŘÍBRO</t>
  </si>
  <si>
    <t>Grenadský stát</t>
  </si>
  <si>
    <t>GD</t>
  </si>
  <si>
    <t>Telekomunikační činnosti</t>
  </si>
  <si>
    <t>SUŠICE</t>
  </si>
  <si>
    <t>Grónsko</t>
  </si>
  <si>
    <t>GL</t>
  </si>
  <si>
    <t>Těžba ropy</t>
  </si>
  <si>
    <t>KARLOVY VARY</t>
  </si>
  <si>
    <t>Gruzie</t>
  </si>
  <si>
    <t>GE</t>
  </si>
  <si>
    <t>Činnosti v oblasti informačních technologií</t>
  </si>
  <si>
    <t>AŠ</t>
  </si>
  <si>
    <t>Region Guadeloupe</t>
  </si>
  <si>
    <t>GP</t>
  </si>
  <si>
    <t>Těžba zemního plynu</t>
  </si>
  <si>
    <t>CHEB</t>
  </si>
  <si>
    <t>Teritorium Guam</t>
  </si>
  <si>
    <t>GU</t>
  </si>
  <si>
    <t>Informační činnosti</t>
  </si>
  <si>
    <t>KRASLICE</t>
  </si>
  <si>
    <t>Guatemalská republika</t>
  </si>
  <si>
    <t>GT</t>
  </si>
  <si>
    <t>Finanční zprostředkování, kromě pojišťovnictví a penzijního financování</t>
  </si>
  <si>
    <t>MARIÁNSKÉ LÁZNĚ</t>
  </si>
  <si>
    <t>Bailiwick Guernsey</t>
  </si>
  <si>
    <t>GG</t>
  </si>
  <si>
    <t>Pojištění,zajištění a penzijní financování,kromě povinného soc.zabezpečení</t>
  </si>
  <si>
    <t>OSTROV NAD OHŘÍ</t>
  </si>
  <si>
    <t>Guinejská republika</t>
  </si>
  <si>
    <t>GN</t>
  </si>
  <si>
    <t>Ostatní finanční činnosti</t>
  </si>
  <si>
    <t>SOKOLOV</t>
  </si>
  <si>
    <t>Republika Guinea-Bissau</t>
  </si>
  <si>
    <t>GW</t>
  </si>
  <si>
    <t>Činnosti v oblasti nemovitostí</t>
  </si>
  <si>
    <t>ÚSTÍ NAD LABEM</t>
  </si>
  <si>
    <t>Guyanská kooperativní republika</t>
  </si>
  <si>
    <t>GY</t>
  </si>
  <si>
    <t>Právní a účetnické činnosti</t>
  </si>
  <si>
    <t>BÍLINA</t>
  </si>
  <si>
    <t>Republika Haiti</t>
  </si>
  <si>
    <t>HT</t>
  </si>
  <si>
    <t>Činnosti vedení podniků; poradenství v oblasti řízení</t>
  </si>
  <si>
    <t>DĚČÍN</t>
  </si>
  <si>
    <t>Heardův ostrov a MacDonaldovy ostrovy</t>
  </si>
  <si>
    <t>HM</t>
  </si>
  <si>
    <t>Architektonické a inženýrské činnosti; technické zkoušky a analýzy</t>
  </si>
  <si>
    <t>CHOMUTOV</t>
  </si>
  <si>
    <t>Honduraská republika</t>
  </si>
  <si>
    <t>HN</t>
  </si>
  <si>
    <t>Těžba a úprava železných rud</t>
  </si>
  <si>
    <t>KADAŇ</t>
  </si>
  <si>
    <t>Zvláštní administrativní oblast Čínské lidové republiky Hongkong</t>
  </si>
  <si>
    <t>HK</t>
  </si>
  <si>
    <t>Výzkum a vývoj</t>
  </si>
  <si>
    <t>LIBOCHOVICE</t>
  </si>
  <si>
    <t>Chilská republika</t>
  </si>
  <si>
    <t>CL</t>
  </si>
  <si>
    <t>Těžba a úprava neželezných rud</t>
  </si>
  <si>
    <t>LITOMĚŘICE</t>
  </si>
  <si>
    <t>Chorvatská republika</t>
  </si>
  <si>
    <t>HR</t>
  </si>
  <si>
    <t>Reklama a průzkum trhu</t>
  </si>
  <si>
    <t>LITVÍNOV</t>
  </si>
  <si>
    <t>Indická republika</t>
  </si>
  <si>
    <t>IN</t>
  </si>
  <si>
    <t>Ostatní profesní, vědecké a technické činnosti</t>
  </si>
  <si>
    <t>LOUNY</t>
  </si>
  <si>
    <t>Indonéská republika</t>
  </si>
  <si>
    <t>ID</t>
  </si>
  <si>
    <t>Veterinární činnosti</t>
  </si>
  <si>
    <t>MOST</t>
  </si>
  <si>
    <t>Irácká republika</t>
  </si>
  <si>
    <t>IQ</t>
  </si>
  <si>
    <t>Činnosti v oblasti pronájmu a operativního leasingu</t>
  </si>
  <si>
    <t>PODBOŘANY</t>
  </si>
  <si>
    <t>Íránská islámská republika</t>
  </si>
  <si>
    <t>IR</t>
  </si>
  <si>
    <t>Činnosti související se zaměstnáním</t>
  </si>
  <si>
    <t>ROUDNICE NAD LABEM</t>
  </si>
  <si>
    <t>Irsko</t>
  </si>
  <si>
    <t>IE</t>
  </si>
  <si>
    <t>Činnosti cest.agentur,kanceláří a jiné rezervační a související činnosti</t>
  </si>
  <si>
    <t>RUMBURK</t>
  </si>
  <si>
    <t>Islandská republika</t>
  </si>
  <si>
    <t>IS</t>
  </si>
  <si>
    <t>Bezpečnostní a pátrací činnosti</t>
  </si>
  <si>
    <t>TEPLICE</t>
  </si>
  <si>
    <t>Italská republika</t>
  </si>
  <si>
    <t>IT</t>
  </si>
  <si>
    <t>Činnosti související se stavbami a úpravou krajiny</t>
  </si>
  <si>
    <t>ŽATEC</t>
  </si>
  <si>
    <t>Stát Izrael</t>
  </si>
  <si>
    <t>IL</t>
  </si>
  <si>
    <t>Dobývání kamene, písků a jílů</t>
  </si>
  <si>
    <t>LIBEREC</t>
  </si>
  <si>
    <t>Jamajka</t>
  </si>
  <si>
    <t>JM</t>
  </si>
  <si>
    <t>Administrativní, kancelářské a jiné podpůrné činnosti pro podnikání</t>
  </si>
  <si>
    <t>ČESKÁ LÍPA</t>
  </si>
  <si>
    <t>Japonsko</t>
  </si>
  <si>
    <t>JP</t>
  </si>
  <si>
    <t>Veřejná správa a obrana; povinné sociální zabezpečení</t>
  </si>
  <si>
    <t>FRÝDLANT</t>
  </si>
  <si>
    <t>Jemenská republika</t>
  </si>
  <si>
    <t>YE</t>
  </si>
  <si>
    <t>Vzdělávání</t>
  </si>
  <si>
    <t>JABLONEC NAD NISOU</t>
  </si>
  <si>
    <t>Bailiwick Jersey</t>
  </si>
  <si>
    <t>JE</t>
  </si>
  <si>
    <t>Zdravotní péče</t>
  </si>
  <si>
    <t>JILEMNICE</t>
  </si>
  <si>
    <t>Jihoafrická republika</t>
  </si>
  <si>
    <t>ZA</t>
  </si>
  <si>
    <t>Pobytové služby sociální péče</t>
  </si>
  <si>
    <t>NOVÝ BOR</t>
  </si>
  <si>
    <t>Jižní Georgie a Jižní Sandwichovy ostrovy</t>
  </si>
  <si>
    <t>GS</t>
  </si>
  <si>
    <t>Ambulantní nebo terénní sociální služby</t>
  </si>
  <si>
    <t>SEMILY</t>
  </si>
  <si>
    <t>Jihosúdánská republika</t>
  </si>
  <si>
    <t>SS</t>
  </si>
  <si>
    <t>Těžba a dobývání j. n.</t>
  </si>
  <si>
    <t>TANVALD</t>
  </si>
  <si>
    <t>Jordánské hášimovské království</t>
  </si>
  <si>
    <t>JO</t>
  </si>
  <si>
    <t>Tvůrčí, umělecké a zábavní činnosti</t>
  </si>
  <si>
    <t>TURNOV</t>
  </si>
  <si>
    <t>Kajmanské ostrovy</t>
  </si>
  <si>
    <t>KY</t>
  </si>
  <si>
    <t>Činnosti knihoven, archivů, muzeí a jiných kulturních zařízení</t>
  </si>
  <si>
    <t>ŽELEZNÝ BROD</t>
  </si>
  <si>
    <t>Kambodžské království</t>
  </si>
  <si>
    <t>KH</t>
  </si>
  <si>
    <t>Podpůrné činnosti při těžbě ropy a zemního plynu</t>
  </si>
  <si>
    <t>HRADEC KRÁLOVÉ</t>
  </si>
  <si>
    <t>Kamerunská republika</t>
  </si>
  <si>
    <t>CM</t>
  </si>
  <si>
    <t>Činnosti heren, kasin a sázkových kanceláří</t>
  </si>
  <si>
    <t>BROUMOV</t>
  </si>
  <si>
    <t>Kanada</t>
  </si>
  <si>
    <t>CA</t>
  </si>
  <si>
    <t>Sportovní, zábavní a rekreační činnosti</t>
  </si>
  <si>
    <t>DOBRUŠKA</t>
  </si>
  <si>
    <t>Kapverdská republika</t>
  </si>
  <si>
    <t>CV</t>
  </si>
  <si>
    <t>Činnosti organizací sdružujících osoby za účelem prosazování spol.zájmů</t>
  </si>
  <si>
    <t>DVŮR KRÁLOVÉ</t>
  </si>
  <si>
    <t>Stát Katar</t>
  </si>
  <si>
    <t>QA</t>
  </si>
  <si>
    <t>Opravy počítačů a výrobků pro osobní potřebu a převážně pro domácnost</t>
  </si>
  <si>
    <t>HOŘICE</t>
  </si>
  <si>
    <t>Republika Kazachstán</t>
  </si>
  <si>
    <t>KZ</t>
  </si>
  <si>
    <t>Poskytování ostatních osobních služeb</t>
  </si>
  <si>
    <t>JAROMĚŘ</t>
  </si>
  <si>
    <t>Keňská republika</t>
  </si>
  <si>
    <t>KE</t>
  </si>
  <si>
    <t>Činnosti domácností jako zaměstnavatelů domácího personálu</t>
  </si>
  <si>
    <t>JIČÍN</t>
  </si>
  <si>
    <t>Republika Kiribati</t>
  </si>
  <si>
    <t>KI</t>
  </si>
  <si>
    <t>Činnosti domác.produk.blíže neurčené výrobky a služby pro vlast.potřebu</t>
  </si>
  <si>
    <t>KOSTELEC NAD ORLICÍ</t>
  </si>
  <si>
    <t>Území Kokosové (Keelingovy) ostrovy</t>
  </si>
  <si>
    <t>CC</t>
  </si>
  <si>
    <t>Činnosti exteritoriálních organizací a orgánů</t>
  </si>
  <si>
    <t>NÁCHOD</t>
  </si>
  <si>
    <t>Kolumbijská republika</t>
  </si>
  <si>
    <t>CO</t>
  </si>
  <si>
    <t>Podpůrné činnosti při ostatní těžbě a dobývání</t>
  </si>
  <si>
    <t>NOVÁ PAKA</t>
  </si>
  <si>
    <t>Komorský svaz</t>
  </si>
  <si>
    <t>KM</t>
  </si>
  <si>
    <t>Zpracování a konzervování masa a výroba masných výrobků</t>
  </si>
  <si>
    <t>NOVÝ BYDŽOV</t>
  </si>
  <si>
    <t>Konžská republika</t>
  </si>
  <si>
    <t>CG</t>
  </si>
  <si>
    <t>Zpracování a konzervování ryb, korýšů a měkkýšů</t>
  </si>
  <si>
    <t>RYCHNOV NAD KNĚŽ.</t>
  </si>
  <si>
    <t>Korejská lidově demokratická republika</t>
  </si>
  <si>
    <t>KP</t>
  </si>
  <si>
    <t>Zpracování a konzervování ovoce a zeleniny</t>
  </si>
  <si>
    <t>TRUTNOV</t>
  </si>
  <si>
    <t>Korejská republika</t>
  </si>
  <si>
    <t>KR</t>
  </si>
  <si>
    <t>Výroba rostlinných a živočišných olejů a tuků</t>
  </si>
  <si>
    <t>VRCHLABÍ</t>
  </si>
  <si>
    <t>Kosovská republika</t>
  </si>
  <si>
    <t>XK</t>
  </si>
  <si>
    <t>Výroba mléčných výrobků</t>
  </si>
  <si>
    <t>PARDUBICE</t>
  </si>
  <si>
    <t>Kostarická republika</t>
  </si>
  <si>
    <t>CR</t>
  </si>
  <si>
    <t>Výroba mlýnských a škrobárenských výrobků</t>
  </si>
  <si>
    <t>HLINSKO</t>
  </si>
  <si>
    <t>Kubánská republika</t>
  </si>
  <si>
    <t>CU</t>
  </si>
  <si>
    <t>Výroba pekařských, cukrářských a jiných moučných výrobků</t>
  </si>
  <si>
    <t>HOLICE</t>
  </si>
  <si>
    <t>Kuvajtský stát</t>
  </si>
  <si>
    <t>KW</t>
  </si>
  <si>
    <t>Výroba ostatních potravinářských výrobků</t>
  </si>
  <si>
    <t>CHRUDIM</t>
  </si>
  <si>
    <t>Kyperská republika</t>
  </si>
  <si>
    <t>CY</t>
  </si>
  <si>
    <t>Výroba průmyslových krmiv</t>
  </si>
  <si>
    <t>LITOMYŠL</t>
  </si>
  <si>
    <t>Kyrgyzská republika</t>
  </si>
  <si>
    <t>KG</t>
  </si>
  <si>
    <t>Pěstování obilovin (kromě rýže), luštěnin a olejnatých semen</t>
  </si>
  <si>
    <t>MORAVSKÁ TŘEBOVÁ</t>
  </si>
  <si>
    <t>Laoská lidově demokratická republika</t>
  </si>
  <si>
    <t>LA</t>
  </si>
  <si>
    <t>Pěstování rýže</t>
  </si>
  <si>
    <t>PŘELOUČ</t>
  </si>
  <si>
    <t>Lesothské království</t>
  </si>
  <si>
    <t>LS</t>
  </si>
  <si>
    <t>Pěstování zeleniny a melounů, kořenů a hlíz</t>
  </si>
  <si>
    <t>SVITAVY</t>
  </si>
  <si>
    <t>Libanonská republika</t>
  </si>
  <si>
    <t>LB</t>
  </si>
  <si>
    <t>Pěstování tabáku</t>
  </si>
  <si>
    <t>ÚSTÍ NAD ORLICÍ</t>
  </si>
  <si>
    <t>Liberijská republika</t>
  </si>
  <si>
    <t>LR</t>
  </si>
  <si>
    <t>Pěstování přadných rostlin</t>
  </si>
  <si>
    <t>VYSOKÉ MÝTO</t>
  </si>
  <si>
    <t>Libyjský stát</t>
  </si>
  <si>
    <t>LY</t>
  </si>
  <si>
    <t>Pěstování ostatních plodin jiných než trvalých</t>
  </si>
  <si>
    <t>ŽAMBERK</t>
  </si>
  <si>
    <t>Lichtenštejnské knížectví</t>
  </si>
  <si>
    <t>LI</t>
  </si>
  <si>
    <t>Pěstování vinných hroznů</t>
  </si>
  <si>
    <t>JIHLAVA</t>
  </si>
  <si>
    <t>Litevská republika</t>
  </si>
  <si>
    <t>LT</t>
  </si>
  <si>
    <t>Pěstování tropického a subtropického ovoce</t>
  </si>
  <si>
    <t>BYSTŘICE NAD PERN.</t>
  </si>
  <si>
    <t>Lotyšská republika</t>
  </si>
  <si>
    <t>LV</t>
  </si>
  <si>
    <t>Pěstování citrusových plodů</t>
  </si>
  <si>
    <t>HAVLÍČKŮV BROD</t>
  </si>
  <si>
    <t>Lucemburské velkovévodství</t>
  </si>
  <si>
    <t>LU</t>
  </si>
  <si>
    <t>Pěstování jádrového a peckového ovoce</t>
  </si>
  <si>
    <t>HUMPOLEC</t>
  </si>
  <si>
    <t>Zvláštní administrativní oblast Čínské lidové republiky Macao</t>
  </si>
  <si>
    <t>MO</t>
  </si>
  <si>
    <t>Pěstování ostatního stromového a keřového ovoce a ořechů</t>
  </si>
  <si>
    <t>CHOTĚBOŘ</t>
  </si>
  <si>
    <t>Madagaskarská republika</t>
  </si>
  <si>
    <t>MG</t>
  </si>
  <si>
    <t>Pěstování olejnatých plodů</t>
  </si>
  <si>
    <t>LEDEČ NAD SÁZAVOU</t>
  </si>
  <si>
    <t>Maďarsko</t>
  </si>
  <si>
    <t>HU</t>
  </si>
  <si>
    <t>Pěstování rostlin pro výrobu nápojů</t>
  </si>
  <si>
    <t>MORAVSKÉ BUDĚJOVICE</t>
  </si>
  <si>
    <t>Bývalá jugoslávská republika Makedonie</t>
  </si>
  <si>
    <t>MK</t>
  </si>
  <si>
    <t>Pěstování koření, aromatických, léčivých a farmaceutických rostlin</t>
  </si>
  <si>
    <t>NÁMĚŠŤ NAD OSLAVOU</t>
  </si>
  <si>
    <t>Malajsie</t>
  </si>
  <si>
    <t>MY</t>
  </si>
  <si>
    <t>Pěstování ostatních trvalých plodin</t>
  </si>
  <si>
    <t>PACOV</t>
  </si>
  <si>
    <t>Malawiská republika</t>
  </si>
  <si>
    <t>MW</t>
  </si>
  <si>
    <t>Úprava a spřádání textilních vláken a příze</t>
  </si>
  <si>
    <t>PELHŘIMOV</t>
  </si>
  <si>
    <t>Maledivská republika</t>
  </si>
  <si>
    <t>MV</t>
  </si>
  <si>
    <t>Tkaní textilií</t>
  </si>
  <si>
    <t>TELČ</t>
  </si>
  <si>
    <t>Republika Mali</t>
  </si>
  <si>
    <t>ML</t>
  </si>
  <si>
    <t>Konečná úprava textilií</t>
  </si>
  <si>
    <t>TŘEBÍČ</t>
  </si>
  <si>
    <t>Maltská republika</t>
  </si>
  <si>
    <t>MT</t>
  </si>
  <si>
    <t>Výroba ostatních textilií</t>
  </si>
  <si>
    <t>VELKÉ MEZIŘÍČÍ</t>
  </si>
  <si>
    <t>Ostrov Man</t>
  </si>
  <si>
    <t>IM</t>
  </si>
  <si>
    <t>Pěstování cukrové třtiny</t>
  </si>
  <si>
    <t>ŽĎÁR NAD SÁZAVOU</t>
  </si>
  <si>
    <t>Marocké království</t>
  </si>
  <si>
    <t>MA</t>
  </si>
  <si>
    <t>Výroba oděvů, kromě kožešinových výrobků</t>
  </si>
  <si>
    <t>BRNO I</t>
  </si>
  <si>
    <t>Republika Marshallovy ostrovy</t>
  </si>
  <si>
    <t>MH</t>
  </si>
  <si>
    <t>Chov mléčného skotu</t>
  </si>
  <si>
    <t>BRNO II</t>
  </si>
  <si>
    <t>Region Martinik</t>
  </si>
  <si>
    <t>MQ</t>
  </si>
  <si>
    <t>Výroba kožešinových výrobků</t>
  </si>
  <si>
    <t>BRNO III</t>
  </si>
  <si>
    <t>Mauricijská republika</t>
  </si>
  <si>
    <t>MU</t>
  </si>
  <si>
    <t>Chov jiného skotu</t>
  </si>
  <si>
    <t>BRNO IV</t>
  </si>
  <si>
    <t>Mauritánská islámská republika</t>
  </si>
  <si>
    <t>MR</t>
  </si>
  <si>
    <t>Výroba pletených a háčkovaných oděvů</t>
  </si>
  <si>
    <t>BRNO VENKOV</t>
  </si>
  <si>
    <t>Departementní společenství Mayotte</t>
  </si>
  <si>
    <t>YT</t>
  </si>
  <si>
    <t>Chov koní a jiných koňovitých</t>
  </si>
  <si>
    <t>BLANSKO</t>
  </si>
  <si>
    <t>Menší odlehlé ostrovy USA</t>
  </si>
  <si>
    <t>UM</t>
  </si>
  <si>
    <t>Chov velbloudů a velbloudovitých</t>
  </si>
  <si>
    <t>BOSKOVICE</t>
  </si>
  <si>
    <t>Spojené státy mexické</t>
  </si>
  <si>
    <t>MX</t>
  </si>
  <si>
    <t>Chov ovcí a koz</t>
  </si>
  <si>
    <t>BŘECLAV</t>
  </si>
  <si>
    <t>Federativní státy Mikronésie</t>
  </si>
  <si>
    <t>FM</t>
  </si>
  <si>
    <t>Chov prasat</t>
  </si>
  <si>
    <t>BUČOVICE</t>
  </si>
  <si>
    <t>Moldavská republika</t>
  </si>
  <si>
    <t>MD</t>
  </si>
  <si>
    <t>Chov drůbeže</t>
  </si>
  <si>
    <t>HODONÍN</t>
  </si>
  <si>
    <t>Monacké knížectví</t>
  </si>
  <si>
    <t>MC</t>
  </si>
  <si>
    <t>Chov ostatních zvířat</t>
  </si>
  <si>
    <t>HUSTOPEČE</t>
  </si>
  <si>
    <t>Mongolsko</t>
  </si>
  <si>
    <t>MN</t>
  </si>
  <si>
    <t>Činění a úprava usní (vyčiněných kůží); zpracování a barvení kožešin; výrob</t>
  </si>
  <si>
    <t>IVANČICE</t>
  </si>
  <si>
    <t>Montserrat</t>
  </si>
  <si>
    <t>MS</t>
  </si>
  <si>
    <t>Výroba obuvi</t>
  </si>
  <si>
    <t>KYJOV</t>
  </si>
  <si>
    <t>Mosambická republika</t>
  </si>
  <si>
    <t>MZ</t>
  </si>
  <si>
    <t>Výroba pilařská a impregnace dřeva</t>
  </si>
  <si>
    <t>MIKULOV</t>
  </si>
  <si>
    <t>Republika Myanmarský svaz</t>
  </si>
  <si>
    <t>MM</t>
  </si>
  <si>
    <t>Podpůrné činnosti pro rostlinnou výrobu</t>
  </si>
  <si>
    <t>MORAVSKÝ KRUMLOV</t>
  </si>
  <si>
    <t>Namibijská republika</t>
  </si>
  <si>
    <t>NA</t>
  </si>
  <si>
    <t>Výroba dřevěných,korkových,proutěných a slaměných výrobků,kromě nábytku</t>
  </si>
  <si>
    <t>SLAVKOV U BRNA</t>
  </si>
  <si>
    <t>Republika Nauru</t>
  </si>
  <si>
    <t>NR</t>
  </si>
  <si>
    <t>Podpůrné činnosti pro živočišnou výrobu</t>
  </si>
  <si>
    <t>TIŠNOV</t>
  </si>
  <si>
    <t>Spolková republika Německo</t>
  </si>
  <si>
    <t>DE</t>
  </si>
  <si>
    <t>Posklizňové činnosti</t>
  </si>
  <si>
    <t>VESELÍ NAD MORAVOU</t>
  </si>
  <si>
    <t>Nepálská federativní demokratická republika</t>
  </si>
  <si>
    <t>NP</t>
  </si>
  <si>
    <t>Zpracování osiva pro účely množení</t>
  </si>
  <si>
    <t>VYŠKOV</t>
  </si>
  <si>
    <t>Nigerská republika</t>
  </si>
  <si>
    <t>NE</t>
  </si>
  <si>
    <t>Výroba buničiny, papíru a lepenky</t>
  </si>
  <si>
    <t>ZNOJMO</t>
  </si>
  <si>
    <t>Nigerijská federativní republika</t>
  </si>
  <si>
    <t>NG</t>
  </si>
  <si>
    <t>Výroba výrobků z papíru a lepenky</t>
  </si>
  <si>
    <t>OLOMOUC</t>
  </si>
  <si>
    <t>Nikaragujská republika</t>
  </si>
  <si>
    <t>NI</t>
  </si>
  <si>
    <t>Tisk a činnosti související s tiskem</t>
  </si>
  <si>
    <t>HRANICE</t>
  </si>
  <si>
    <t>Niue</t>
  </si>
  <si>
    <t>NU</t>
  </si>
  <si>
    <t>Rozmnožování nahraných nosičů</t>
  </si>
  <si>
    <t>JESENÍK</t>
  </si>
  <si>
    <t>Nizozemsko</t>
  </si>
  <si>
    <t>NL</t>
  </si>
  <si>
    <t>Výroba koksárenských produktů</t>
  </si>
  <si>
    <t>KONICE</t>
  </si>
  <si>
    <t>Území Norfolk</t>
  </si>
  <si>
    <t>NF</t>
  </si>
  <si>
    <t>Výroba rafinovaných ropných produktů</t>
  </si>
  <si>
    <t>LITOVEL</t>
  </si>
  <si>
    <t>Norské království</t>
  </si>
  <si>
    <t>NO</t>
  </si>
  <si>
    <t>Výroba zákl.chem.látek,hnojiv a dusík.sl.,plastů a synt.kaučuku v prim.f.</t>
  </si>
  <si>
    <t>PROSTĚJOV</t>
  </si>
  <si>
    <t>Nová Kaledonie</t>
  </si>
  <si>
    <t>NC</t>
  </si>
  <si>
    <t>Výroba pesticidů a jiných agrochemických přípravků</t>
  </si>
  <si>
    <t>PŘEROV</t>
  </si>
  <si>
    <t>Nový Zéland</t>
  </si>
  <si>
    <t>NZ</t>
  </si>
  <si>
    <t>Výroba nátěr.barev,laků a jiných nátěrových mater.,tisk.barev a tmelů</t>
  </si>
  <si>
    <t>ŠTERNBERK</t>
  </si>
  <si>
    <t>Sultanát Omán</t>
  </si>
  <si>
    <t>OM</t>
  </si>
  <si>
    <t>Výroba mýdel a detergentů,čist.a lešticích prostř.,parfémů a toal. přípr.</t>
  </si>
  <si>
    <t>ŠUMPERK</t>
  </si>
  <si>
    <t>Pákistánská islámská republika</t>
  </si>
  <si>
    <t>PK</t>
  </si>
  <si>
    <t>Výroba ostatních chemických výrobků</t>
  </si>
  <si>
    <t>ZÁBŘEH</t>
  </si>
  <si>
    <t>Republika Palau</t>
  </si>
  <si>
    <t>PW</t>
  </si>
  <si>
    <t>Výroba chemických vláken</t>
  </si>
  <si>
    <t>OSTRAVA I</t>
  </si>
  <si>
    <t>Palestinská autonomní území</t>
  </si>
  <si>
    <t>PS</t>
  </si>
  <si>
    <t>Výroba základních farmaceutických výrobků</t>
  </si>
  <si>
    <t>OSTRAVA II</t>
  </si>
  <si>
    <t>Panamská republika</t>
  </si>
  <si>
    <t>PA</t>
  </si>
  <si>
    <t>Výroba farmaceutických přípravků</t>
  </si>
  <si>
    <t>OSTRAVA III</t>
  </si>
  <si>
    <t>Nezávislý stát Papua Nová Guinea</t>
  </si>
  <si>
    <t>PG</t>
  </si>
  <si>
    <t>Výroba pryžových výrobků</t>
  </si>
  <si>
    <t>BOHUMÍN</t>
  </si>
  <si>
    <t>Paraguayská republika</t>
  </si>
  <si>
    <t>PY</t>
  </si>
  <si>
    <t>Výroba plastových výrobků</t>
  </si>
  <si>
    <t>BRUNTÁL</t>
  </si>
  <si>
    <t>Peruánská republika</t>
  </si>
  <si>
    <t>PE</t>
  </si>
  <si>
    <t>Výroba skla a skleněných výrobků</t>
  </si>
  <si>
    <t>ČESKÝ TĚŠÍN</t>
  </si>
  <si>
    <t>Pitcairnovy ostrovy</t>
  </si>
  <si>
    <t>PN</t>
  </si>
  <si>
    <t>Výroba žáruvzdorných výrobků</t>
  </si>
  <si>
    <t>FRÝDEK-MÍSTEK</t>
  </si>
  <si>
    <t>Republika Pobřeží slonoviny</t>
  </si>
  <si>
    <t>CI</t>
  </si>
  <si>
    <t>Výroba stavebních výrobků z jílovitých materiálů</t>
  </si>
  <si>
    <t>FRÝDLANT NAD OSTRAV.</t>
  </si>
  <si>
    <t>Polská republika</t>
  </si>
  <si>
    <t>PL</t>
  </si>
  <si>
    <t>Výroba ostatních porcelánových a keramických výrobků</t>
  </si>
  <si>
    <t>FULNEK</t>
  </si>
  <si>
    <t>Portorické společenství</t>
  </si>
  <si>
    <t>PR</t>
  </si>
  <si>
    <t>Výroba cementu, vápna a sádry</t>
  </si>
  <si>
    <t>HAVÍŘOV</t>
  </si>
  <si>
    <t>Portugalská republika</t>
  </si>
  <si>
    <t>PT</t>
  </si>
  <si>
    <t>Výroba betonových, cementových a sádrových výrobků</t>
  </si>
  <si>
    <t>HLUČÍN</t>
  </si>
  <si>
    <t>Rakouská republika</t>
  </si>
  <si>
    <t>AT</t>
  </si>
  <si>
    <t>Řezání, tvarování a konečná úprava kamenů</t>
  </si>
  <si>
    <t>KARVINÁ</t>
  </si>
  <si>
    <t>Region Réunion</t>
  </si>
  <si>
    <t>RE</t>
  </si>
  <si>
    <t>Výroba brusiv a ostatních nekovových minerálních výrobků j. n.</t>
  </si>
  <si>
    <t>KOPŘIVNICE</t>
  </si>
  <si>
    <t>Republika Rovníková Guinea</t>
  </si>
  <si>
    <t>GQ</t>
  </si>
  <si>
    <t>Výroba sur.železa,oceli a feroslitin,ploch.výr.,tváření výrobků za tepla</t>
  </si>
  <si>
    <t>KRNOV</t>
  </si>
  <si>
    <t>Rumunsko</t>
  </si>
  <si>
    <t>RO</t>
  </si>
  <si>
    <t>Výroba ocelových trub,trubek,dutých profilů a souvis.potrubních tvarovek</t>
  </si>
  <si>
    <t>NOVÝ JIČÍN</t>
  </si>
  <si>
    <t>Ruská federace</t>
  </si>
  <si>
    <t>RU</t>
  </si>
  <si>
    <t>Výroba ostatních výrobků získaných jednostupňovým zpracováním oceli</t>
  </si>
  <si>
    <t>OPAVA</t>
  </si>
  <si>
    <t>Rwandská republika</t>
  </si>
  <si>
    <t>RW</t>
  </si>
  <si>
    <t>Výroba a hutní zpracování drahých a neželezných kovů</t>
  </si>
  <si>
    <t>ORLOVÁ</t>
  </si>
  <si>
    <t>Řecká republika</t>
  </si>
  <si>
    <t>GR</t>
  </si>
  <si>
    <t>Slévárenství</t>
  </si>
  <si>
    <t>TŘINEC</t>
  </si>
  <si>
    <t>Územní společenství Saint Pierre a Miquelon</t>
  </si>
  <si>
    <t>PM</t>
  </si>
  <si>
    <t>Výroba konstrukčních kovových výrobků</t>
  </si>
  <si>
    <t>ZLÍN</t>
  </si>
  <si>
    <t>Salvadorská republika</t>
  </si>
  <si>
    <t>SV</t>
  </si>
  <si>
    <t>Výroba radiátorů a kotlů k ústřednímu topení, kovových nádrží a zásobníků</t>
  </si>
  <si>
    <t>BYSTŘICE POD HOSTÝNEM</t>
  </si>
  <si>
    <t>Nezávislý stát Samoa</t>
  </si>
  <si>
    <t>WS</t>
  </si>
  <si>
    <t>Výroba parních kotlů, kromě kotlů pro ústřední topení</t>
  </si>
  <si>
    <t>HOLEŠOV</t>
  </si>
  <si>
    <t>Republika San Marino</t>
  </si>
  <si>
    <t>SM</t>
  </si>
  <si>
    <t>Výroba zbraní a střeliva</t>
  </si>
  <si>
    <t>KROMĚŘÍŽ</t>
  </si>
  <si>
    <t>Království Saúdská Arábie</t>
  </si>
  <si>
    <t>SA</t>
  </si>
  <si>
    <t>Kování,lisování,ražení,válcování a protlačování kovů;prášková metalurgie</t>
  </si>
  <si>
    <t>LUHAČOVICE</t>
  </si>
  <si>
    <t>Senegalská republika</t>
  </si>
  <si>
    <t>SN</t>
  </si>
  <si>
    <t>Povrchová úprava a zušlechťování kovů; obrábění</t>
  </si>
  <si>
    <t>OTROKOVICE</t>
  </si>
  <si>
    <t>Společenství Severní Mariany</t>
  </si>
  <si>
    <t>MP</t>
  </si>
  <si>
    <t>Výroba nožířských výrobků, nástrojů a železářských výrobků</t>
  </si>
  <si>
    <t>ROŽNOV POD RADH.</t>
  </si>
  <si>
    <t>Seychelská republika</t>
  </si>
  <si>
    <t>SC</t>
  </si>
  <si>
    <t>Výroba ostatních kovodělných výrobků</t>
  </si>
  <si>
    <t>UHERSKÝ BROD</t>
  </si>
  <si>
    <t>Republika Sierra Leone</t>
  </si>
  <si>
    <t>SL</t>
  </si>
  <si>
    <t>Výroba elektronických součástek a desek</t>
  </si>
  <si>
    <t>UHERSKÉ HRADIŠTĚ</t>
  </si>
  <si>
    <t>Singapurská republika</t>
  </si>
  <si>
    <t>SG</t>
  </si>
  <si>
    <t>Výroba počítačů a periferních zařízení</t>
  </si>
  <si>
    <t>VALAŠSKÉ MEZIŘÍČÍ</t>
  </si>
  <si>
    <t>Slovenská republika</t>
  </si>
  <si>
    <t>SK</t>
  </si>
  <si>
    <t>Výroba komunikačních zařízení</t>
  </si>
  <si>
    <t>VALAŠSKÉ KLOBOUKY</t>
  </si>
  <si>
    <t>Slovinská republika</t>
  </si>
  <si>
    <t>SI</t>
  </si>
  <si>
    <t>Výroba spotřební elektroniky</t>
  </si>
  <si>
    <t>VSETÍN</t>
  </si>
  <si>
    <t>Somálská federativní republika</t>
  </si>
  <si>
    <t>SO</t>
  </si>
  <si>
    <t>Výroba měřicích,zkušebních a navigačních přístrojů;výroba časoměr.přístrojů</t>
  </si>
  <si>
    <t>Stát Spojené arabské emiráty</t>
  </si>
  <si>
    <t>AE</t>
  </si>
  <si>
    <t>Výroba ozařovacích, elektroléčebných a elektroterapeutických přístrojů</t>
  </si>
  <si>
    <t>Spojené státy americké</t>
  </si>
  <si>
    <t>US</t>
  </si>
  <si>
    <t>Výroba optických a fotografických přístrojů a zařízení</t>
  </si>
  <si>
    <t>Srbská republika</t>
  </si>
  <si>
    <t>RS</t>
  </si>
  <si>
    <t>Výroba magnetických a optických médií</t>
  </si>
  <si>
    <t>Středoafrická republika</t>
  </si>
  <si>
    <t>CF</t>
  </si>
  <si>
    <t>Výroba elektr.motorů,generátorů,transformátorů a elektr.rozvod.a kontrol.z.</t>
  </si>
  <si>
    <t>Súdánská republika</t>
  </si>
  <si>
    <t>SD</t>
  </si>
  <si>
    <t>Výroba baterií a akumulátorů</t>
  </si>
  <si>
    <t>Surinamská republika</t>
  </si>
  <si>
    <t>SR</t>
  </si>
  <si>
    <t>Výroba optických a elektr.kabelů,elektr.vodičů a elektroinstal.zařízení</t>
  </si>
  <si>
    <t>Svatá Helena, Ascension a Tristan da Cunha</t>
  </si>
  <si>
    <t>SH</t>
  </si>
  <si>
    <t>Výroba elektrických osvětlovacích zařízení</t>
  </si>
  <si>
    <t>Svatá Lucie</t>
  </si>
  <si>
    <t>LC</t>
  </si>
  <si>
    <t>Výroba spotřebičů převážně pro domácnost</t>
  </si>
  <si>
    <t>Společenství Svatý Bartoloměj</t>
  </si>
  <si>
    <t>BL</t>
  </si>
  <si>
    <t>Výroba ostatních elektrických zařízení</t>
  </si>
  <si>
    <t>Federace Svatý Kryštof a Nevis</t>
  </si>
  <si>
    <t>KN</t>
  </si>
  <si>
    <t>Výroba strojů a zařízení pro všeobecné účely</t>
  </si>
  <si>
    <t>Společenství Svatý Martin</t>
  </si>
  <si>
    <t>MF</t>
  </si>
  <si>
    <t>Výroba ostatních strojů a zařízení pro všeobecné účely</t>
  </si>
  <si>
    <t>Svatý Martin (NL)</t>
  </si>
  <si>
    <t>SX</t>
  </si>
  <si>
    <t>Výroba zemědělských a lesnických strojů</t>
  </si>
  <si>
    <t>Demokratická republika Svatý Tomáš a Princův ostrov</t>
  </si>
  <si>
    <t>ST</t>
  </si>
  <si>
    <t>Výroba kovoobráběcích a ostatních obráběcích strojů</t>
  </si>
  <si>
    <t>Svatý Vincenc a Grenadiny</t>
  </si>
  <si>
    <t>VC</t>
  </si>
  <si>
    <t>Výroba ostatních strojů pro speciální účely</t>
  </si>
  <si>
    <t>Svazijské království</t>
  </si>
  <si>
    <t>SZ</t>
  </si>
  <si>
    <t>Výroba motorových vozidel a jejich motorů</t>
  </si>
  <si>
    <t>Syrská arabská republika</t>
  </si>
  <si>
    <t>SY</t>
  </si>
  <si>
    <t>Výroba karoserií motorových vozidel; výroba přívěsů a návěsů</t>
  </si>
  <si>
    <t>Šalomounovy ostrovy</t>
  </si>
  <si>
    <t>SB</t>
  </si>
  <si>
    <t>Výroba dílů a příslušenství pro motorová vozidla a jejich motory</t>
  </si>
  <si>
    <t>Španělské království</t>
  </si>
  <si>
    <t>ES</t>
  </si>
  <si>
    <t>Stavba lodí a člunů</t>
  </si>
  <si>
    <t>Špicberky a Jan Mayen</t>
  </si>
  <si>
    <t>SJ</t>
  </si>
  <si>
    <t>Výroba železničních lokomotiv a vozového parku</t>
  </si>
  <si>
    <t>Šrílanská demokratická socialistická republika</t>
  </si>
  <si>
    <t>LK</t>
  </si>
  <si>
    <t>Výroba letadel a jejich motorů,kosmických lodí a souvisejících zařízení</t>
  </si>
  <si>
    <t>Švédské království</t>
  </si>
  <si>
    <t>SE</t>
  </si>
  <si>
    <t>Výroba vojenských bojových vozidel</t>
  </si>
  <si>
    <t>Švýcarská konfederace</t>
  </si>
  <si>
    <t>CH</t>
  </si>
  <si>
    <t>Výroba dopravních prostředků a zařízení j. n.</t>
  </si>
  <si>
    <t>Republika Tádžikistán</t>
  </si>
  <si>
    <t>TJ</t>
  </si>
  <si>
    <t>Mořský rybolov</t>
  </si>
  <si>
    <t>Tanzanská sjednocená republika</t>
  </si>
  <si>
    <t>TZ</t>
  </si>
  <si>
    <t>Sladkovodní rybolov</t>
  </si>
  <si>
    <t>Thajské království</t>
  </si>
  <si>
    <t>TH</t>
  </si>
  <si>
    <t>Výroba klenotů, bižuterie a příbuzných výrobků</t>
  </si>
  <si>
    <t>Čínská republika (Tchaj-wan)</t>
  </si>
  <si>
    <t>TW</t>
  </si>
  <si>
    <t>Mořská akvakultura</t>
  </si>
  <si>
    <t>Tožská republika</t>
  </si>
  <si>
    <t>TG</t>
  </si>
  <si>
    <t>Výroba hudebních nástrojů</t>
  </si>
  <si>
    <t>Tokelau</t>
  </si>
  <si>
    <t>TK</t>
  </si>
  <si>
    <t>Sladkovodní akvakultura</t>
  </si>
  <si>
    <t>Království Tonga</t>
  </si>
  <si>
    <t>TO</t>
  </si>
  <si>
    <t>Výroba sportovních potřeb</t>
  </si>
  <si>
    <t>Republika Trinidad a Tobago</t>
  </si>
  <si>
    <t>TT</t>
  </si>
  <si>
    <t>Výroba her a hraček</t>
  </si>
  <si>
    <t>Tuniská republika</t>
  </si>
  <si>
    <t>TN</t>
  </si>
  <si>
    <t>Výroba lékařských a dentálních nástrojů a potřeb</t>
  </si>
  <si>
    <t>Turecká republika</t>
  </si>
  <si>
    <t>TR</t>
  </si>
  <si>
    <t>Zpracovatelský průmysl j. n.</t>
  </si>
  <si>
    <t>Turkmenistán</t>
  </si>
  <si>
    <t>TM</t>
  </si>
  <si>
    <t>Opravy kovodělných výrobků, strojů a zařízení</t>
  </si>
  <si>
    <t>Ostrovy Turks a Caicos</t>
  </si>
  <si>
    <t>TC</t>
  </si>
  <si>
    <t>Instalace průmyslových strojů a zařízení</t>
  </si>
  <si>
    <t>Tuvalu</t>
  </si>
  <si>
    <t>TV</t>
  </si>
  <si>
    <t>Výroba, přenos a rozvod elektřiny</t>
  </si>
  <si>
    <t>Ugandská republika</t>
  </si>
  <si>
    <t>UG</t>
  </si>
  <si>
    <t>Výroba plynu; rozvod plynných paliv prostřednictvím sítí</t>
  </si>
  <si>
    <t>Ukrajina</t>
  </si>
  <si>
    <t>UA</t>
  </si>
  <si>
    <t>Výroba a rozvod tepla a klimatizovaného vzduchu, výroba ledu</t>
  </si>
  <si>
    <t>Uruguayská východní republika</t>
  </si>
  <si>
    <t>UY</t>
  </si>
  <si>
    <t>Shromažďování a sběr odpadů</t>
  </si>
  <si>
    <t>Republika Uzbekistán</t>
  </si>
  <si>
    <t>UZ</t>
  </si>
  <si>
    <t>Odstraňování odpadů</t>
  </si>
  <si>
    <t>Území Vánoční ostrov</t>
  </si>
  <si>
    <t>CX</t>
  </si>
  <si>
    <t>Úprava odpadů k dalšímu využití</t>
  </si>
  <si>
    <t>Republika Vanuatu</t>
  </si>
  <si>
    <t>VU</t>
  </si>
  <si>
    <t>Developerská činnost</t>
  </si>
  <si>
    <t>Vatikánský městský stát</t>
  </si>
  <si>
    <t>VA</t>
  </si>
  <si>
    <t>Výstavba bytových a nebytových budov</t>
  </si>
  <si>
    <t>Spojené království Velké Británie a Severního Irska</t>
  </si>
  <si>
    <t>GB</t>
  </si>
  <si>
    <t>Výstavba silnic a železnic</t>
  </si>
  <si>
    <t>Bolívarovská republika Venezuela</t>
  </si>
  <si>
    <t>VE</t>
  </si>
  <si>
    <t>Výstavba inženýrských sítí</t>
  </si>
  <si>
    <t>Vietnamská socialistická republika</t>
  </si>
  <si>
    <t>VN</t>
  </si>
  <si>
    <t>Výstavba ostatních staveb</t>
  </si>
  <si>
    <t>Demokratická republika Východní Timor</t>
  </si>
  <si>
    <t>TL</t>
  </si>
  <si>
    <t>Demolice a příprava staveniště</t>
  </si>
  <si>
    <t>Teritorium Wallisovy ostrovy a Futuna</t>
  </si>
  <si>
    <t>WF</t>
  </si>
  <si>
    <t>Elektroinstalační, instalatérské a ostatní stavebně instalační práce</t>
  </si>
  <si>
    <t>Zambijská republika</t>
  </si>
  <si>
    <t>ZM</t>
  </si>
  <si>
    <t>Kompletační a dokončovací práce</t>
  </si>
  <si>
    <t>Saharská arabská demokratická republika</t>
  </si>
  <si>
    <t>EH</t>
  </si>
  <si>
    <t>Ostatní specializované stavební činnosti</t>
  </si>
  <si>
    <t>Zimbabwská republika</t>
  </si>
  <si>
    <t>ZW</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</si>
  <si>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</si>
  <si>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</si>
  <si>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</si>
  <si>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</si>
  <si>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</si>
  <si>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</si>
  <si>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</si>
  <si>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</si>
  <si>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</si>
  <si>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</si>
  <si>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</si>
  <si>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</si>
  <si>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</si>
  <si>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</si>
  <si>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</si>
  <si>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</si>
  <si>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</si>
  <si>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</si>
  <si>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</si>
  <si>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</si>
  <si>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</si>
  <si>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</si>
  <si>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</si>
  <si>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</si>
  <si>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</si>
  <si>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</si>
  <si>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</si>
  <si>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</si>
  <si>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</si>
  <si>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</si>
  <si>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</si>
  <si>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</si>
  <si>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</si>
  <si>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</si>
  <si>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</si>
  <si>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</si>
  <si>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</si>
  <si>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</si>
  <si>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</si>
  <si>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</si>
  <si>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</si>
  <si>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</si>
  <si>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</si>
  <si>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</si>
  <si>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</si>
  <si>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</si>
  <si>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</si>
  <si>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</si>
  <si>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</si>
  <si>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</si>
  <si>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</si>
  <si>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</si>
  <si>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</si>
  <si>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</si>
  <si>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</si>
  <si>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</si>
  <si>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</si>
  <si>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</si>
  <si>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</si>
  <si>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</si>
  <si>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</si>
  <si>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</si>
  <si>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</si>
  <si>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</si>
  <si>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</si>
  <si>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</si>
  <si>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</si>
  <si>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</si>
  <si>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</si>
  <si>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</si>
  <si>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</si>
  <si>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</si>
  <si>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</si>
  <si>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</si>
  <si>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Těžba a úprava uranových a thoriových rud</t>
  </si>
  <si>
    <t>Výzkum a vývoj v oblasti společenských a humanitních věd</t>
  </si>
  <si>
    <t>Těžba a úprava ostatních neželezných rud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</si>
  <si>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</si>
  <si>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</si>
  <si>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</si>
  <si>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</si>
  <si>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</si>
  <si>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</si>
  <si>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</si>
  <si>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</si>
  <si>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</si>
  <si>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</si>
  <si>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</si>
  <si>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</si>
  <si>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</si>
  <si>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</si>
  <si>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</si>
  <si>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</si>
  <si>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</si>
  <si>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</si>
  <si>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</si>
  <si>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Dobývání kamene pro výtv.nebo stav.účely,vápence,sádrovce,křídy,břidl.</t>
  </si>
  <si>
    <t>Úklidové činnosti</t>
  </si>
  <si>
    <t>Provoz pískoven a štěrkopískoven; těžba jílů a kaolinu</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</si>
  <si>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</si>
  <si>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</si>
  <si>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</si>
  <si>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</si>
  <si>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</si>
  <si>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</si>
  <si>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</si>
  <si>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</si>
  <si>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</si>
  <si>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</si>
  <si>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</si>
  <si>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</si>
  <si>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</si>
  <si>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</si>
  <si>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</si>
  <si>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</si>
  <si>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</si>
  <si>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</si>
  <si>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</si>
  <si>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</si>
  <si>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</si>
  <si>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</si>
  <si>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</si>
  <si>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</si>
  <si>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Těžba chemických minerálů a minerálů pro výrobu hnojiv</t>
  </si>
  <si>
    <t>Těžba rašeliny</t>
  </si>
  <si>
    <t>Těžba soli</t>
  </si>
  <si>
    <t>Ostatní těžba a dobývání j. n.</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</si>
  <si>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</si>
  <si>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</si>
  <si>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</si>
  <si>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</si>
  <si>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</si>
  <si>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</si>
  <si>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</si>
  <si>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</si>
  <si>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</si>
  <si>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</si>
  <si>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</si>
  <si>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</si>
  <si>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</si>
  <si>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</si>
  <si>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</si>
  <si>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</si>
  <si>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</si>
  <si>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</si>
  <si>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</si>
  <si>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</si>
  <si>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</si>
  <si>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</si>
  <si>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</si>
  <si>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</si>
  <si>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</si>
  <si>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</si>
  <si>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</si>
  <si>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</si>
  <si>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</si>
  <si>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</si>
  <si>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</si>
  <si>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</si>
  <si>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</si>
  <si>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</si>
  <si>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</si>
  <si>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</si>
  <si>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</si>
  <si>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</si>
  <si>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</si>
  <si>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</si>
  <si>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</si>
  <si>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</si>
  <si>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</si>
  <si>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</si>
  <si>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</si>
  <si>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</si>
  <si>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</si>
  <si>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</si>
  <si>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</si>
  <si>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</si>
  <si>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</si>
  <si>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</si>
  <si>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</si>
  <si>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</si>
  <si>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Chov drobných hospodářských zvířat</t>
  </si>
  <si>
    <t>Chov kožešinových zvířat</t>
  </si>
  <si>
    <t>Chov zvířat pro zájmový chov</t>
  </si>
  <si>
    <t>Chov ostatních zvířat j. n.</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</si>
  <si>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</si>
  <si>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</si>
  <si>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</si>
  <si>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</si>
  <si>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</si>
  <si>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</si>
  <si>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</si>
  <si>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</si>
  <si>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</si>
  <si>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</si>
  <si>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</si>
  <si>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</si>
  <si>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</si>
  <si>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</si>
  <si>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</si>
  <si>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</si>
  <si>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</si>
  <si>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</si>
  <si>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</si>
  <si>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</si>
  <si>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</si>
  <si>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</si>
  <si>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</si>
  <si>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</si>
  <si>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</si>
  <si>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</si>
  <si>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</si>
  <si>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</si>
  <si>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</si>
  <si>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</si>
  <si>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</si>
  <si>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</si>
  <si>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</si>
  <si>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</si>
  <si>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</si>
  <si>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</si>
  <si>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</si>
  <si>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</si>
  <si>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</si>
  <si>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</si>
  <si>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</si>
  <si>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</si>
  <si>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</si>
  <si>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</si>
  <si>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</si>
  <si>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</si>
  <si>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</si>
  <si>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</si>
  <si>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</si>
  <si>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</si>
  <si>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</si>
  <si>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</si>
  <si>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</si>
  <si>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</si>
  <si>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</si>
  <si>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</si>
  <si>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</si>
  <si>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</si>
  <si>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</si>
  <si>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</si>
  <si>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</si>
  <si>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</si>
  <si>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</si>
  <si>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</si>
  <si>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</si>
  <si>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</si>
  <si>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</si>
  <si>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</si>
  <si>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</si>
  <si>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</si>
  <si>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</si>
  <si>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</si>
  <si>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</si>
  <si>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</si>
  <si>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</si>
  <si>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</si>
  <si>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</si>
  <si>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</si>
  <si>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</si>
  <si>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</si>
  <si>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</si>
  <si>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</si>
  <si>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</si>
  <si>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</si>
  <si>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</si>
  <si>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</si>
  <si>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</si>
  <si>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</si>
  <si>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</si>
  <si>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</si>
  <si>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</si>
  <si>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</si>
  <si>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</si>
  <si>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</si>
  <si>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</si>
  <si>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</si>
  <si>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</si>
  <si>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</si>
  <si>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</si>
  <si>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</si>
  <si>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</si>
  <si>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</si>
  <si>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</si>
  <si>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</si>
  <si>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</si>
  <si>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</si>
  <si>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</si>
  <si>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</si>
  <si>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</si>
  <si>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</si>
  <si>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</si>
  <si>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</si>
  <si>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</si>
  <si>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</si>
  <si>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</si>
  <si>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</si>
  <si>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</si>
  <si>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</si>
  <si>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</si>
  <si>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</si>
  <si>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</si>
  <si>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</si>
  <si>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</si>
  <si>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</si>
  <si>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</si>
  <si>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</si>
  <si>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</si>
  <si>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</si>
  <si>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</si>
  <si>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</si>
  <si>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</si>
  <si>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</si>
  <si>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</si>
  <si>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</si>
  <si>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</si>
  <si>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</si>
  <si>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</si>
  <si>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</si>
  <si>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</si>
  <si>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</si>
  <si>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</si>
  <si>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</si>
  <si>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</si>
  <si>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</si>
  <si>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</si>
  <si>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</si>
  <si>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</si>
  <si>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</si>
  <si>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</si>
  <si>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</si>
  <si>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</si>
  <si>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</si>
  <si>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</si>
  <si>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</si>
  <si>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</si>
  <si>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</si>
  <si>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</si>
  <si>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</si>
  <si>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</si>
  <si>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</si>
  <si>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</si>
  <si>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</si>
  <si>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</si>
  <si>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</si>
  <si>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</si>
  <si>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</si>
  <si>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</si>
  <si>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</si>
  <si>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</si>
  <si>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</si>
  <si>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</si>
  <si>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</si>
  <si>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</si>
  <si>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</si>
  <si>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</si>
  <si>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</si>
  <si>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</si>
  <si>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</si>
  <si>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</si>
  <si>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</si>
  <si>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</si>
  <si>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</si>
  <si>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</si>
  <si>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</si>
  <si>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</si>
  <si>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</si>
  <si>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</si>
  <si>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</si>
  <si>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</si>
  <si>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</si>
  <si>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</si>
  <si>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</si>
  <si>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</si>
  <si>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</si>
  <si>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</si>
  <si>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</si>
  <si>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</si>
  <si>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</si>
  <si>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</si>
  <si>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</si>
  <si>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</si>
  <si>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</si>
  <si>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</si>
  <si>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</si>
  <si>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</si>
  <si>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</si>
  <si>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</si>
  <si>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</si>
  <si>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</si>
  <si>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</si>
  <si>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</si>
  <si>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</si>
  <si>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</si>
  <si>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</si>
  <si>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</si>
  <si>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</si>
  <si>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</si>
  <si>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</si>
  <si>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</si>
  <si>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</si>
  <si>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</si>
  <si>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</si>
  <si>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</si>
  <si>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</si>
  <si>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</si>
  <si>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</si>
  <si>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</si>
  <si>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</si>
  <si>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</si>
  <si>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</si>
  <si>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</si>
  <si>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</si>
  <si>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</si>
  <si>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</si>
  <si>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</si>
  <si>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</si>
  <si>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</si>
  <si>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</si>
  <si>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</si>
  <si>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</si>
  <si>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</si>
  <si>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</si>
  <si>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</si>
  <si>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</si>
  <si>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</si>
  <si>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</si>
  <si>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</si>
  <si>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</si>
  <si>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</si>
  <si>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</si>
  <si>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</si>
  <si>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</si>
  <si>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</si>
  <si>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</si>
  <si>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</si>
  <si>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</si>
  <si>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</si>
  <si>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</si>
  <si>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</si>
  <si>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</si>
  <si>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</si>
  <si>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</si>
  <si>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</si>
  <si>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</si>
  <si>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</si>
  <si>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</si>
  <si>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</si>
  <si>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</si>
  <si>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Těžba černého uhlí</t>
  </si>
  <si>
    <t>Úprava černého uhlí</t>
  </si>
  <si>
    <t>Letecká nákladní doprava</t>
  </si>
  <si>
    <t>Kosmická doprava</t>
  </si>
  <si>
    <t>Těžba hnědého uhlí, kromě lignitu</t>
  </si>
  <si>
    <t>Úprava hnědého uhlí, kromě lignitu</t>
  </si>
  <si>
    <t>Těžba lignitu</t>
  </si>
  <si>
    <t>Úprava lignitu</t>
  </si>
  <si>
    <t>Činnosti související s pozemní dopravou</t>
  </si>
  <si>
    <t>Činnosti související s vodní dopravou</t>
  </si>
  <si>
    <t>Činnosti související s leteckou dopravou</t>
  </si>
  <si>
    <t>Manipulace s nákladem</t>
  </si>
  <si>
    <t>Vydávání knih</t>
  </si>
  <si>
    <t>Ostatní vydávání softwaru</t>
  </si>
  <si>
    <t>Promítání filmů</t>
  </si>
  <si>
    <t>Centrální bankovnictví</t>
  </si>
  <si>
    <t>Ostatní peněžní zprostředkování</t>
  </si>
  <si>
    <t>Finanční leasing</t>
  </si>
  <si>
    <t>Řízení a správa finančních trhů</t>
  </si>
  <si>
    <t>Obchodování s cennými papíry a komoditami na burzách</t>
  </si>
  <si>
    <t>Vyhodnocování rizik a škod</t>
  </si>
  <si>
    <t>Úprava železných rud</t>
  </si>
  <si>
    <t>Architektonické činnosti</t>
  </si>
  <si>
    <t>Inženýrské činnosti a související technické poradenství</t>
  </si>
  <si>
    <t>Úprava uranových a thoriových rud</t>
  </si>
  <si>
    <t>Úprava ostatních neželezných rud</t>
  </si>
  <si>
    <t>Činnosti reklamních agentur</t>
  </si>
  <si>
    <t>Zastupování médií při prodeji reklamního času a prostoru</t>
  </si>
  <si>
    <t>Pronájem a leasing nákladních automobilů</t>
  </si>
  <si>
    <t>Pronájem a leasing rekreačních a sportovních potřeb</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</si>
  <si>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</si>
  <si>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</si>
  <si>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</si>
  <si>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</si>
  <si>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</si>
  <si>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Činnosti cestovních agentur</t>
  </si>
  <si>
    <t>Činnosti cestovních kanceláří</t>
  </si>
  <si>
    <t>Všeobecný úklid budov</t>
  </si>
  <si>
    <t>Specializované čištění a úklid budov a průmyslových zařízení</t>
  </si>
  <si>
    <t>Ostatní úklidové činnosti</t>
  </si>
  <si>
    <t>Inkasní činnosti, ověřování solventnosti zákazníka</t>
  </si>
  <si>
    <t>Balicí činnosti</t>
  </si>
  <si>
    <t>Ostatní podpůrné činnosti pro podnikání j. n.</t>
  </si>
  <si>
    <t>Všeobecné činnosti veřejné správy</t>
  </si>
  <si>
    <t>Regulace a podpora podnikatelského prostředí</t>
  </si>
  <si>
    <t>Činnosti v oblasti zahraničních věcí</t>
  </si>
  <si>
    <t>Činnosti v oblasti obrany</t>
  </si>
  <si>
    <t>Činnosti v oblasti spravedlnosti a soudnictví</t>
  </si>
  <si>
    <t>Činnosti v oblasti veřejného pořádku a bezpečnosti</t>
  </si>
  <si>
    <t>Sportovní a rekreační vzdělávání</t>
  </si>
  <si>
    <t>Umělecké vzdělávání</t>
  </si>
  <si>
    <t>Všeobecná ambulantní zdravotní péče</t>
  </si>
  <si>
    <t>Specializovaná ambulantní zdravotní péče</t>
  </si>
  <si>
    <t>Zubní péče</t>
  </si>
  <si>
    <t>Ostatní ambulantní nebo terénní sociální služby j. n.</t>
  </si>
  <si>
    <t>Provozování sportovních zařízení</t>
  </si>
  <si>
    <t>Činnosti sportovních klubů</t>
  </si>
  <si>
    <t>Činnosti fitcenter</t>
  </si>
  <si>
    <t>Činnosti podnikatelských a zaměstnavatelských organizací</t>
  </si>
  <si>
    <t>Činnosti profesních organizací</t>
  </si>
  <si>
    <t>Činnosti náboženských organizací</t>
  </si>
  <si>
    <t>Pohřební a související činnosti</t>
  </si>
  <si>
    <t>Poskytování ostatních osobních služeb j. n.</t>
  </si>
  <si>
    <t>Výroba obuvi s usňovým svrškem</t>
  </si>
  <si>
    <t>Výroba chemických buničin</t>
  </si>
  <si>
    <t>Výroba mechanických vláknin</t>
  </si>
  <si>
    <t>Výroba ostatních papírenských vláknin</t>
  </si>
  <si>
    <t>Výroba jiných chemických výrobků j. n.</t>
  </si>
  <si>
    <t>Opravy a údržba kolejových vozidel</t>
  </si>
  <si>
    <t>Činnosti zastaváren</t>
  </si>
  <si>
    <t>Ostatní poskytování úvěrů j. n.</t>
  </si>
  <si>
    <t>Faktoringové činnosti</t>
  </si>
  <si>
    <t>Obchodování s cennými papíry na vlastní účet</t>
  </si>
  <si>
    <t>Činnosti autoškol</t>
  </si>
  <si>
    <t>Vzdělávání v jazykových školách</t>
  </si>
  <si>
    <t>Jiné vzdělávání j. n.</t>
  </si>
  <si>
    <t>Ostatní činnosti související se zdravotní péčí j. n.</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</si>
  <si>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</si>
  <si>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</si>
  <si>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</si>
  <si>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</si>
  <si>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</si>
  <si>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</si>
  <si>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</si>
  <si>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</si>
  <si>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</si>
  <si>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kde je něco</t>
  </si>
  <si>
    <t>OK</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</si>
  <si>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</si>
  <si>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</si>
  <si>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</si>
  <si>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</si>
  <si>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</si>
  <si>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</si>
  <si>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</si>
  <si>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</si>
  <si>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</si>
  <si>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</si>
  <si>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</si>
  <si>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</si>
  <si>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</si>
  <si>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daňový poradce, auditor Aspekt HM s.r.o.</t>
  </si>
  <si>
    <t>autor šablony</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</si>
  <si>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</si>
  <si>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</si>
  <si>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</si>
  <si>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</si>
  <si>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</si>
  <si>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</si>
  <si>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nebo ztráta z nájmu podle § 9 zákona (ř. 206 přílohy č. 2 DAP)</t>
  </si>
  <si>
    <t>Základ daně po odečtení ztráty (ř. 42 - ř. 44)</t>
  </si>
  <si>
    <t xml:space="preserve">Základ daně snížený o nezdanitelné části základu daně a položky odčitatelné od základu daně (ř. 45 - ř. 54) </t>
  </si>
  <si>
    <t>Daň podle §16 zákona (ř. 57) nebo částka z ř. 330 přílohy č. 3 DAP</t>
  </si>
  <si>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</si>
  <si>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</si>
  <si>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</si>
  <si>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</si>
  <si>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</si>
  <si>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</si>
  <si>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</si>
  <si>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</si>
  <si>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</si>
  <si>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</si>
  <si>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</si>
  <si>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</si>
  <si>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</si>
  <si>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</si>
  <si>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</si>
  <si>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</si>
  <si>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</si>
  <si>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</si>
  <si>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</si>
  <si>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</si>
  <si>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</si>
  <si>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t>ŽÁDOST O VRÁCENÍ PŘEPLATKU NA DANI Z PŘIJMŮ FYZICKÝCH OSOB</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</si>
  <si>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</si>
  <si>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</si>
  <si>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</si>
  <si>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</si>
  <si>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</si>
  <si>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</si>
  <si>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</si>
  <si>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</si>
  <si>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</si>
  <si>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Název hlavní (převažující) činnosti</t>
  </si>
  <si>
    <t>C. Údaje o samostatné činnosti</t>
  </si>
  <si>
    <t>Pohledávky včetně poskytnutých úvěrů a zápůjček</t>
  </si>
  <si>
    <t>Dluhy včetně přijatých úvěrů a zápůjček</t>
  </si>
  <si>
    <t xml:space="preserve">č. ř. </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</si>
  <si>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</si>
  <si>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</si>
  <si>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</si>
  <si>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</si>
  <si>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</si>
  <si>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</si>
  <si>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</si>
  <si>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</si>
  <si>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</si>
  <si>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</si>
  <si>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</si>
  <si>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</si>
  <si>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</si>
  <si>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</si>
  <si>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</si>
  <si>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</si>
  <si>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</si>
  <si>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</si>
  <si>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</si>
  <si>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</si>
  <si>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</si>
  <si>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</si>
  <si>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</si>
  <si>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</si>
  <si>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</si>
  <si>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</si>
  <si>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</si>
  <si>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</si>
  <si>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</si>
  <si>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</si>
  <si>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</si>
  <si>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</si>
  <si>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</si>
  <si>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</si>
  <si>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</si>
  <si>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</si>
  <si>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</si>
  <si>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</si>
  <si>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</si>
  <si>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</si>
  <si>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</si>
  <si>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</si>
  <si>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</si>
  <si>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</si>
  <si>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</si>
  <si>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</si>
  <si>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</si>
  <si>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</si>
  <si>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</si>
  <si>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</si>
  <si>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</si>
  <si>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</si>
  <si>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</si>
  <si>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</si>
  <si>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</si>
  <si>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</si>
  <si>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</si>
  <si>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</si>
  <si>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</si>
  <si>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</si>
  <si>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 O T V R Z E N Í</t>
  </si>
  <si>
    <t>zaměstnavatele druhého z poplatníků pro uplatnění nároku na daňové zvýhodnění</t>
  </si>
  <si>
    <t>Identifikace plátce daně</t>
  </si>
  <si>
    <t>Fyzická osoba (příjmení, jméno), právnická osoba (název právnické osoby)</t>
  </si>
  <si>
    <t>Sídlo / adresa místa pobytu</t>
  </si>
  <si>
    <t>Adresa bydliště (místo trvalého pobytu)</t>
  </si>
  <si>
    <t xml:space="preserve">Toto potvrzení nahrazuje </t>
  </si>
  <si>
    <t>Vyhotovil:</t>
  </si>
  <si>
    <t>Dne:</t>
  </si>
  <si>
    <t>Vlastnoruční podpis plátce daně / osoby oprávněné k podpisu</t>
  </si>
  <si>
    <t>Poučení:</t>
  </si>
  <si>
    <t>Č E S T N É  P R O H L Á Š E N Í</t>
  </si>
  <si>
    <t>Pan/paní:</t>
  </si>
  <si>
    <t>Bydliště:</t>
  </si>
  <si>
    <t>podpis</t>
  </si>
  <si>
    <t>Adresa místa pobytu k poslednímu dni kalendářního roku, za který se daň vyměřuje</t>
  </si>
  <si>
    <t>§ 34 odst. 4 zákona (výzkum a vývoj)</t>
  </si>
  <si>
    <t>§ 34 odst. 4 (odpočet na podporu odborného vzdělávání)</t>
  </si>
  <si>
    <t>69b</t>
  </si>
  <si>
    <t>Daň po uplatnění slevy podle § 35c zákona (ř. 71 - ř. 73)</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</si>
  <si>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</si>
  <si>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</si>
  <si>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</si>
  <si>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</si>
  <si>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</si>
  <si>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</si>
  <si>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</si>
  <si>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</si>
  <si>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Adresa místa pobytu na území České republiky, kde se poplatník obvykle ve zdaňovacím období zdržoval</t>
  </si>
  <si>
    <t>Dílčí základ daně nebo ztráta ze samostané činnosti podle § 7 zákona (ř. 113 přílohy č. 1 DAP)</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</si>
  <si>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</si>
  <si>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</si>
  <si>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</si>
  <si>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</si>
  <si>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</si>
  <si>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</si>
  <si>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</si>
  <si>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</si>
  <si>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</si>
  <si>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</si>
  <si>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</si>
  <si>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</si>
  <si>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</si>
  <si>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</si>
  <si>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</si>
  <si>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</si>
  <si>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</si>
  <si>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</si>
  <si>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</si>
  <si>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</si>
  <si>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</si>
  <si>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</si>
  <si>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</si>
  <si>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</si>
  <si>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</si>
  <si>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</si>
  <si>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</si>
  <si>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</si>
  <si>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</si>
  <si>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</si>
  <si>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Kód státu:</t>
  </si>
  <si>
    <t>Příjmy ze zdrojů v zahraničí -</t>
  </si>
  <si>
    <t>Rozdíl řádků (ř. 323 - ř. 326)</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</si>
  <si>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</si>
  <si>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</si>
  <si>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</si>
  <si>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</si>
  <si>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</si>
  <si>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</si>
  <si>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</si>
  <si>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</si>
  <si>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</si>
  <si>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</si>
  <si>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</si>
  <si>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</si>
  <si>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</si>
  <si>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</si>
  <si>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</si>
  <si>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</si>
  <si>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</si>
  <si>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</si>
  <si>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</si>
  <si>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</si>
  <si>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</si>
  <si>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</si>
  <si>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</si>
  <si>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</si>
  <si>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</si>
  <si>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</si>
  <si>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</si>
  <si>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</si>
  <si>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</si>
  <si>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</si>
  <si>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</si>
  <si>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</si>
  <si>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</si>
  <si>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sniz_lim7</t>
  </si>
  <si>
    <t>sniz_lim9</t>
  </si>
  <si>
    <r>
      <t xml:space="preserve">neomezená verze - šablona umožňuje xml export - sledujte list </t>
    </r>
    <r>
      <rPr>
        <b/>
        <i/>
        <sz val="12"/>
        <rFont val="Arial CE"/>
        <family val="2"/>
        <charset val="-18"/>
      </rPr>
      <t>XML_export</t>
    </r>
  </si>
  <si>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</si>
  <si>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</si>
  <si>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</si>
  <si>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</si>
  <si>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</si>
  <si>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</si>
  <si>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Pečlivě si uschovejte e-mail, který jste obdrželi po zaplacení šablony, kromě daňového dokladu obsahuje i odkaz pro případné opětovné stažení šablony v budoucnosti. Šablonu byla stažena z této adresy :</t>
  </si>
  <si>
    <t>LICENČNÍ PODMÍNKY POUŽITÍ ŠABLONY:</t>
  </si>
  <si>
    <t>Zakoupením/stažením šablony získává uživatel právo na použití šablony za následujících podmínek:</t>
  </si>
  <si>
    <t>1. šablona nesmí být dále šířena, zveřejňována, či půjčována,</t>
  </si>
  <si>
    <t xml:space="preserve">2. placená šablona smí být použita pouze pro jeden ekonomický subjekt (např. účetní či daňoví poradci musí pořídit samostatnou licenci šablony pro každého svého zákazníka, pro kterého chtějí šablonu používat), </t>
  </si>
  <si>
    <t xml:space="preserve">3. šablona smí být upravována pouze tak, jak byla k úpravám svým autorem zamýšlena; zejména nesmí být měněny části šablony chráněné heslem či jinými prostředky,
</t>
  </si>
  <si>
    <t>4. uživatel používá šablonu na vlastní riziko a provozovatel serveru ani autoři šablon nenesou odpovědnost za případné škody způsobené použitím šablony.</t>
  </si>
  <si>
    <t xml:space="preserve">nebo vraťte na účet vedený u </t>
  </si>
  <si>
    <r>
      <t>Podpis daňového subjektu (podepisující osoby</t>
    </r>
    <r>
      <rPr>
        <vertAlign val="superscript"/>
        <sz val="8"/>
        <rFont val="Arial"/>
        <family val="2"/>
        <charset val="-18"/>
      </rPr>
      <t>3)</t>
    </r>
    <r>
      <rPr>
        <sz val="8"/>
        <rFont val="Arial"/>
        <family val="2"/>
        <charset val="-18"/>
      </rPr>
      <t>)</t>
    </r>
  </si>
  <si>
    <t>05 DAP podává daňový poradce na základě plné moci k zastupování</t>
  </si>
  <si>
    <t>16 Telefon / mobilní telefon*)</t>
  </si>
  <si>
    <t>17 E-mail*)</t>
  </si>
  <si>
    <t>07 Rodné příjmení*)</t>
  </si>
  <si>
    <t>09 Titul*)</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</si>
  <si>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</si>
  <si>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</si>
  <si>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</si>
  <si>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Dílčí základ daně, daňová ztráta z nájmu podle § 9 zákona                                          (ř. 203 + ř. 204 - ř. 205)</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</si>
  <si>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</si>
  <si>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</si>
  <si>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</si>
  <si>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</si>
  <si>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</si>
  <si>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</si>
  <si>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</si>
  <si>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 xml:space="preserve">SPOLEČNÉ ÚDAJE </t>
  </si>
  <si>
    <t>27 Telefon / mobilní telefon*)</t>
  </si>
  <si>
    <t>28 E-mail*)</t>
  </si>
  <si>
    <t>Dílčí základ daně podle § 6 zákona (ř. 31 - ř. 33)</t>
  </si>
  <si>
    <t>Úhrn příjmů plynoucí ze zahraničí podle § 6 zákona</t>
  </si>
  <si>
    <t>Základ daně (36 + kladná hodnota z ř. 41)</t>
  </si>
  <si>
    <t>Uplatňovaná výše pravomocně stanovené ztráty (maximálně do výše ř. 41)</t>
  </si>
  <si>
    <t>Úhrn nezdanitelných částí základu daně a položek odčitatelných od základu daně (ř. 46 + ř. 47 + ř. 48 + ř. 49 + ř. 50 + ř. 51 + ř. 52 + ř. 53)</t>
  </si>
  <si>
    <r>
      <t xml:space="preserve">Daň zaokrouhlená </t>
    </r>
    <r>
      <rPr>
        <b/>
        <sz val="8"/>
        <rFont val="Arial CE"/>
        <family val="2"/>
        <charset val="-18"/>
      </rPr>
      <t>na celé Kč</t>
    </r>
    <r>
      <rPr>
        <sz val="8"/>
        <rFont val="Arial CE"/>
        <family val="2"/>
        <charset val="-18"/>
      </rPr>
      <t xml:space="preserve"> nahoru</t>
    </r>
  </si>
  <si>
    <t>74a</t>
  </si>
  <si>
    <t>Daň celkem (ř. 74 - ř. 74a)</t>
  </si>
  <si>
    <t>Daň celkem po úpravě o daňový bonus (ř. 75 – ř. 76), pokud
je na řádku záporné číslo uveďte nulu</t>
  </si>
  <si>
    <t>Daňový bonus po odpočtu daně (ř. 76 – ř. 75), pokud je na
řádku záporné číslo uveďte nulu</t>
  </si>
  <si>
    <t>77a</t>
  </si>
  <si>
    <t>Zjištěná daň podle § 141 zákona č. 280/2009 Sb., daňového řádu (ř. 77 nebo ř. 77a)</t>
  </si>
  <si>
    <t>Úhrn záloh podle § 38lk zaplacených poplatníkem v paušálním
režimu</t>
  </si>
  <si>
    <t>Úhrn vyplacených měsíčních daňových bonusů podle § 35d
zákona (včetně případného doplatku na daňovém bonusu)</t>
  </si>
  <si>
    <t>Příloha č.4 - „Výpočet daně ze samostatného základu daně podle §16a zákona"</t>
  </si>
  <si>
    <t>Dílčí základ daně (ztráta) z příjmů dle § 7 zákona (ř. 104 + ř. 105 - ř. 106 - ř. 107 + ř. 108 + ř. 109 - ř. 110 + ř. 112)</t>
  </si>
  <si>
    <t>Příjmy podle § 9 zákona celkem</t>
  </si>
  <si>
    <t>2. Příjmy ze zdrojů v zahraničí - metoda zápočtu daně zaplacené v zahraničí</t>
  </si>
  <si>
    <t>1. Příjmy ze zdrojů v zahraničí - metoda vynětí s výhradou progrese</t>
  </si>
  <si>
    <t>Příjmy po vynětí podle § 6 zákona (ř. 36 – úhrn vyňatých příjmů
ze zdrojů v zahraničí podle § 6 zákona)</t>
  </si>
  <si>
    <t>Příjmy po vynětí podle § 7 až § 10 zákona (ř. 41 – úhrn vyňatých
příjmů ze zdrojů v zahraničí podle § 7 až § 10 zákona)</t>
  </si>
  <si>
    <t>Základ daně po vynětí příjmů ze zdrojů v zahraničí
(ř. 311 + kladný ř. 312)</t>
  </si>
  <si>
    <t>Sazba celkového daňového zatížení –
(ř. 57 děleno ř. 56, násobeno stem)</t>
  </si>
  <si>
    <t>Daň ze základu daně po vynětí příjmů ze zdrojů v zahraničí
(ř. 314 násobeno ř. 315, děleno stem)</t>
  </si>
  <si>
    <t>Z částky daně zaplacené v zahraničí lze maximálně započítat                    [(ř. 57 nebo ř. 316 násobeno ř. 324, děleno 100]</t>
  </si>
  <si>
    <r>
      <t xml:space="preserve">Vypočtená částka </t>
    </r>
    <r>
      <rPr>
        <sz val="8"/>
        <rFont val="Arial CE"/>
        <family val="2"/>
        <charset val="-18"/>
      </rPr>
      <t xml:space="preserve">[(ř. 57 nebo ř. 316 ) - ř. 328] </t>
    </r>
  </si>
  <si>
    <t>Základ daně po vynětí příjmů ze zdrojů v zahraničí snížený o nezdanitelné části základu daně a odčitatelné položky (ř. 313 – ř. 54 – ř. 44) zaokrouhlený na celá sta Kč dolů</t>
  </si>
  <si>
    <t>25 5405/a MFin 5405/a - vzor č. 5</t>
  </si>
  <si>
    <t xml:space="preserve">Koeficient zápočtu (ř. 321 - ř. 322) děleno (ř. 42 nebo ř. 313) výsledek vynásobte 100 </t>
  </si>
  <si>
    <t>Z částky daně zaplacené v zahraničí lze maximálně započítat                                    [(ř. 57 nebo ř. 316) násobeno ř. 324 děleno 100]</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</si>
  <si>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t>
    </r>
  </si>
  <si>
    <t>25 5405b MFin 5405b - vzor č. 3</t>
  </si>
  <si>
    <t>PŘÍLOHA č. 4</t>
  </si>
  <si>
    <t>Příjmy podle § 8 odst. 1 písm. a) až f) a i) zákona plynoucí
ze zdrojů v zahraničí nebo úrok nebo jiný výnos ze směnky
vystavené bankou k zajištění pohledávky vzniklé z vkladu věřitele
plynoucí ze zdrojů v zahraničí</t>
  </si>
  <si>
    <t>Příjmy podle § 10 odst. 1 písm. h) bod 1, ch) a o) zákona plynoucí
ze zdrojů v zahraničí</t>
  </si>
  <si>
    <t>Výdaje k příjmům z ceny z veřejné soutěže podle § 10 odst. 1
písm. ch) zákona</t>
  </si>
  <si>
    <t>Příjmy podle § 10 odst. 1 písm. f) a písm. g) zákona plynoucí ze
zdrojů v zahraničí</t>
  </si>
  <si>
    <t>Výdaje k příjmům podle § 10 odst. 1 písm. f) a písm. g) zákona</t>
  </si>
  <si>
    <t>Dílčí samostatný základ daně z příjmů dle § 10 odst. 1 písm. h)
bod 1, ch) a o) zákona (ř. 402 – ř. 403)</t>
  </si>
  <si>
    <t>Dílčí samostatný základ daně z příjmů dle § 10 odst. 1 písm. f)
a písm. g) zákona (ř. 404 – ř. 405)</t>
  </si>
  <si>
    <t>Úhrn příjmů, u nichž se uplatní zápočet – z příjmů uvedených
na ř. 406, ř. 407 a ř. 408</t>
  </si>
  <si>
    <t xml:space="preserve">Příjmení a jméno poplatníka: </t>
  </si>
  <si>
    <t>Poslední známá daňová povinnost:</t>
  </si>
  <si>
    <t>Pokud termín pro podání dalšího daňového přiznání k dani z příjmů fyzických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</si>
  <si>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Zbývá doplatit  (ř. 77 - ř. 77a - ř. 84 - ř. 85 - ř. 86 - ř. 87 - ř. 87a - ř. 88 + ř. 89 - ř. 90): (+) zbývá doplatit, (-) zaplaceno více</t>
  </si>
  <si>
    <t>ZVLÁŠTNÍ PŘÍLOHA - ÚDAJE O DALŠÍCH DĚTECH ŽIJÍCÍCH S POPLATNÍKEM VE SPOLEČNĚ HOSPODAŘÍCÍ DOMÁCNOSTI</t>
  </si>
  <si>
    <t>da_samzakl</t>
  </si>
  <si>
    <t>kc_dan_celk</t>
  </si>
  <si>
    <t>kc_dan_po_db</t>
  </si>
  <si>
    <t>kc_db_po_odpd</t>
  </si>
  <si>
    <t>pril_loto</t>
  </si>
  <si>
    <t>priloha4</t>
  </si>
  <si>
    <t>roz_od10</t>
  </si>
  <si>
    <t>kc_zakztr</t>
  </si>
  <si>
    <t>proc_od10</t>
  </si>
  <si>
    <t>da_vzahod9</t>
  </si>
  <si>
    <t>https://adisspr.mfcr.cz/pmd/epo/formulare?nacteni=1</t>
  </si>
  <si>
    <t>Sražená daň podle § 36 odst. 6 zákona</t>
  </si>
  <si>
    <t>ii) prostřednictvím datové schránky poplatníka, resp. jeho zmocněného zástupce</t>
  </si>
  <si>
    <t>62a</t>
  </si>
  <si>
    <t>Sleva za zastavenou exekuci podle § 35 odst. 4 zákona</t>
  </si>
  <si>
    <t>Daň ze samostatného základu daně podle § 16a zákona
(částka z ř. 414 přílohy č. 4 DAP)</t>
  </si>
  <si>
    <t>Usnesení o zastavení exekuce</t>
  </si>
  <si>
    <r>
      <rPr>
        <b/>
        <sz val="8"/>
        <rFont val="Arial CE"/>
        <family val="2"/>
        <charset val="-18"/>
      </rPr>
      <t xml:space="preserve">Daň se sazbou 15 % ze součtu dílčích základů daně (ř. 409) </t>
    </r>
    <r>
      <rPr>
        <sz val="8"/>
        <rFont val="Arial CE"/>
        <family val="2"/>
        <charset val="-18"/>
      </rPr>
      <t>uveďte vypočtenou daňovou povinnost</t>
    </r>
  </si>
  <si>
    <t>Daň zaplacená v zahraničí z příjmů uvedených na ř. 411</t>
  </si>
  <si>
    <t>Daň uznaná k zápočtu (ř. 412 maximálně do výše 15 % z částky
uvedené na ř. 411)</t>
  </si>
  <si>
    <t>Daň ze samostatného základu daně podle § 16a zákona
(ř. 410 – ř. 413)</t>
  </si>
  <si>
    <t xml:space="preserve">Koeficient zápočtu (ř. 321 - ř. 322) děleno (ř. 42 nebo ř. 313), výsledek vynásobte stem </t>
  </si>
  <si>
    <r>
      <t xml:space="preserve">Součet dílčích základů daně (ř. 406 + ř. 407 + ř. 408) </t>
    </r>
    <r>
      <rPr>
        <b/>
        <sz val="8"/>
        <rFont val="Arial CE"/>
        <family val="2"/>
        <charset val="-18"/>
      </rPr>
      <t>zaokrouhlený</t>
    </r>
    <r>
      <rPr>
        <sz val="8"/>
        <rFont val="Arial CE"/>
        <family val="2"/>
        <charset val="-18"/>
      </rPr>
      <t xml:space="preserve"> na celá sta Kč dolů</t>
    </r>
  </si>
  <si>
    <t>Pokud máte příjmy ze zahraničí, zaškrtněte vedlejší políčko symbolem "X"</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</si>
  <si>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 xml:space="preserve">otestovat prostřednictvím aplikace </t>
    </r>
    <r>
      <rPr>
        <b/>
        <u val="single"/>
        <sz val="11"/>
        <rFont val="Arial CE"/>
        <family val="2"/>
        <charset val="-18"/>
      </rPr>
      <t>Moje daně</t>
    </r>
    <r>
      <rPr>
        <sz val="11"/>
        <rFont val="Arial CE"/>
        <family val="2"/>
        <charset val="-18"/>
      </rPr>
      <t xml:space="preserve">  zde: </t>
    </r>
  </si>
  <si>
    <r>
      <t xml:space="preserve">Po načtení xml souboru aplikace </t>
    </r>
    <r>
      <rPr>
        <u val="single"/>
        <sz val="11"/>
        <rFont val="Arial CE"/>
        <family val="2"/>
        <charset val="-18"/>
      </rPr>
      <t>Moje daně</t>
    </r>
    <r>
      <rPr>
        <sz val="11"/>
        <rFont val="Arial CE"/>
        <family val="2"/>
        <charset val="-18"/>
      </rPr>
      <t xml:space="preserve"> ověří, zda je vygenerovaný soubor v pořádku. Pro odstranění chyb z načtení doporučujeme postupovat dle pokynu uvedeném na listu </t>
    </r>
    <r>
      <rPr>
        <u val="single"/>
        <sz val="11"/>
        <rFont val="Arial CE"/>
        <family val="2"/>
        <charset val="-18"/>
      </rPr>
      <t>Moje daně.</t>
    </r>
    <r>
      <rPr>
        <sz val="11"/>
        <rFont val="Arial CE"/>
        <family val="2"/>
        <charset val="-18"/>
      </rPr>
      <t xml:space="preserve"> V případě, že chyby i nadále trvají, nahlásí aplikace </t>
    </r>
    <r>
      <rPr>
        <u val="single"/>
        <sz val="11"/>
        <rFont val="Arial CE"/>
        <family val="2"/>
        <charset val="-18"/>
      </rPr>
      <t>Moje daně</t>
    </r>
    <r>
      <rPr>
        <sz val="11"/>
        <rFont val="Arial CE"/>
        <family val="2"/>
        <charset val="-18"/>
      </rPr>
      <t xml:space="preserve"> chybu s popisem, v čem chyba spočívá. Chybu je potřeba odstranit buď (i) přímo v aplikaci </t>
    </r>
    <r>
      <rPr>
        <u val="single"/>
        <sz val="11"/>
        <rFont val="Arial CE"/>
        <family val="2"/>
        <charset val="-18"/>
      </rPr>
      <t>Moje daně</t>
    </r>
    <r>
      <rPr>
        <sz val="11"/>
        <rFont val="Arial CE"/>
        <family val="2"/>
        <charset val="-18"/>
      </rPr>
      <t>, nebo (ii) v tomto excelovském souboru a znova vygenerovat xml soubor dle bodu 5.</t>
    </r>
  </si>
  <si>
    <r>
      <t xml:space="preserve">Většina chyb je způsobena tím, že aplikace </t>
    </r>
    <r>
      <rPr>
        <u val="single"/>
        <sz val="11"/>
        <rFont val="Arial CE"/>
        <family val="2"/>
        <charset val="-18"/>
      </rPr>
      <t>Moje daně</t>
    </r>
    <r>
      <rPr>
        <sz val="11"/>
        <rFont val="Arial CE"/>
        <family val="2"/>
        <charset val="-18"/>
      </rPr>
      <t xml:space="preserve"> má příliš striktní kontroly (např. na vyživované děti) a hlásí chyby třeba i v případě, kdy daná položka není vyplněna. Bohužel prostředky, které jsou v excelu dostupné, neumožňují tyto chyby obejít.
Řešením proto je tyto "chyby" odstranit v aplikaci Moje daně, zpravidla stačí na každé straně, kde se chyby vyskytují, dát volbu „Kontrola stránky“ (zpravidla V. oddíl nebo Příloha 1), příp. prázdné stránky zcela smazat (zpravidla Příloha 2) </t>
    </r>
  </si>
  <si>
    <r>
      <t xml:space="preserve">Do vygenerovaného souboru doporučujeme </t>
    </r>
    <r>
      <rPr>
        <b/>
        <sz val="11"/>
        <rFont val="Arial CE"/>
        <family val="2"/>
        <charset val="-18"/>
      </rPr>
      <t xml:space="preserve">prostřednictvím aplikace </t>
    </r>
    <r>
      <rPr>
        <b/>
        <u val="single"/>
        <sz val="11"/>
        <rFont val="Arial CE"/>
        <family val="2"/>
        <charset val="-18"/>
      </rPr>
      <t>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</si>
  <si>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r>
      <t xml:space="preserve">i) prostřednictvím aplikace </t>
    </r>
    <r>
      <rPr>
        <u val="single"/>
        <sz val="11"/>
        <rFont val="Arial CE"/>
        <family val="2"/>
        <charset val="-18"/>
      </rPr>
      <t>Moje daně</t>
    </r>
    <r>
      <rPr>
        <sz val="11"/>
        <rFont val="Arial CE"/>
        <family val="2"/>
        <charset val="-18"/>
      </rPr>
      <t xml:space="preserve"> s podepsáním přes elektronickou identitu,</t>
    </r>
  </si>
  <si>
    <r>
      <rPr>
        <b/>
        <sz val="11"/>
        <rFont val="Arial CE"/>
        <family val="2"/>
        <charset val="-18"/>
      </rPr>
      <t xml:space="preserve">Po načtení xml souboru </t>
    </r>
    <r>
      <rPr>
        <sz val="11"/>
        <rFont val="Arial CE"/>
        <family val="2"/>
        <charset val="-18"/>
      </rPr>
      <t>do aplikace Moje daně (</t>
    </r>
    <r>
      <rPr>
        <b/>
        <sz val="11"/>
        <color rgb="FF3399FF"/>
        <rFont val="Arial CE"/>
        <family val="2"/>
        <charset val="-18"/>
      </rPr>
      <t>https://adisspr.mfcr.cz/pmd/epo/formulare?nacteni=1</t>
    </r>
    <r>
      <rPr>
        <sz val="11"/>
        <rFont val="Arial CE"/>
        <family val="2"/>
        <charset val="-18"/>
      </rPr>
      <t>) aplikace nabídne domnělý seznam chyb, ten ignorujte a zrušte jej křížkem v pravém horním rohu.</t>
    </r>
  </si>
  <si>
    <r>
      <rPr>
        <b/>
        <sz val="11"/>
        <rFont val="Arial CE"/>
        <family val="2"/>
        <charset val="-18"/>
      </rPr>
      <t>Jděte vlevo do menu na odkaz "Přílohy"</t>
    </r>
    <r>
      <rPr>
        <sz val="11"/>
        <rFont val="Arial CE"/>
        <family val="2"/>
        <charset val="-18"/>
      </rPr>
      <t xml:space="preserve"> a vymažte nepoužité přílohy z tohoto seznamu: Příloha 1, Příloha 2, Příloha 3, Příloha §34 odst. 1 a Příloha § 38f odst. 10. Smazání se provádí uvnitř každé přílohy tlačítkem "Smazat obsah přílohy"</t>
    </r>
  </si>
  <si>
    <t>Pokud máte vyplněnou (a tedy nesmazanou) Přílohu 1 a/nebo Přílohu 2, běžte na tyto nesmazané přílohy a dejte volbu "Kontrola stránky", tím dojde k odstranění formálních nedostatků v těchto přílohách,</t>
  </si>
  <si>
    <r>
      <rPr>
        <b/>
        <sz val="11"/>
        <rFont val="Arial CE"/>
        <family val="2"/>
        <charset val="-18"/>
      </rPr>
      <t>Jděte vlevo do menu na odkaz "Elektronický formulář"</t>
    </r>
    <r>
      <rPr>
        <sz val="11"/>
        <rFont val="Arial CE"/>
        <family val="2"/>
        <charset val="-18"/>
      </rPr>
      <t xml:space="preserve"> a vyberte volbu "Slevy na dani a daňové zvýhodnění, DoDPAP a placení daně" a tam zvolte volbu "Kontrola stránky"</t>
    </r>
  </si>
  <si>
    <r>
      <rPr>
        <b/>
        <sz val="11"/>
        <rFont val="Arial CE"/>
        <family val="2"/>
        <charset val="-18"/>
      </rPr>
      <t>Jděte vlevo do menu na odkaz "Elektronický formulář",</t>
    </r>
    <r>
      <rPr>
        <sz val="11"/>
        <rFont val="Arial CE"/>
        <family val="2"/>
        <charset val="-18"/>
      </rPr>
      <t xml:space="preserve"> vyberte volbu "Přílohy DAP a Podpisová doložka" a připojte příslušné přílohy v pdf formátu do všech položek, kde jsou červené poznámky aplikace </t>
    </r>
    <r>
      <rPr>
        <u val="single"/>
        <sz val="11"/>
        <rFont val="Arial CE"/>
        <family val="2"/>
        <charset val="-18"/>
      </rPr>
      <t>Moje daně</t>
    </r>
    <r>
      <rPr>
        <sz val="11"/>
        <rFont val="Arial CE"/>
        <family val="2"/>
        <charset val="-18"/>
      </rPr>
      <t>.</t>
    </r>
  </si>
  <si>
    <r>
      <t xml:space="preserve">Jděte vpravo nahoru na odkaz "Protokol chyb". </t>
    </r>
    <r>
      <rPr>
        <sz val="11"/>
        <rFont val="Arial CE"/>
        <family val="2"/>
        <charset val="-18"/>
      </rPr>
      <t>Pokud je vše v pořádku, objeví se text "Písemnost neobsahuje chyby". V některých případech se objeví hlášení na propustné chyby. Pokud tyto chyby nechcete/nemůžete odstranit, lze přiznání takto podat i s nimi.</t>
    </r>
  </si>
  <si>
    <r>
      <t xml:space="preserve">Soubor doporučujeme archivovat v xml podobě </t>
    </r>
    <r>
      <rPr>
        <sz val="11"/>
        <rFont val="Arial CE"/>
        <family val="2"/>
        <charset val="-18"/>
      </rPr>
      <t>(volba "Další volby / Stáhnout soubor pro odeslání do datové schránky")</t>
    </r>
    <r>
      <rPr>
        <b/>
        <sz val="11"/>
        <rFont val="Arial CE"/>
        <family val="2"/>
        <charset val="-18"/>
      </rPr>
      <t xml:space="preserve"> a v pdf podobě </t>
    </r>
    <r>
      <rPr>
        <sz val="11"/>
        <rFont val="Arial CE"/>
        <family val="2"/>
        <charset val="-18"/>
      </rPr>
      <t>(volba "Další volby / Stáhnout opis v PDF").</t>
    </r>
  </si>
  <si>
    <t xml:space="preserve">8. </t>
  </si>
  <si>
    <r>
      <t xml:space="preserve">Pokud máte elektronicku identitu, </t>
    </r>
    <r>
      <rPr>
        <b/>
        <sz val="11"/>
        <rFont val="Arial CE"/>
        <family val="2"/>
        <charset val="-18"/>
      </rPr>
      <t xml:space="preserve">můžete přiznání podat na finanční úřad přes volbu "Odeslat" </t>
    </r>
    <r>
      <rPr>
        <sz val="11"/>
        <rFont val="Arial CE"/>
        <family val="2"/>
        <charset val="-18"/>
      </rPr>
      <t>umístěnou vpravo nahoře.</t>
    </r>
  </si>
  <si>
    <t xml:space="preserve">Pokud budete podávat přiznání přes datovou schránku, pak je potřeba na příslušný finanční úřad poslat výše uvedený xml soubor. </t>
  </si>
  <si>
    <t>Doporučený postup při načtení do aplikace Moje daně</t>
  </si>
  <si>
    <t>Doporučený postup pro elektronické podání přehledů OSVČ</t>
  </si>
  <si>
    <r>
      <t xml:space="preserve">Vytvořte si pdf verzi přehledu pro sociální pojištění. </t>
    </r>
    <r>
      <rPr>
        <sz val="11"/>
        <rFont val="Arial CE"/>
        <family val="2"/>
        <charset val="-18"/>
      </rPr>
      <t>Nejlépe to lze udělat tak, že si označíte listy "SP1" a "SP2" a vytiskněte je do programu, který je uloží do souboru v pdf formátu (např. PdfCreator, Microsoft Print to PDF apod.).</t>
    </r>
  </si>
  <si>
    <t xml:space="preserve">2. </t>
  </si>
  <si>
    <r>
      <rPr>
        <sz val="11"/>
        <rFont val="Arial CE"/>
        <family val="2"/>
        <charset val="-18"/>
      </rPr>
      <t xml:space="preserve">Takto vytvořený </t>
    </r>
    <r>
      <rPr>
        <b/>
        <sz val="11"/>
        <rFont val="Arial CE"/>
        <family val="2"/>
        <charset val="-18"/>
      </rPr>
      <t xml:space="preserve">pdf soubor pošlete vaší datovou schránkou do datové schránky vaší </t>
    </r>
    <r>
      <rPr>
        <sz val="11"/>
        <rFont val="Arial CE"/>
        <family val="2"/>
        <charset val="-18"/>
      </rPr>
      <t>příslušné okresní/pražské/městké</t>
    </r>
    <r>
      <rPr>
        <b/>
        <sz val="11"/>
        <rFont val="Arial CE"/>
        <family val="2"/>
        <charset val="-18"/>
      </rPr>
      <t xml:space="preserve"> správy sociálního zabezpečení.</t>
    </r>
  </si>
  <si>
    <r>
      <t xml:space="preserve">Vytvořte si pdf verzi přehledu pro zdravotní pojištění. </t>
    </r>
    <r>
      <rPr>
        <sz val="11"/>
        <rFont val="Arial CE"/>
        <family val="2"/>
        <charset val="-18"/>
      </rPr>
      <t>Nejlépe to lze udělat tak, že si označíte listy "VZP" (pro Všeobecnou ZP) nebo list "Ostatní ZP" (pro ostatní zdravotní pojišťovny) a vytiskněte jej do programu, který jej uloží do souboru v pdf formátu (např. PdfCreator, Microsoft Print to PDF apod.).</t>
    </r>
  </si>
  <si>
    <r>
      <rPr>
        <sz val="11"/>
        <rFont val="Arial CE"/>
        <family val="2"/>
        <charset val="-18"/>
      </rPr>
      <t xml:space="preserve">Takto vytvořený </t>
    </r>
    <r>
      <rPr>
        <b/>
        <sz val="11"/>
        <rFont val="Arial CE"/>
        <family val="2"/>
        <charset val="-18"/>
      </rPr>
      <t>pdf soubor pošlete vaší datovou schránkou do datové schránky vaší zdravotní pojišťovny.</t>
    </r>
  </si>
  <si>
    <t>Příjmy podle § 7 odst. 14 zákona společníků veřejně obchodní společnosti nebo komplementářů komanditní společnosti plynoucí ze zdrojů v zahraničí.</t>
  </si>
  <si>
    <t>401a</t>
  </si>
  <si>
    <t>Úhrn dílčího samostatného základu daně podle § 7 a dílčího samostatného základu daně podle § 8 zákona (ř. 401 + ř. 401a
po snížení podle § 8 odst. 9 zákona)</t>
  </si>
  <si>
    <t>§ 15 odst. 1 zákona (hodnota bezúplatného plnění - daru/darů)</t>
  </si>
  <si>
    <t>§ 15 odst. 3 a 4 zákona (odečet úroků)</t>
  </si>
  <si>
    <t>§ 15a odst. 1 písm. a), b) a c) zákona (penzijní připojištění, doplňkové penzijní spoření a penzijní pojištění)</t>
  </si>
  <si>
    <t>§ 15a odst. 1 písm. d) zákona (soukromé životní pojištění)</t>
  </si>
  <si>
    <t>§ 15a odst. 1 písm. e) zákona (dlouhodobý investiční produkt)</t>
  </si>
  <si>
    <t>§ 15c zákona (pojištění dlouhodobé péče)</t>
  </si>
  <si>
    <t>Úhrn slev na dani podle § 35, § 35a, § 35b a § 35 ba zákona (ř. 62 + ř. 62a + ř. 63 + ř. 64 + ř. 65a + ř. 65b + ř. 66 + ř. 67 + ř. 68)</t>
  </si>
  <si>
    <t>Příloha č.3 - „Výpočet daně z příjmů ze zahraničí (§ 38f zákona)" včetně Samostatných listů</t>
  </si>
  <si>
    <t>Potvrzení o majetku připsaném ve prospěch dlouhodobého investičního produktu</t>
  </si>
  <si>
    <t>Potvrzení o zaplaceném pojistném na pojištění dlouhodobé péče</t>
  </si>
  <si>
    <t>Daňový subjekt / Osoba oprávněná k podpisu</t>
  </si>
  <si>
    <t>Podle ust. § 154 a 155b  zákona č. 280/2009 Sb., daňového řádu, ve znění pozdějších předpisů, žádám o vrácení:</t>
  </si>
  <si>
    <t>1. Výpočet daně ze samostatného základu daně podle § 16a zákona</t>
  </si>
  <si>
    <t xml:space="preserve">Daňové identifikační číslo plátce daně </t>
  </si>
  <si>
    <t>7</t>
  </si>
  <si>
    <r>
      <t>potvrzení vydané dne</t>
    </r>
    <r>
      <rPr>
        <vertAlign val="superscript"/>
        <sz val="9"/>
        <color theme="1"/>
        <rFont val="Arial"/>
        <family val="2"/>
        <charset val="-18"/>
      </rPr>
      <t>1)</t>
    </r>
  </si>
  <si>
    <t>25 5558 Mfin 5558 - vzor č. 3</t>
  </si>
  <si>
    <t>POKYNY</t>
  </si>
  <si>
    <r>
      <rPr>
        <vertAlign val="superscript"/>
        <sz val="8"/>
        <color theme="1"/>
        <rFont val="Arial"/>
        <family val="2"/>
        <charset val="-18"/>
      </rPr>
      <t>1)</t>
    </r>
    <r>
      <rPr>
        <sz val="8"/>
        <color theme="1"/>
        <rFont val="Arial"/>
        <family val="2"/>
        <charset val="-18"/>
      </rPr>
      <t xml:space="preserve"> Pokud bylo již dříve poplatníkovi vystaveno potvrzení za stejné zdaňovací období, vyplňte datum vystavení tohoto předchozího potvrzení a důvody pro vydání nového potvrzení uveďte v příloze. V opačném případě nevyplňujte.</t>
    </r>
  </si>
  <si>
    <t>DP7</t>
  </si>
  <si>
    <t>kc_10dan</t>
  </si>
  <si>
    <t>kc_sleva_exe</t>
  </si>
  <si>
    <t>kc_op15_inpr</t>
  </si>
  <si>
    <t>kc_op15_pece</t>
  </si>
  <si>
    <t>usn_exe</t>
  </si>
  <si>
    <t>potv_inpr</t>
  </si>
  <si>
    <t>potv_pece</t>
  </si>
  <si>
    <t xml:space="preserve">PŘIZNÁNÍ K DANI Z PŘÍJMŮ FYZICKÝCH OSOB </t>
  </si>
  <si>
    <t>Termín pro odevzdání daňového přiznání*):</t>
  </si>
  <si>
    <t xml:space="preserve">*) tato políčka je potřeba vyplnit ručně, nejsou-li uvedené údaje v pořádku; v daném zdaňovacím období je termín pro podání přiznání stanoven: </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</si>
  <si>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daňové subjekty</t>
  </si>
  <si>
    <t xml:space="preserve">ii) na 2.5., pokud dojde k podání přiznání elektronickou cestou poplatníkem v termínu od 2.4. do 2.5., avšak s vyjímkou povinně auditovaných daňových subjektů </t>
  </si>
  <si>
    <t>iii) na 1.7., pokud dojde k podání přiznání daňovým poradcem na základě plné moci v termínu od 2.4. do 1.7. nebo u  povinně auditovaných subjektů</t>
  </si>
  <si>
    <t xml:space="preserve">Měsíc </t>
  </si>
  <si>
    <t>Výše platby</t>
  </si>
  <si>
    <t>25 5405 Mfin 5405 vzor č. 30, formulář je platný pro zdaňovací období započatá v roce 2025</t>
  </si>
  <si>
    <t>25 5405 MFin 5405 vzor č.30</t>
  </si>
  <si>
    <t>Příjmení, jméno, titul*) manželky (manžela)</t>
  </si>
  <si>
    <t>Částka slevy podle § 35ba odst. 1</t>
  </si>
  <si>
    <t>Ve sloupci uveďte počet listů příloh.</t>
  </si>
  <si>
    <r>
      <rPr>
        <vertAlign val="superscript"/>
        <sz val="7"/>
        <rFont val="Arial CE"/>
        <family val="2"/>
        <charset val="-18"/>
      </rPr>
      <t>*</t>
    </r>
    <r>
      <rPr>
        <sz val="7"/>
        <rFont val="Arial CE"/>
        <family val="2"/>
        <charset val="-18"/>
      </rPr>
      <t>) Označené údaje jsou nepovinné.</t>
    </r>
  </si>
  <si>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</si>
  <si>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je součástí tiskopisu P Ř I Z N Á N Í k dani z příjmů fyzických osob za zdaňovací období 2025 - 25 5405 MFin 5405 vzor č. 30 („dále jen DAP")</t>
  </si>
  <si>
    <t>25 5405/P1 MFin 5405/P1 - vzor č. 21</t>
  </si>
  <si>
    <t>1) Z předtištěných možností v rámečku vyberte odpovídající variantu a označte křížkem.</t>
  </si>
  <si>
    <t>2) Údaje, pro které nedostačuje vyhrazené místo, uveďte na volný list a přiložte k tiskopisu.</t>
  </si>
  <si>
    <t>je součástí tiskopisu P Ř I Z N Á N Í k dani z příjmů fyzických osob za zdaňovací období 2025 - 25 5405 MFin 5405 vzor č. 30 (dále jen „DAP")</t>
  </si>
  <si>
    <t>25 5405/P2 MFin 5405/P2 - vzor č. 21</t>
  </si>
  <si>
    <t>je součástí tiskopisu P Ř I Z N Á N Í k dani z příjmů fyzických osob za zdaňovací období 2025 - 25 5405 MFin 5405 vzor č. 30 (dále jen „DAP").</t>
  </si>
  <si>
    <t>25 5405/P3 MFin 5405/P3 - vzor č. 21</t>
  </si>
  <si>
    <t>25 5405/P4 MFin 5405/P4 - vzor č. 12</t>
  </si>
  <si>
    <t>ke dni  31.12.2025</t>
  </si>
  <si>
    <t>prohlašuji, že jsem v roce 2025 neuplatnil / neuplatnila daňové zvýhodnění na vyživované děti:</t>
  </si>
  <si>
    <t>Splatnost záloh na daň z příjmu v letech 2026 - 2027</t>
  </si>
  <si>
    <t>82100</t>
  </si>
  <si>
    <t>Ambulantní nebo terénní sociální služby pro seniory nebo osoby se zdravotním postižením</t>
  </si>
  <si>
    <t>88100</t>
  </si>
  <si>
    <t>71110</t>
  </si>
  <si>
    <t>82920</t>
  </si>
  <si>
    <t>Bezpečnostní činnosti j. n.</t>
  </si>
  <si>
    <t>80090</t>
  </si>
  <si>
    <t>Cateringové činnosti</t>
  </si>
  <si>
    <t>56210</t>
  </si>
  <si>
    <t>64110</t>
  </si>
  <si>
    <t>Činění, úprava, barvení usní a kožešin</t>
  </si>
  <si>
    <t>15110</t>
  </si>
  <si>
    <t>Činnosti agentur zprostředkujících práci na přechodnou dobu a ostatní poskytování lidských zdrojů</t>
  </si>
  <si>
    <t>78200</t>
  </si>
  <si>
    <t>78100</t>
  </si>
  <si>
    <t>Činnosti archivů</t>
  </si>
  <si>
    <t>91120</t>
  </si>
  <si>
    <t>85530</t>
  </si>
  <si>
    <t>91410</t>
  </si>
  <si>
    <t>Činnosti call center</t>
  </si>
  <si>
    <t>82200</t>
  </si>
  <si>
    <t>79110</t>
  </si>
  <si>
    <t>79120</t>
  </si>
  <si>
    <t>Činnosti denních lázní, saun a parních lázní</t>
  </si>
  <si>
    <t>96230</t>
  </si>
  <si>
    <t>97000</t>
  </si>
  <si>
    <t>Činnosti domácností poskytujících blíže neurčené služby pro vlastní potřebu</t>
  </si>
  <si>
    <t>98200</t>
  </si>
  <si>
    <t>Činnosti domácností produkujících blíže neurčené výrobky pro vlastní potřebu</t>
  </si>
  <si>
    <t>98100</t>
  </si>
  <si>
    <t>94995</t>
  </si>
  <si>
    <t>Činnosti exteritoriálních organizací a institucí</t>
  </si>
  <si>
    <t>99000</t>
  </si>
  <si>
    <t>93130</t>
  </si>
  <si>
    <t>Činnosti fyzioterapeutů</t>
  </si>
  <si>
    <t>86950</t>
  </si>
  <si>
    <t>92000</t>
  </si>
  <si>
    <t>64210</t>
  </si>
  <si>
    <t>Činnosti investičních fondů peněžního trhu a investičních fondů jiných než peněžního trhu</t>
  </si>
  <si>
    <t>64310</t>
  </si>
  <si>
    <t>Činnosti jiných organizací sdružujících osoby za účelem prosazování společných a veřejných zájmů j. n.</t>
  </si>
  <si>
    <t>94999</t>
  </si>
  <si>
    <t>Činnosti knihoven</t>
  </si>
  <si>
    <t>91110</t>
  </si>
  <si>
    <t>Činnosti makléřů a agentů v oblasti elektrické energie a zemního plynu</t>
  </si>
  <si>
    <t>35400</t>
  </si>
  <si>
    <t>Činnosti muzeí a galerií</t>
  </si>
  <si>
    <t>91210</t>
  </si>
  <si>
    <t>94910</t>
  </si>
  <si>
    <t>94997</t>
  </si>
  <si>
    <t>94200</t>
  </si>
  <si>
    <t>94991</t>
  </si>
  <si>
    <t>Činnosti organizací na ochranu a zlepšení postavení etnických, menšinových a jiných speciálních skupin</t>
  </si>
  <si>
    <t>94996</t>
  </si>
  <si>
    <t>94992</t>
  </si>
  <si>
    <t>94993</t>
  </si>
  <si>
    <t>94110</t>
  </si>
  <si>
    <t>Činnosti pojišťovacích makléřů a agentů</t>
  </si>
  <si>
    <t>66220</t>
  </si>
  <si>
    <t>Činnosti politických organizací</t>
  </si>
  <si>
    <t>94920</t>
  </si>
  <si>
    <t>94120</t>
  </si>
  <si>
    <t>91420</t>
  </si>
  <si>
    <t>Činnosti psychologů a psychoterapeutů, kromě lékařů</t>
  </si>
  <si>
    <t>86930</t>
  </si>
  <si>
    <t>73110</t>
  </si>
  <si>
    <t>Činnosti řízení podniků</t>
  </si>
  <si>
    <t>70100</t>
  </si>
  <si>
    <t>Činnosti související s diagnostickým zobrazováním a zdravotnické laboratorní činnosti</t>
  </si>
  <si>
    <t>86910</t>
  </si>
  <si>
    <t>Činnosti související s kabelovou, bezdrátovou a satelitní telekomunikační sítí</t>
  </si>
  <si>
    <t>61100</t>
  </si>
  <si>
    <t>52230</t>
  </si>
  <si>
    <t>37000</t>
  </si>
  <si>
    <t>52210</t>
  </si>
  <si>
    <t>81300</t>
  </si>
  <si>
    <t>52220</t>
  </si>
  <si>
    <t>93120</t>
  </si>
  <si>
    <t>94994</t>
  </si>
  <si>
    <t>Činnosti svěřenských fondů, majetkových a agenturních účtů</t>
  </si>
  <si>
    <t>64320</t>
  </si>
  <si>
    <t>Činnosti účelových finančních společností</t>
  </si>
  <si>
    <t>64220</t>
  </si>
  <si>
    <t>Činnosti v oblasti grafického designu a vizuální komunikace</t>
  </si>
  <si>
    <t>74120</t>
  </si>
  <si>
    <t>Činnosti v oblasti módního designu</t>
  </si>
  <si>
    <t>74112</t>
  </si>
  <si>
    <t>Činnosti v oblasti neživotního pojištění</t>
  </si>
  <si>
    <t>65120</t>
  </si>
  <si>
    <t>84220</t>
  </si>
  <si>
    <t>Činnosti v oblasti povinného sociální zabezpečení</t>
  </si>
  <si>
    <t>84300</t>
  </si>
  <si>
    <t>Činnosti v oblasti požární ochrany</t>
  </si>
  <si>
    <t>84250</t>
  </si>
  <si>
    <t>Činnosti v oblasti průmyslového designu</t>
  </si>
  <si>
    <t>74111</t>
  </si>
  <si>
    <t>Činnosti v oblasti přeprodeje telekomunikačních služeb a zprostředkování telekomunikačních činností</t>
  </si>
  <si>
    <t>61200</t>
  </si>
  <si>
    <t>Činnosti v oblasti scénických umění</t>
  </si>
  <si>
    <t>90200</t>
  </si>
  <si>
    <t>Činnosti v oblasti sportu j. n.</t>
  </si>
  <si>
    <t>93190</t>
  </si>
  <si>
    <t>84230</t>
  </si>
  <si>
    <t>Činnosti v oblasti tradiční, doplňkové a alternativní medicíny</t>
  </si>
  <si>
    <t>86960</t>
  </si>
  <si>
    <t>84240</t>
  </si>
  <si>
    <t>Činnosti v oblasti vztahů s veřejností a komunikace</t>
  </si>
  <si>
    <t>73300</t>
  </si>
  <si>
    <t>Činnosti v oblasti zábavy a rekreace j. n.</t>
  </si>
  <si>
    <t>93290</t>
  </si>
  <si>
    <t>84210</t>
  </si>
  <si>
    <t>Činnosti v oblasti zprostředkování a marketingu patentů</t>
  </si>
  <si>
    <t>74910</t>
  </si>
  <si>
    <t>Činnosti v oblasti životního pojištění</t>
  </si>
  <si>
    <t>65110</t>
  </si>
  <si>
    <t>Činnosti webových vyhledávacích portálů</t>
  </si>
  <si>
    <t>63910</t>
  </si>
  <si>
    <t>Činnosti zábavních parků</t>
  </si>
  <si>
    <t>93210</t>
  </si>
  <si>
    <t>64923</t>
  </si>
  <si>
    <t>Činnosti zpravodajských kanceláří a agentur</t>
  </si>
  <si>
    <t>60310</t>
  </si>
  <si>
    <t>Dálková železniční osobní doprava</t>
  </si>
  <si>
    <t>49110</t>
  </si>
  <si>
    <t>43110</t>
  </si>
  <si>
    <t>Destilace, rektifikace a míchaní lihovin</t>
  </si>
  <si>
    <t>11010</t>
  </si>
  <si>
    <t>Developerské činnosti</t>
  </si>
  <si>
    <t>68120</t>
  </si>
  <si>
    <t>Distribuce elektřiny</t>
  </si>
  <si>
    <t>35140</t>
  </si>
  <si>
    <t>Distribuce filmů a videozáznamů</t>
  </si>
  <si>
    <t>59130</t>
  </si>
  <si>
    <t>Distribuce plynných paliv prostřednictvím sítí</t>
  </si>
  <si>
    <t>35220</t>
  </si>
  <si>
    <t>Distribuce zvukových záznamů</t>
  </si>
  <si>
    <t>60102</t>
  </si>
  <si>
    <t>Dobývání kamene, vápence, sádrovce, břidlice a jiného kamene, také pro výtvarné účely</t>
  </si>
  <si>
    <t>08110</t>
  </si>
  <si>
    <t>43210</t>
  </si>
  <si>
    <t>64924</t>
  </si>
  <si>
    <t>64910</t>
  </si>
  <si>
    <t>74200</t>
  </si>
  <si>
    <t>Hudební tvorba</t>
  </si>
  <si>
    <t>90112</t>
  </si>
  <si>
    <t>01470</t>
  </si>
  <si>
    <t>Chov koní a ostatních koňovitých</t>
  </si>
  <si>
    <t>01430</t>
  </si>
  <si>
    <t>01410</t>
  </si>
  <si>
    <t>Chov ostatního skotu a buvolů</t>
  </si>
  <si>
    <t>01420</t>
  </si>
  <si>
    <t>01480</t>
  </si>
  <si>
    <t>01450</t>
  </si>
  <si>
    <t>01460</t>
  </si>
  <si>
    <t>01440</t>
  </si>
  <si>
    <t>82910</t>
  </si>
  <si>
    <t>Instalace izolací</t>
  </si>
  <si>
    <t>43230</t>
  </si>
  <si>
    <t>33200</t>
  </si>
  <si>
    <t>Instalace tepelných, chladicích a klimatizačních zařízení a rozvodů</t>
  </si>
  <si>
    <t>43222</t>
  </si>
  <si>
    <t>Instalace vodovodních, odpadních a plynových zařízení a rozvodů</t>
  </si>
  <si>
    <t>43221</t>
  </si>
  <si>
    <t>71120</t>
  </si>
  <si>
    <t>Jiné finanční činnosti, kromě pojišťování a penzijního financování j. n.</t>
  </si>
  <si>
    <t>64999</t>
  </si>
  <si>
    <t>85599</t>
  </si>
  <si>
    <t>Kadeřnické a holičské činnosti</t>
  </si>
  <si>
    <t>96210</t>
  </si>
  <si>
    <t>Kempy a parkoviště pro rekreační vozidla</t>
  </si>
  <si>
    <t>55300</t>
  </si>
  <si>
    <t>Kolejová nákladní doprava</t>
  </si>
  <si>
    <t>49200</t>
  </si>
  <si>
    <t>Kombinované podpůrné činnosti</t>
  </si>
  <si>
    <t>81100</t>
  </si>
  <si>
    <t>Konečná úprava dřevěných výrobků</t>
  </si>
  <si>
    <t>16270</t>
  </si>
  <si>
    <t>13300</t>
  </si>
  <si>
    <t>Konzervování, restaurování a jiné podpůrné činnosti pro kulturní dědictví</t>
  </si>
  <si>
    <t>91300</t>
  </si>
  <si>
    <t>Kosmetické a podobné činnosti</t>
  </si>
  <si>
    <t>96220</t>
  </si>
  <si>
    <t>51220</t>
  </si>
  <si>
    <t>Kování a tváření kovů a prášková metalurgie</t>
  </si>
  <si>
    <t>25400</t>
  </si>
  <si>
    <t>Leasing duševního vlastnictví a podobných produktů, kromě děl chráněných autorským právem</t>
  </si>
  <si>
    <t>77400</t>
  </si>
  <si>
    <t>51210</t>
  </si>
  <si>
    <t>51100</t>
  </si>
  <si>
    <t>Literární tvorba</t>
  </si>
  <si>
    <t>90111</t>
  </si>
  <si>
    <t>Logistické činnosti</t>
  </si>
  <si>
    <t>52250</t>
  </si>
  <si>
    <t>01700</t>
  </si>
  <si>
    <t>Lůžková zdravotní péče</t>
  </si>
  <si>
    <t>86100</t>
  </si>
  <si>
    <t>Maloobchod s díly a příslušenstvím pro motorová vozidla</t>
  </si>
  <si>
    <t>47820</t>
  </si>
  <si>
    <t>Maloobchod s elektrospotřebiči a elektronikou převážně pro domácnost</t>
  </si>
  <si>
    <t>47540</t>
  </si>
  <si>
    <t>Maloobchod s farmaceutickými výrobky</t>
  </si>
  <si>
    <t>47730</t>
  </si>
  <si>
    <t>47770</t>
  </si>
  <si>
    <t>47640</t>
  </si>
  <si>
    <t>47610</t>
  </si>
  <si>
    <t>47530</t>
  </si>
  <si>
    <t>47750</t>
  </si>
  <si>
    <t>Maloobchod s květinami, rostlinami, hnojivy, zvířaty pro zájmový chov a krmivy pro ně</t>
  </si>
  <si>
    <t>47760</t>
  </si>
  <si>
    <t>47220</t>
  </si>
  <si>
    <t>Maloobchod s motocykly a díly a příslušenstvím pro motocykly</t>
  </si>
  <si>
    <t>47830</t>
  </si>
  <si>
    <t>Maloobchod s motorovými vozidly</t>
  </si>
  <si>
    <t>47810</t>
  </si>
  <si>
    <t>Maloobchod s nábytkem, osvětlovacími zařízeními, nádobím a ostatními výrobky převážně pro domácnost</t>
  </si>
  <si>
    <t>47550</t>
  </si>
  <si>
    <t>47250</t>
  </si>
  <si>
    <t>Maloobchod s novinami a ostatními periodickými publikacemi</t>
  </si>
  <si>
    <t>47621</t>
  </si>
  <si>
    <t>47720</t>
  </si>
  <si>
    <t>47710</t>
  </si>
  <si>
    <t>Maloobchod s ostatním novým zbožím</t>
  </si>
  <si>
    <t>47780</t>
  </si>
  <si>
    <t>Maloobchod s ostatním použitým zbožím</t>
  </si>
  <si>
    <t>47799</t>
  </si>
  <si>
    <t>47210</t>
  </si>
  <si>
    <t>Maloobchod s papírnickým zbožím</t>
  </si>
  <si>
    <t>47622</t>
  </si>
  <si>
    <t>Maloobchod s pekařskými a cukrářskými výrobky a cukrovinkami</t>
  </si>
  <si>
    <t>47240</t>
  </si>
  <si>
    <t>Maloobchod s počítačovým a komunikačním zařízením</t>
  </si>
  <si>
    <t>47400</t>
  </si>
  <si>
    <t>Maloobchod s pohonnými hmotami</t>
  </si>
  <si>
    <t>47300</t>
  </si>
  <si>
    <t>Maloobchod s použitými knihami a starožitnostmi</t>
  </si>
  <si>
    <t>47791</t>
  </si>
  <si>
    <t>47230</t>
  </si>
  <si>
    <t>47260</t>
  </si>
  <si>
    <t>47510</t>
  </si>
  <si>
    <t>Maloobchod s výrobky pro kulturní rozhled a rekreaci j. n.</t>
  </si>
  <si>
    <t>47690</t>
  </si>
  <si>
    <t>Maloobchod s železářským zbožím, stavebními materiály, barvami a sklem</t>
  </si>
  <si>
    <t>47520</t>
  </si>
  <si>
    <t>47630</t>
  </si>
  <si>
    <t>47740</t>
  </si>
  <si>
    <t>52240</t>
  </si>
  <si>
    <t>01300</t>
  </si>
  <si>
    <t>03210</t>
  </si>
  <si>
    <t>03110</t>
  </si>
  <si>
    <t>68110</t>
  </si>
  <si>
    <t>50200</t>
  </si>
  <si>
    <t>50100</t>
  </si>
  <si>
    <t>Navrhování interiérů</t>
  </si>
  <si>
    <t>74130</t>
  </si>
  <si>
    <t>Nepravidelná silniční osobní doprava</t>
  </si>
  <si>
    <t>49320</t>
  </si>
  <si>
    <t>Nespecializovaný maloobchod s převahou potravin, nápojů a tabákových výrobků</t>
  </si>
  <si>
    <t>47110</t>
  </si>
  <si>
    <t>46900</t>
  </si>
  <si>
    <t>Nespecializovaný velkoobchod s potravinami, nápoji a tabákovými výrobky</t>
  </si>
  <si>
    <t>46390</t>
  </si>
  <si>
    <t>35150</t>
  </si>
  <si>
    <t>35230</t>
  </si>
  <si>
    <t>66120</t>
  </si>
  <si>
    <t>64991</t>
  </si>
  <si>
    <t>43330</t>
  </si>
  <si>
    <t>Obrábění kovů</t>
  </si>
  <si>
    <t>25530</t>
  </si>
  <si>
    <t>Odlévání legovaných ocelí</t>
  </si>
  <si>
    <t>24522</t>
  </si>
  <si>
    <t>Odlévání lehkých kovů</t>
  </si>
  <si>
    <t>24530</t>
  </si>
  <si>
    <t>Odlévání litiny s kuličkovým grafitem</t>
  </si>
  <si>
    <t>24512</t>
  </si>
  <si>
    <t>Odlévání litiny s lupínkovým grafitem</t>
  </si>
  <si>
    <t>24511</t>
  </si>
  <si>
    <t>Odlévání ostatní litiny</t>
  </si>
  <si>
    <t>24519</t>
  </si>
  <si>
    <t>Odlévání ostatních neželezných kovů</t>
  </si>
  <si>
    <t>24540</t>
  </si>
  <si>
    <t>Odlévání uhlíkatých ocelí</t>
  </si>
  <si>
    <t>24521</t>
  </si>
  <si>
    <t>43310</t>
  </si>
  <si>
    <t>Opravy a údržba civilních letadel a kosmických lodí</t>
  </si>
  <si>
    <t>33160</t>
  </si>
  <si>
    <t>Opravy a údržba civilních lodí a člunů</t>
  </si>
  <si>
    <t>33150</t>
  </si>
  <si>
    <t>Opravy a údržba elektrických zařízení</t>
  </si>
  <si>
    <t>33140</t>
  </si>
  <si>
    <t>Opravy a údržba elektronických a optických přístrojů a zařízení</t>
  </si>
  <si>
    <t>33130</t>
  </si>
  <si>
    <t>Opravy a údržba hodin, hodinek a klenotů</t>
  </si>
  <si>
    <t>95250</t>
  </si>
  <si>
    <t>33171</t>
  </si>
  <si>
    <t>Opravy a údržba kovových výrobků</t>
  </si>
  <si>
    <t>33110</t>
  </si>
  <si>
    <t>Opravy a údržba motocyklů</t>
  </si>
  <si>
    <t>95320</t>
  </si>
  <si>
    <t>Opravy a údržba motorových vozidel</t>
  </si>
  <si>
    <t>95310</t>
  </si>
  <si>
    <t>Opravy a údržba nábytku a bytového zařízení</t>
  </si>
  <si>
    <t>95240</t>
  </si>
  <si>
    <t>Opravy a údržba obuvi a kožených výrobků</t>
  </si>
  <si>
    <t>95230</t>
  </si>
  <si>
    <t>Opravy a údržba ostatních civilních dopravních prostředků a zařízení j. n.</t>
  </si>
  <si>
    <t>33179</t>
  </si>
  <si>
    <t>Opravy a údržba ostatních zařízení</t>
  </si>
  <si>
    <t>33190</t>
  </si>
  <si>
    <t>Opravy a údržba počítačů a komunikačních zařízení</t>
  </si>
  <si>
    <t>95100</t>
  </si>
  <si>
    <t>Opravy a údržba přístrojů a zařízení převážně pro domácnost, dům a zahradu</t>
  </si>
  <si>
    <t>95220</t>
  </si>
  <si>
    <t>Opravy a údržba spotřební elektroniky</t>
  </si>
  <si>
    <t>95210</t>
  </si>
  <si>
    <t>Opravy a údržba strojů</t>
  </si>
  <si>
    <t>33120</t>
  </si>
  <si>
    <t>Opravy a údržba vojenských bojových vozidel</t>
  </si>
  <si>
    <t>33181</t>
  </si>
  <si>
    <t>Opravy a údržba vojenských letadel a kosmických lodí</t>
  </si>
  <si>
    <t>33183</t>
  </si>
  <si>
    <t>Opravy a údržba vojenských lodí a člunů</t>
  </si>
  <si>
    <t>33182</t>
  </si>
  <si>
    <t>Opravy a údržba výrobků pro osobní potřebu a převážně pro domácnost j. n.</t>
  </si>
  <si>
    <t>95290</t>
  </si>
  <si>
    <t>Osobní doprava visutými lanovkami a lyžařskými vleky</t>
  </si>
  <si>
    <t>49340</t>
  </si>
  <si>
    <t>Osobní doprava vozidlem s řidičem na vyžádání</t>
  </si>
  <si>
    <t>49330</t>
  </si>
  <si>
    <t>88990</t>
  </si>
  <si>
    <t>Ostatní činnosti související s distribucí obsahu</t>
  </si>
  <si>
    <t>60390</t>
  </si>
  <si>
    <t>86990</t>
  </si>
  <si>
    <t>Ostatní činnosti v oblasti informačních technologií a počítačů</t>
  </si>
  <si>
    <t>62900</t>
  </si>
  <si>
    <t>Ostatní činnosti v oblasti nemovitostí na základě smlouvy nebo dohody</t>
  </si>
  <si>
    <t>68320</t>
  </si>
  <si>
    <t>63920</t>
  </si>
  <si>
    <t>Ostatní kolejová osobní doprava</t>
  </si>
  <si>
    <t>49120</t>
  </si>
  <si>
    <t>Ostatní kompletační a dokončovací stavební práce</t>
  </si>
  <si>
    <t>43350</t>
  </si>
  <si>
    <t>Ostatní nespecializovaný maloobchod</t>
  </si>
  <si>
    <t>47120</t>
  </si>
  <si>
    <t>Ostatní odstraňování odpadů</t>
  </si>
  <si>
    <t>38330</t>
  </si>
  <si>
    <t>64190</t>
  </si>
  <si>
    <t>Ostatní pobytové služby sociální péče j. n.</t>
  </si>
  <si>
    <t>87990</t>
  </si>
  <si>
    <t>Ostatní počítačové programování</t>
  </si>
  <si>
    <t>62109</t>
  </si>
  <si>
    <t>Ostatní podpůrné činnosti pro dopravu</t>
  </si>
  <si>
    <t>52260</t>
  </si>
  <si>
    <t>82990</t>
  </si>
  <si>
    <t>Ostatní podpůrné činnosti pro uměleckou tvorbu a scénická umění</t>
  </si>
  <si>
    <t>90390</t>
  </si>
  <si>
    <t>Ostatní pomocné činnosti k finančním činnostem, kromě pojišťování a penzijního financování</t>
  </si>
  <si>
    <t>66190</t>
  </si>
  <si>
    <t>64929</t>
  </si>
  <si>
    <t>53200</t>
  </si>
  <si>
    <t>49390</t>
  </si>
  <si>
    <t>79900</t>
  </si>
  <si>
    <t>Ostatní specializované návrhářské činnosti</t>
  </si>
  <si>
    <t>74140</t>
  </si>
  <si>
    <t>43990</t>
  </si>
  <si>
    <t>Ostatní specializované stavební činnosti při výstavbě budov</t>
  </si>
  <si>
    <t>43420</t>
  </si>
  <si>
    <t>Ostatní specializovaný velkoobchod j. n.</t>
  </si>
  <si>
    <t>46890</t>
  </si>
  <si>
    <t>43240</t>
  </si>
  <si>
    <t>61900</t>
  </si>
  <si>
    <t>Ostatní tisk</t>
  </si>
  <si>
    <t>18120</t>
  </si>
  <si>
    <t>55900</t>
  </si>
  <si>
    <t>81230</t>
  </si>
  <si>
    <t>Ostatní umělecká tvorba</t>
  </si>
  <si>
    <t>90130</t>
  </si>
  <si>
    <t>58290</t>
  </si>
  <si>
    <t>Ostatní vydavatelské činnosti, kromě vydávání softwaru</t>
  </si>
  <si>
    <t>58190</t>
  </si>
  <si>
    <t>10390</t>
  </si>
  <si>
    <t>32990</t>
  </si>
  <si>
    <t>Ošetřovatelské činnosti a činnosti porodních asistentek</t>
  </si>
  <si>
    <t>86940</t>
  </si>
  <si>
    <t>Pátrací činnosti a činnosti soukromých bezpečnostních agentur</t>
  </si>
  <si>
    <t>80010</t>
  </si>
  <si>
    <t>65300</t>
  </si>
  <si>
    <t>01230</t>
  </si>
  <si>
    <t>01140</t>
  </si>
  <si>
    <t>01240</t>
  </si>
  <si>
    <t>Pěstování koření a aromatických, léčivých a farmaceutických rostlin</t>
  </si>
  <si>
    <t>01280</t>
  </si>
  <si>
    <t>Pěstování lesa a jiné činnosti v oblasti lesnictví</t>
  </si>
  <si>
    <t>02100</t>
  </si>
  <si>
    <t>Pěstování obilovin jiných než rýže, luštěnin a olejnatých semen</t>
  </si>
  <si>
    <t>01110</t>
  </si>
  <si>
    <t>01260</t>
  </si>
  <si>
    <t>01250</t>
  </si>
  <si>
    <t>01190</t>
  </si>
  <si>
    <t>01290</t>
  </si>
  <si>
    <t>01160</t>
  </si>
  <si>
    <t>01270</t>
  </si>
  <si>
    <t>01120</t>
  </si>
  <si>
    <t>01150</t>
  </si>
  <si>
    <t>01220</t>
  </si>
  <si>
    <t>01210</t>
  </si>
  <si>
    <t>01130</t>
  </si>
  <si>
    <t>Pilařská výroba</t>
  </si>
  <si>
    <t>16110</t>
  </si>
  <si>
    <t>Pobytové služby sociální péče pro osoby s duševním onemocněním, mentálním postižením nebo osoby závislé na návykových látkách</t>
  </si>
  <si>
    <t>87200</t>
  </si>
  <si>
    <t>Pobytové služby sociální péče pro seniory nebo osoby s fyzickým nebo smyslovým postižením</t>
  </si>
  <si>
    <t>87300</t>
  </si>
  <si>
    <t>Pobytové služby sociální péče ve zdravotnických zařízeních lůžkové péče</t>
  </si>
  <si>
    <t>87100</t>
  </si>
  <si>
    <t>Podávání nápojů</t>
  </si>
  <si>
    <t>56300</t>
  </si>
  <si>
    <t>02400</t>
  </si>
  <si>
    <t>01610</t>
  </si>
  <si>
    <t>Podpůrné činnosti pro rybolov a akvakulturu</t>
  </si>
  <si>
    <t>03300</t>
  </si>
  <si>
    <t>Podpůrné činnosti pro těžbu a dobývání ostatních nerostných surovin j. n.</t>
  </si>
  <si>
    <t>09909</t>
  </si>
  <si>
    <t>Podpůrné činnosti pro těžbu černého uhlí</t>
  </si>
  <si>
    <t>09901</t>
  </si>
  <si>
    <t>Podpůrné činnosti pro těžbu hnědého uhlí, kromě lignitu</t>
  </si>
  <si>
    <t>09902</t>
  </si>
  <si>
    <t>Podpůrné činnosti pro těžbu lignitu</t>
  </si>
  <si>
    <t>09903</t>
  </si>
  <si>
    <t>Podpůrné činnosti pro těžbu ostatních neželezných rud</t>
  </si>
  <si>
    <t>09906</t>
  </si>
  <si>
    <t>Podpůrné činnosti pro těžbu ropy a zemního plynu</t>
  </si>
  <si>
    <t>09100</t>
  </si>
  <si>
    <t>Podpůrné činnosti pro těžbu uranových a thoriových rud</t>
  </si>
  <si>
    <t>09905</t>
  </si>
  <si>
    <t>Podpůrné činnosti pro těžbu železných rud</t>
  </si>
  <si>
    <t>09904</t>
  </si>
  <si>
    <t>01620</t>
  </si>
  <si>
    <t>Podpůrné činnosti v oblasti vzdělávání j. n.</t>
  </si>
  <si>
    <t>85690</t>
  </si>
  <si>
    <t>96300</t>
  </si>
  <si>
    <t>43410</t>
  </si>
  <si>
    <t>Pomocné činnosti k pojišťování a penzijnímu financování j. n.</t>
  </si>
  <si>
    <t>66290</t>
  </si>
  <si>
    <t>Poradenství v oblasti počítačů a správa počítačových systémů</t>
  </si>
  <si>
    <t>62200</t>
  </si>
  <si>
    <t>Poradenství v oblasti podnikání a řízení podniků</t>
  </si>
  <si>
    <t>70200</t>
  </si>
  <si>
    <t>Pořádání kongresů a veletrhů</t>
  </si>
  <si>
    <t>82300</t>
  </si>
  <si>
    <t>59200</t>
  </si>
  <si>
    <t>Posklizňové činnosti a zpracování osiva pro účely množení</t>
  </si>
  <si>
    <t>01630</t>
  </si>
  <si>
    <t>Poskytování jiných úvěrů společnostmi, které nepřijímají vklady</t>
  </si>
  <si>
    <t>64922</t>
  </si>
  <si>
    <t>Poskytování osobních služeb v domácnostech</t>
  </si>
  <si>
    <t>96910</t>
  </si>
  <si>
    <t>96990</t>
  </si>
  <si>
    <t>Poskytování počítačové infrastruktury, zpracování dat, hosting a související činnosti</t>
  </si>
  <si>
    <t>63100</t>
  </si>
  <si>
    <t>Poskytování smluvních a ostatních stravovacích služeb</t>
  </si>
  <si>
    <t>56220</t>
  </si>
  <si>
    <t>Poskytování spotřebitelských úvěrů společnostmi, které nepřijímají vklady</t>
  </si>
  <si>
    <t>64921</t>
  </si>
  <si>
    <t>Poskytování stravování u stánků a mobilních zařízení</t>
  </si>
  <si>
    <t>56120</t>
  </si>
  <si>
    <t>Poskytování stravování v restauracích</t>
  </si>
  <si>
    <t>56110</t>
  </si>
  <si>
    <t>Postprodukce filmů, videozáznamů a televizních pořadů</t>
  </si>
  <si>
    <t>59120</t>
  </si>
  <si>
    <t>Postsekundární neterciární vzdělávání</t>
  </si>
  <si>
    <t>85330</t>
  </si>
  <si>
    <t>49500</t>
  </si>
  <si>
    <t>Povlakování kovů</t>
  </si>
  <si>
    <t>25510</t>
  </si>
  <si>
    <t>Praní a čištění textilních a kožešinových výrobků pro jiné oblasti podnikání</t>
  </si>
  <si>
    <t>96103</t>
  </si>
  <si>
    <t>Praní a čištění textilních a kožešinových výrobků pro oblast ubytování a stravování</t>
  </si>
  <si>
    <t>96102</t>
  </si>
  <si>
    <t>Praní a čištění textilních a kožešinových výrobků pro oblast zdravotnictví</t>
  </si>
  <si>
    <t>96101</t>
  </si>
  <si>
    <t>Praní a čištění textilních a kožešinových výrobků pro veřejnost</t>
  </si>
  <si>
    <t>96104</t>
  </si>
  <si>
    <t>Pravidelná silniční osobní doprava</t>
  </si>
  <si>
    <t>49310</t>
  </si>
  <si>
    <t>69100</t>
  </si>
  <si>
    <t>Preprimární vzdělávání</t>
  </si>
  <si>
    <t>85100</t>
  </si>
  <si>
    <t>85200</t>
  </si>
  <si>
    <t>Produkce filmů, videozáznamů a televizních pořadů</t>
  </si>
  <si>
    <t>59110</t>
  </si>
  <si>
    <t>Programování a vývoj počítačových her, herního softwaru a herních nástrojů</t>
  </si>
  <si>
    <t>62101</t>
  </si>
  <si>
    <t>59140</t>
  </si>
  <si>
    <t>77330</t>
  </si>
  <si>
    <t>77350</t>
  </si>
  <si>
    <t>77120</t>
  </si>
  <si>
    <t>Pronájem a leasing osobních automobilů a lehkých motorových vozidel</t>
  </si>
  <si>
    <t>77110</t>
  </si>
  <si>
    <t>Pronájem a leasing ostatních strojů, zařízení a hmotných statků j. n.</t>
  </si>
  <si>
    <t>77390</t>
  </si>
  <si>
    <t>Pronájem a leasing ostatních výrobků pro osobní potřebu a převážně pro domácnost</t>
  </si>
  <si>
    <t>77220</t>
  </si>
  <si>
    <t>77210</t>
  </si>
  <si>
    <t>77320</t>
  </si>
  <si>
    <t>77340</t>
  </si>
  <si>
    <t>77310</t>
  </si>
  <si>
    <t>68200</t>
  </si>
  <si>
    <t>Provoz pískoven a štěrkopískoven a těžba jílů a kaolinu</t>
  </si>
  <si>
    <t>08120</t>
  </si>
  <si>
    <t>Provozování historických a kulturních památek</t>
  </si>
  <si>
    <t>91220</t>
  </si>
  <si>
    <t>Provozování kulturních zařízení a areálů</t>
  </si>
  <si>
    <t>90310</t>
  </si>
  <si>
    <t>93110</t>
  </si>
  <si>
    <t>73200</t>
  </si>
  <si>
    <t>43130</t>
  </si>
  <si>
    <t>74300</t>
  </si>
  <si>
    <t>35130</t>
  </si>
  <si>
    <t>Přeprava pacientů vozidly zdravotnické dopravní služby</t>
  </si>
  <si>
    <t>86920</t>
  </si>
  <si>
    <t>43120</t>
  </si>
  <si>
    <t>18130</t>
  </si>
  <si>
    <t>32110</t>
  </si>
  <si>
    <t>84130</t>
  </si>
  <si>
    <t>Regulace činností souvisejících s kulturou</t>
  </si>
  <si>
    <t>84123</t>
  </si>
  <si>
    <t>Regulace činností souvisejících s poskytováním ostatních služeb pro společnost j. n.</t>
  </si>
  <si>
    <t>84129</t>
  </si>
  <si>
    <t>Regulace činností souvisejících s poskytováním sociální péče, kromě povinného sociálního zabezpečení</t>
  </si>
  <si>
    <t>84125</t>
  </si>
  <si>
    <t>Regulace činností souvisejících s poskytováním zdravotní péče</t>
  </si>
  <si>
    <t>84121</t>
  </si>
  <si>
    <t>Regulace činností souvisejících se sportem</t>
  </si>
  <si>
    <t>84124</t>
  </si>
  <si>
    <t>Regulace činností souvisejících se vzděláváním</t>
  </si>
  <si>
    <t>84122</t>
  </si>
  <si>
    <t>55200</t>
  </si>
  <si>
    <t>60101</t>
  </si>
  <si>
    <t>18200</t>
  </si>
  <si>
    <t>23700</t>
  </si>
  <si>
    <t>66110</t>
  </si>
  <si>
    <t>39000</t>
  </si>
  <si>
    <t>02300</t>
  </si>
  <si>
    <t>Sběr nebezpečných odpadů</t>
  </si>
  <si>
    <t>38120</t>
  </si>
  <si>
    <t>Sběr odpadů, kromě nebezpečných</t>
  </si>
  <si>
    <t>38110</t>
  </si>
  <si>
    <t>Sekundární odborné vzdělávání bez maturitní zkoušky v jiných než uměleckých oborech</t>
  </si>
  <si>
    <t>85322</t>
  </si>
  <si>
    <t>Sekundární odborné vzdělávání s maturitní zkouškou v jiných než uměleckých oborech</t>
  </si>
  <si>
    <t>85323</t>
  </si>
  <si>
    <t>Sekundární odborné vzdělávání v uměleckých oborech</t>
  </si>
  <si>
    <t>85321</t>
  </si>
  <si>
    <t>Sekundární všeobecné vzdělávání na druhém stupni základních škol</t>
  </si>
  <si>
    <t>85311</t>
  </si>
  <si>
    <t>Sekundární všeobecné vzdělávání na středních školách</t>
  </si>
  <si>
    <t>85312</t>
  </si>
  <si>
    <t>Shromažďování, úprava a distribuce vody</t>
  </si>
  <si>
    <t>36000</t>
  </si>
  <si>
    <t>49410</t>
  </si>
  <si>
    <t>Skládkování nebo trvalé uložení odpadů</t>
  </si>
  <si>
    <t>38320</t>
  </si>
  <si>
    <t>52100</t>
  </si>
  <si>
    <t>Skladování elektřiny</t>
  </si>
  <si>
    <t>35160</t>
  </si>
  <si>
    <t>Skladování plynu jako součást služeb síťových dodávek</t>
  </si>
  <si>
    <t>35240</t>
  </si>
  <si>
    <t>43340</t>
  </si>
  <si>
    <t>03220</t>
  </si>
  <si>
    <t>03120</t>
  </si>
  <si>
    <t>Služby pro děti</t>
  </si>
  <si>
    <t>88910</t>
  </si>
  <si>
    <t>Smíšené hospodaření</t>
  </si>
  <si>
    <t>01500</t>
  </si>
  <si>
    <t>Spalování odpadů bez energetického využití</t>
  </si>
  <si>
    <t>38310</t>
  </si>
  <si>
    <t>86220</t>
  </si>
  <si>
    <t>81220</t>
  </si>
  <si>
    <t>Specializované stavební činnosti při výstavbě inženýrských děl</t>
  </si>
  <si>
    <t>43500</t>
  </si>
  <si>
    <t>Specializovaný maloobchod s ostatními potravinami</t>
  </si>
  <si>
    <t>47270</t>
  </si>
  <si>
    <t>Specializovaný velkoobchod s ostatními potravinami</t>
  </si>
  <si>
    <t>46380</t>
  </si>
  <si>
    <t>85510</t>
  </si>
  <si>
    <t>66300</t>
  </si>
  <si>
    <t>Stavba civilních lodí a plavidel</t>
  </si>
  <si>
    <t>30110</t>
  </si>
  <si>
    <t>30120</t>
  </si>
  <si>
    <t>Stavba vojenských lodí a plavidel</t>
  </si>
  <si>
    <t>30130</t>
  </si>
  <si>
    <t>49420</t>
  </si>
  <si>
    <t>24340</t>
  </si>
  <si>
    <t>Tažení ocelových tyčí za studena</t>
  </si>
  <si>
    <t>24310</t>
  </si>
  <si>
    <t>71200</t>
  </si>
  <si>
    <t>Tepelné zpracování kovů</t>
  </si>
  <si>
    <t>25520</t>
  </si>
  <si>
    <t>Terciární vzdělávání v jiných než uměleckých oborech</t>
  </si>
  <si>
    <t>85402</t>
  </si>
  <si>
    <t>Terciární vzdělávání v uměleckých oborech</t>
  </si>
  <si>
    <t>85401</t>
  </si>
  <si>
    <t>Těžba a dobývání ostatních nerostných surovin j. n.</t>
  </si>
  <si>
    <t>08990</t>
  </si>
  <si>
    <t>Těžba černého uhlí, kromě úpravy</t>
  </si>
  <si>
    <t>05101</t>
  </si>
  <si>
    <t>02200</t>
  </si>
  <si>
    <t>Těžba hnědého uhlí jiného než lignitu, kromě úpravy</t>
  </si>
  <si>
    <t>05201</t>
  </si>
  <si>
    <t>08910</t>
  </si>
  <si>
    <t>Těžba lignitu, kromě úpravy</t>
  </si>
  <si>
    <t>05203</t>
  </si>
  <si>
    <t>Těžba ostatních neželezných rud, kromě úpravy</t>
  </si>
  <si>
    <t>07291</t>
  </si>
  <si>
    <t>08920</t>
  </si>
  <si>
    <t>06100</t>
  </si>
  <si>
    <t>08930</t>
  </si>
  <si>
    <t>Těžba uranových a thoriových rud, kromě úpravy</t>
  </si>
  <si>
    <t>07211</t>
  </si>
  <si>
    <t>06200</t>
  </si>
  <si>
    <t>Těžba železných rud, kromě úpravy</t>
  </si>
  <si>
    <t>07101</t>
  </si>
  <si>
    <t>18110</t>
  </si>
  <si>
    <t>13200</t>
  </si>
  <si>
    <t>43320</t>
  </si>
  <si>
    <t>23120</t>
  </si>
  <si>
    <t>24330</t>
  </si>
  <si>
    <t>Tvorba televizních programů, televizní vysílání a distribuce videozáznamů</t>
  </si>
  <si>
    <t>60200</t>
  </si>
  <si>
    <t>55100</t>
  </si>
  <si>
    <t>69200</t>
  </si>
  <si>
    <t>85520</t>
  </si>
  <si>
    <t>13100</t>
  </si>
  <si>
    <t>05102</t>
  </si>
  <si>
    <t>Úprava hnědého uhlí jiného než lignitu</t>
  </si>
  <si>
    <t>05202</t>
  </si>
  <si>
    <t>05204</t>
  </si>
  <si>
    <t>07292</t>
  </si>
  <si>
    <t>07212</t>
  </si>
  <si>
    <t>07102</t>
  </si>
  <si>
    <t>24320</t>
  </si>
  <si>
    <t>18140</t>
  </si>
  <si>
    <t>46360</t>
  </si>
  <si>
    <t>Velkoobchod s díly a příslušenstvím pro motorová vozidla</t>
  </si>
  <si>
    <t>46720</t>
  </si>
  <si>
    <t>Velkoobchod s elektrospotřebiči a elektronikou převážně pro domácnost</t>
  </si>
  <si>
    <t>46430</t>
  </si>
  <si>
    <t>Velkoobchod s farmaceutickými a zdravotnickými výrobky</t>
  </si>
  <si>
    <t>46460</t>
  </si>
  <si>
    <t>46480</t>
  </si>
  <si>
    <t>46850</t>
  </si>
  <si>
    <t>46370</t>
  </si>
  <si>
    <t>46220</t>
  </si>
  <si>
    <t>Velkoobchod s masem, masnými výrobky, rybami a rybími výrobky</t>
  </si>
  <si>
    <t>46320</t>
  </si>
  <si>
    <t>46330</t>
  </si>
  <si>
    <t>Velkoobchod s motocykly a jejich díly a příslušenstvím</t>
  </si>
  <si>
    <t>46730</t>
  </si>
  <si>
    <t>Velkoobchod s motorovými vozidly</t>
  </si>
  <si>
    <t>46710</t>
  </si>
  <si>
    <t>Velkoobchod s nábytkem, koberci a osvětlovacími zařízeními pro domácnosti, kanceláře a obchody</t>
  </si>
  <si>
    <t>46470</t>
  </si>
  <si>
    <t>46340</t>
  </si>
  <si>
    <t>46210</t>
  </si>
  <si>
    <t>46620</t>
  </si>
  <si>
    <t>46420</t>
  </si>
  <si>
    <t>46870</t>
  </si>
  <si>
    <t>46860</t>
  </si>
  <si>
    <t>46640</t>
  </si>
  <si>
    <t>46490</t>
  </si>
  <si>
    <t>46310</t>
  </si>
  <si>
    <t>Velkoobchod s parfémy a kosmetickými přípravky</t>
  </si>
  <si>
    <t>46450</t>
  </si>
  <si>
    <t>46810</t>
  </si>
  <si>
    <t>Velkoobchod s počítačovými a komunikačními zařízeními</t>
  </si>
  <si>
    <t>46500</t>
  </si>
  <si>
    <t>Velkoobchod s porcelánovými, keramickými a skleněnými výrobky a čisticími prostředky</t>
  </si>
  <si>
    <t>46440</t>
  </si>
  <si>
    <t>46820</t>
  </si>
  <si>
    <t>46350</t>
  </si>
  <si>
    <t>46410</t>
  </si>
  <si>
    <t>46630</t>
  </si>
  <si>
    <t>Velkoobchod s železářským zbožím a instalatérskými a topenářskými potřebami</t>
  </si>
  <si>
    <t>46840</t>
  </si>
  <si>
    <t>46230</t>
  </si>
  <si>
    <t>46830</t>
  </si>
  <si>
    <t>46240</t>
  </si>
  <si>
    <t>46610</t>
  </si>
  <si>
    <t>75000</t>
  </si>
  <si>
    <t>50400</t>
  </si>
  <si>
    <t>50300</t>
  </si>
  <si>
    <t>Všechny ostatní odborné, vědecké a technické činnosti j. n.</t>
  </si>
  <si>
    <t>74990</t>
  </si>
  <si>
    <t>86210</t>
  </si>
  <si>
    <t>84110</t>
  </si>
  <si>
    <t>81210</t>
  </si>
  <si>
    <t>Vydávání časopisů v jiných formách než tištěných</t>
  </si>
  <si>
    <t>58132</t>
  </si>
  <si>
    <t>58110</t>
  </si>
  <si>
    <t>Vydávání novin v jiných formách než tištěných</t>
  </si>
  <si>
    <t>58122</t>
  </si>
  <si>
    <t>Vydávání ostatních periodik</t>
  </si>
  <si>
    <t>58139</t>
  </si>
  <si>
    <t>Vydávání tištěných časopisů</t>
  </si>
  <si>
    <t>58131</t>
  </si>
  <si>
    <t>Vydávání tištěných novin</t>
  </si>
  <si>
    <t>58121</t>
  </si>
  <si>
    <t>Vydávání videoher</t>
  </si>
  <si>
    <t>58210</t>
  </si>
  <si>
    <t>66210</t>
  </si>
  <si>
    <t>Výroba a distribuce chladicí vody</t>
  </si>
  <si>
    <t>35303</t>
  </si>
  <si>
    <t>Výroba a distribuce klimatizovaného vzduchu</t>
  </si>
  <si>
    <t>35302</t>
  </si>
  <si>
    <t>Výroba a distribuce páry</t>
  </si>
  <si>
    <t>35301</t>
  </si>
  <si>
    <t>24410</t>
  </si>
  <si>
    <t>24420</t>
  </si>
  <si>
    <t>24440</t>
  </si>
  <si>
    <t>24430</t>
  </si>
  <si>
    <t>24450</t>
  </si>
  <si>
    <t>Výroba a zpracování ostatního skla, včetně technického skla</t>
  </si>
  <si>
    <t>23150</t>
  </si>
  <si>
    <t>Výroba aditiv do pohonných hmot na bázi ethyltercbutyléteru (ETBE) a methyltercbutyléteru (MTBE)</t>
  </si>
  <si>
    <t>20591</t>
  </si>
  <si>
    <t>Výroba barev, laků a jiných nátěrových hmot, tiskařských barev a tmelů</t>
  </si>
  <si>
    <t>20300</t>
  </si>
  <si>
    <t>20120</t>
  </si>
  <si>
    <t>27200</t>
  </si>
  <si>
    <t>23610</t>
  </si>
  <si>
    <t>23630</t>
  </si>
  <si>
    <t>32130</t>
  </si>
  <si>
    <t>23910</t>
  </si>
  <si>
    <t>Výroba bytového textilu a konfekčních bytových textilií</t>
  </si>
  <si>
    <t>13920</t>
  </si>
  <si>
    <t>23510</t>
  </si>
  <si>
    <t>Výroba ciderů a jiných kvašených ovocných nápojů</t>
  </si>
  <si>
    <t>11030</t>
  </si>
  <si>
    <t>Výroba civilních letadel, kosmických lodí a souvisejících zařízení</t>
  </si>
  <si>
    <t>30310</t>
  </si>
  <si>
    <t>10810</t>
  </si>
  <si>
    <t>26520</t>
  </si>
  <si>
    <t>17220</t>
  </si>
  <si>
    <t>25930</t>
  </si>
  <si>
    <t>Výroba dřevěných dveří a oken</t>
  </si>
  <si>
    <t>16250</t>
  </si>
  <si>
    <t>16240</t>
  </si>
  <si>
    <t>23130</t>
  </si>
  <si>
    <t>16210</t>
  </si>
  <si>
    <t>29310</t>
  </si>
  <si>
    <t>27110</t>
  </si>
  <si>
    <t>27120</t>
  </si>
  <si>
    <t>27510</t>
  </si>
  <si>
    <t>27330</t>
  </si>
  <si>
    <t>26110</t>
  </si>
  <si>
    <t>Výroba elektřiny z neobnovitelných zdrojů</t>
  </si>
  <si>
    <t>35110</t>
  </si>
  <si>
    <t>Výroba elektřiny z obnovitelných zdrojů</t>
  </si>
  <si>
    <t>35120</t>
  </si>
  <si>
    <t>21200</t>
  </si>
  <si>
    <t>32400</t>
  </si>
  <si>
    <t>20150</t>
  </si>
  <si>
    <t>Výroba homogenizovaných potravinářských přípravků a dietetických potravin</t>
  </si>
  <si>
    <t>10860</t>
  </si>
  <si>
    <t>10850</t>
  </si>
  <si>
    <t>32200</t>
  </si>
  <si>
    <t>Výroba hydraulických zařízení</t>
  </si>
  <si>
    <t>28120</t>
  </si>
  <si>
    <t>17111</t>
  </si>
  <si>
    <t>20600</t>
  </si>
  <si>
    <t>20599</t>
  </si>
  <si>
    <t>20130</t>
  </si>
  <si>
    <t>20140</t>
  </si>
  <si>
    <t>30920</t>
  </si>
  <si>
    <t>10820</t>
  </si>
  <si>
    <t>17230</t>
  </si>
  <si>
    <t>Výroba kancelářských strojů a zařízení, kromě počítačů a periferních zařízení</t>
  </si>
  <si>
    <t>28230</t>
  </si>
  <si>
    <t>Výroba kapalných biopaliv</t>
  </si>
  <si>
    <t>20510</t>
  </si>
  <si>
    <t>29200</t>
  </si>
  <si>
    <t>23430</t>
  </si>
  <si>
    <t>Výroba keramických obkladaček a dlaždic</t>
  </si>
  <si>
    <t>23310</t>
  </si>
  <si>
    <t>23420</t>
  </si>
  <si>
    <t>32120</t>
  </si>
  <si>
    <t>Výroba klimatizačních zařízení jiných než pro domácnost</t>
  </si>
  <si>
    <t>28250</t>
  </si>
  <si>
    <t>13930</t>
  </si>
  <si>
    <t>19100</t>
  </si>
  <si>
    <t>26300</t>
  </si>
  <si>
    <t>Výroba koření a přísad pro ochucení</t>
  </si>
  <si>
    <t>10840</t>
  </si>
  <si>
    <t>32910</t>
  </si>
  <si>
    <t>25120</t>
  </si>
  <si>
    <t>25110</t>
  </si>
  <si>
    <t>Výroba kožených oděvů a kožešinových výrobků</t>
  </si>
  <si>
    <t>14240</t>
  </si>
  <si>
    <t>Výroba krmiv pro hospodářská zvířata</t>
  </si>
  <si>
    <t>10910</t>
  </si>
  <si>
    <t>Výroba krmiv pro zvířata v zájmovém chovu</t>
  </si>
  <si>
    <t>10920</t>
  </si>
  <si>
    <t>13940</t>
  </si>
  <si>
    <t>32500</t>
  </si>
  <si>
    <t>28150</t>
  </si>
  <si>
    <t>23640</t>
  </si>
  <si>
    <t>10420</t>
  </si>
  <si>
    <t>10130</t>
  </si>
  <si>
    <t>17112</t>
  </si>
  <si>
    <t>26510</t>
  </si>
  <si>
    <t>10510</t>
  </si>
  <si>
    <t>10610</t>
  </si>
  <si>
    <t>30910</t>
  </si>
  <si>
    <t>Výroba motorových vozidel</t>
  </si>
  <si>
    <t>29100</t>
  </si>
  <si>
    <t>28110</t>
  </si>
  <si>
    <t>Výroba moučných výrobků</t>
  </si>
  <si>
    <t>10730</t>
  </si>
  <si>
    <t>Výroba mýdel, detergentů a čisticích a lešticích prostředků</t>
  </si>
  <si>
    <t>20410</t>
  </si>
  <si>
    <t>31000</t>
  </si>
  <si>
    <t>25630</t>
  </si>
  <si>
    <t>Výroba nealkoholických nápojů a balených vod</t>
  </si>
  <si>
    <t>11070</t>
  </si>
  <si>
    <t>27520</t>
  </si>
  <si>
    <t>Výroba netkaných textilií a výrobků z nich</t>
  </si>
  <si>
    <t>13950</t>
  </si>
  <si>
    <t>25610</t>
  </si>
  <si>
    <t>Výroba obalů z lehkých kovů</t>
  </si>
  <si>
    <t>25920</t>
  </si>
  <si>
    <t>15201</t>
  </si>
  <si>
    <t>25910</t>
  </si>
  <si>
    <t>Výroba ocelových trub, trubek, dutých profilů a souvisejících potrubních tvarovek</t>
  </si>
  <si>
    <t>24200</t>
  </si>
  <si>
    <t>10410</t>
  </si>
  <si>
    <t>27310</t>
  </si>
  <si>
    <t>Výroba optických přístrojů a zařízení, magnetických a optických médií a fotografických přístrojů a zařízení</t>
  </si>
  <si>
    <t>26700</t>
  </si>
  <si>
    <t>26120</t>
  </si>
  <si>
    <t>14220</t>
  </si>
  <si>
    <t>Výroba ostatní obuvi</t>
  </si>
  <si>
    <t>15209</t>
  </si>
  <si>
    <t>23660</t>
  </si>
  <si>
    <t>28130</t>
  </si>
  <si>
    <t>29320</t>
  </si>
  <si>
    <t>30990</t>
  </si>
  <si>
    <t>Výroba ostatních dřevěných, korkových, proutěných a slaměných výrobků</t>
  </si>
  <si>
    <t>16280</t>
  </si>
  <si>
    <t>27900</t>
  </si>
  <si>
    <t>Výroba ostatních elektronických a elektrických vodičů a kabelů</t>
  </si>
  <si>
    <t>27320</t>
  </si>
  <si>
    <t>23450</t>
  </si>
  <si>
    <t>Výroba ostatních kovových cisteren, nádrží a podobných nádob</t>
  </si>
  <si>
    <t>25220</t>
  </si>
  <si>
    <t>Výroba ostatních kovových výrobků j. n.</t>
  </si>
  <si>
    <t>25990</t>
  </si>
  <si>
    <t>11040</t>
  </si>
  <si>
    <t>Výroba ostatních nekovových minerálních výrobků j. n.</t>
  </si>
  <si>
    <t>23990</t>
  </si>
  <si>
    <t>28420</t>
  </si>
  <si>
    <t>Výroba ostatních oděvů a oděvních doplňků j. n.</t>
  </si>
  <si>
    <t>14290</t>
  </si>
  <si>
    <t>17119</t>
  </si>
  <si>
    <t>22260</t>
  </si>
  <si>
    <t>14109</t>
  </si>
  <si>
    <t>10890</t>
  </si>
  <si>
    <t>28140</t>
  </si>
  <si>
    <t>22120</t>
  </si>
  <si>
    <t>28290</t>
  </si>
  <si>
    <t>28990</t>
  </si>
  <si>
    <t>13960</t>
  </si>
  <si>
    <t>23440</t>
  </si>
  <si>
    <t>13990</t>
  </si>
  <si>
    <t>16230</t>
  </si>
  <si>
    <t>17250</t>
  </si>
  <si>
    <t>Výroba osvětlovacích zařízení</t>
  </si>
  <si>
    <t>27400</t>
  </si>
  <si>
    <t>10320</t>
  </si>
  <si>
    <t>26600</t>
  </si>
  <si>
    <t>23320</t>
  </si>
  <si>
    <t>17120</t>
  </si>
  <si>
    <t>20420</t>
  </si>
  <si>
    <t>Výroba pecí, kotlů a stálých tepelných zařízení pro domácnosti</t>
  </si>
  <si>
    <t>28210</t>
  </si>
  <si>
    <t>10710</t>
  </si>
  <si>
    <t>Výroba pesticidů, dezinfekčních prostředků a jiných agrochemických přípravků</t>
  </si>
  <si>
    <t>20200</t>
  </si>
  <si>
    <t>Výroba pevných paliv z rostlinné biomasy</t>
  </si>
  <si>
    <t>16260</t>
  </si>
  <si>
    <t>11050</t>
  </si>
  <si>
    <t>22210</t>
  </si>
  <si>
    <t>Výroba plastových dveří a oken</t>
  </si>
  <si>
    <t>22230</t>
  </si>
  <si>
    <t>22220</t>
  </si>
  <si>
    <t>22240</t>
  </si>
  <si>
    <t>20160</t>
  </si>
  <si>
    <t>14101</t>
  </si>
  <si>
    <t>Výroba pletených a háčkovaných textilií</t>
  </si>
  <si>
    <t>13910</t>
  </si>
  <si>
    <t>23110</t>
  </si>
  <si>
    <t>Výroba plochých výrobků ze železa nebo oceli válcovaných za tepla nebo za studena, kromě úzkých pásů válcovaných za studena</t>
  </si>
  <si>
    <t>24102</t>
  </si>
  <si>
    <t>35210</t>
  </si>
  <si>
    <t>26200</t>
  </si>
  <si>
    <t>Výroba porcelánových a keramických výrobků převážně pro domácnost a dekoračních předmětů</t>
  </si>
  <si>
    <t>23410</t>
  </si>
  <si>
    <t>14230</t>
  </si>
  <si>
    <t>Výroba pryžových plášťů a duší a protektorování pneumatik</t>
  </si>
  <si>
    <t>22110</t>
  </si>
  <si>
    <t>Výroba radiátorů k ústřednímu topení a parních kotlů</t>
  </si>
  <si>
    <t>25210</t>
  </si>
  <si>
    <t>Výroba rafinovaných ropných produktů a produktů z fosilních paliv</t>
  </si>
  <si>
    <t>19200</t>
  </si>
  <si>
    <t>28240</t>
  </si>
  <si>
    <t>23620</t>
  </si>
  <si>
    <t>16220</t>
  </si>
  <si>
    <t>23140</t>
  </si>
  <si>
    <t>11060</t>
  </si>
  <si>
    <t>Výroba spojovacích materiálů a výrobků se závity</t>
  </si>
  <si>
    <t>25940</t>
  </si>
  <si>
    <t>32300</t>
  </si>
  <si>
    <t>26400</t>
  </si>
  <si>
    <t>28950</t>
  </si>
  <si>
    <t>28960</t>
  </si>
  <si>
    <t>28930</t>
  </si>
  <si>
    <t>28940</t>
  </si>
  <si>
    <t>Výroba strojů pro aditivní výrobu</t>
  </si>
  <si>
    <t>28970</t>
  </si>
  <si>
    <t>28910</t>
  </si>
  <si>
    <t>28920</t>
  </si>
  <si>
    <t>Výroba sucharů, sušenek a trvanlivých pekařských a cukrářských výrobků</t>
  </si>
  <si>
    <t>10720</t>
  </si>
  <si>
    <t>Výroba surového železa, oceli a feroslitin j. n.</t>
  </si>
  <si>
    <t>24109</t>
  </si>
  <si>
    <t>Výroba svrchních oděvů</t>
  </si>
  <si>
    <t>14210</t>
  </si>
  <si>
    <t>20170</t>
  </si>
  <si>
    <t>10620</t>
  </si>
  <si>
    <t>12000</t>
  </si>
  <si>
    <t>17240</t>
  </si>
  <si>
    <t>20110</t>
  </si>
  <si>
    <t>Výroba tvářecích a obráběcích strojů na opracování kovů</t>
  </si>
  <si>
    <t>28410</t>
  </si>
  <si>
    <t>Výroba tyčí a prutů ze železa nebo oceli válcovaných za tepla</t>
  </si>
  <si>
    <t>24103</t>
  </si>
  <si>
    <t>23520</t>
  </si>
  <si>
    <t>11020</t>
  </si>
  <si>
    <t>Výroba vláknocementových výrobků</t>
  </si>
  <si>
    <t>23650</t>
  </si>
  <si>
    <t>17210</t>
  </si>
  <si>
    <t>30400</t>
  </si>
  <si>
    <t>Výroba vojenských letadel, kosmických lodí a souvisejících zařízení</t>
  </si>
  <si>
    <t>30320</t>
  </si>
  <si>
    <t>21100</t>
  </si>
  <si>
    <t>Výroba základních hutních výrobků ze železa a oceli, výroba surového železa a oceli</t>
  </si>
  <si>
    <t>24101</t>
  </si>
  <si>
    <t>25620</t>
  </si>
  <si>
    <t>Výroba zavazadel, kabelek, sedlářských a řemenářských výrobků z jakýchkoli materiálů</t>
  </si>
  <si>
    <t>15120</t>
  </si>
  <si>
    <t>25300</t>
  </si>
  <si>
    <t>28220</t>
  </si>
  <si>
    <t>28300</t>
  </si>
  <si>
    <t>Výroba zmrzliny a ledu k lidské spotřebě</t>
  </si>
  <si>
    <t>10520</t>
  </si>
  <si>
    <t>23200</t>
  </si>
  <si>
    <t>Výroba železničních lokomotiv a kolejových vozidel</t>
  </si>
  <si>
    <t>30200</t>
  </si>
  <si>
    <t>Výrobu ledu pro chladicí účely</t>
  </si>
  <si>
    <t>35304</t>
  </si>
  <si>
    <t>41000</t>
  </si>
  <si>
    <t>42220</t>
  </si>
  <si>
    <t>42210</t>
  </si>
  <si>
    <t>42130</t>
  </si>
  <si>
    <t>Výstavba ostatních inženýrských děl j. n.</t>
  </si>
  <si>
    <t>42990</t>
  </si>
  <si>
    <t>42110</t>
  </si>
  <si>
    <t>42910</t>
  </si>
  <si>
    <t>42120</t>
  </si>
  <si>
    <t>Výtvarná tvorba</t>
  </si>
  <si>
    <t>90120</t>
  </si>
  <si>
    <t>72100</t>
  </si>
  <si>
    <t>72200</t>
  </si>
  <si>
    <t>85591</t>
  </si>
  <si>
    <t>Zajišťovací činnosti</t>
  </si>
  <si>
    <t>65200</t>
  </si>
  <si>
    <t>53100</t>
  </si>
  <si>
    <t>73120</t>
  </si>
  <si>
    <t>Zednické práce</t>
  </si>
  <si>
    <t>43910</t>
  </si>
  <si>
    <t>Zpracování a konečná úprava dřeva</t>
  </si>
  <si>
    <t>16120</t>
  </si>
  <si>
    <t>Zpracování a konečná úprava plastových výrobků</t>
  </si>
  <si>
    <t>22250</t>
  </si>
  <si>
    <t>10310</t>
  </si>
  <si>
    <t>10120</t>
  </si>
  <si>
    <t>Zpracování a konzervování masa, kromě drůbežího masa</t>
  </si>
  <si>
    <t>10110</t>
  </si>
  <si>
    <t>10200</t>
  </si>
  <si>
    <t>10830</t>
  </si>
  <si>
    <t>24460</t>
  </si>
  <si>
    <t>Zpracování odpadů k energetickému využití</t>
  </si>
  <si>
    <t>38220</t>
  </si>
  <si>
    <t>Zpracování odpadů k ostatnímu využití</t>
  </si>
  <si>
    <t>38230</t>
  </si>
  <si>
    <t>Zpracování odpadů k získání materiálů k dalšímu využití</t>
  </si>
  <si>
    <t>38210</t>
  </si>
  <si>
    <t>Zprostředkování v oblasti nákladní dopravy</t>
  </si>
  <si>
    <t>52310</t>
  </si>
  <si>
    <t>Zprostředkování v oblasti nemovitostí</t>
  </si>
  <si>
    <t>68310</t>
  </si>
  <si>
    <t>Zprostředkování v oblasti nespecializovaného maloobchodu</t>
  </si>
  <si>
    <t>47910</t>
  </si>
  <si>
    <t>Zprostředkování v oblasti nespecializovaného velkoobchodu za provizi</t>
  </si>
  <si>
    <t>46190</t>
  </si>
  <si>
    <t>Zprostředkování v oblasti oprav a údržby počítačů, výrobků pro osobní potřebu a převážně pro domácnost a motorových vozidel a motocyklů</t>
  </si>
  <si>
    <t>95400</t>
  </si>
  <si>
    <t>Zprostředkování v oblasti osobní dopravy</t>
  </si>
  <si>
    <t>52320</t>
  </si>
  <si>
    <t>Zprostředkování v oblasti osobních služeb</t>
  </si>
  <si>
    <t>96400</t>
  </si>
  <si>
    <t>Zprostředkování v oblasti pobytových služeb sociální péče</t>
  </si>
  <si>
    <t>87910</t>
  </si>
  <si>
    <t>Zprostředkování v oblasti podpůrných činností pro podnikání j. n.</t>
  </si>
  <si>
    <t>82400</t>
  </si>
  <si>
    <t>Zprostředkování v oblasti poštovních a kurýrních činností</t>
  </si>
  <si>
    <t>53300</t>
  </si>
  <si>
    <t>Zprostředkování v oblasti pronájmu a leasingu automobilů, obytných automobilů a přívěsů</t>
  </si>
  <si>
    <t>77510</t>
  </si>
  <si>
    <t>Zprostředkování v oblasti pronájmu a leasingu jiných hmotných statků a nefinančních nehmotných aktiv</t>
  </si>
  <si>
    <t>77520</t>
  </si>
  <si>
    <t>Zprostředkování v oblasti specializovaného maloobchodu</t>
  </si>
  <si>
    <t>47920</t>
  </si>
  <si>
    <t>Zprostředkování v oblasti specializovaného velkoobchodu za provizi s ostatním zbožím</t>
  </si>
  <si>
    <t>46180</t>
  </si>
  <si>
    <t>Zprostředkování v oblasti specializovaných stavebních činností</t>
  </si>
  <si>
    <t>43600</t>
  </si>
  <si>
    <t>Zprostředkování v oblasti stravování a podávání nápojů</t>
  </si>
  <si>
    <t>56400</t>
  </si>
  <si>
    <t>Zprostředkování v oblasti ubytování</t>
  </si>
  <si>
    <t>55400</t>
  </si>
  <si>
    <t>Zprostředkování v oblasti velkoobchodu za provizi s nábytkem, železářským zbožím a potřebami převážně pro domácnost</t>
  </si>
  <si>
    <t>46150</t>
  </si>
  <si>
    <t>Zprostředkování v oblasti velkoobchodu za provizi s palivy, rudami, kovy a technickými chemikáliemi</t>
  </si>
  <si>
    <t>46120</t>
  </si>
  <si>
    <t>Zprostředkování v oblasti velkoobchodu za provizi s potravinami, nápoji a tabákovými výrobky</t>
  </si>
  <si>
    <t>46170</t>
  </si>
  <si>
    <t>Zprostředkování v oblasti velkoobchodu za provizi s textilem, oděvy, kožešinami, obuví a koženými výrobky</t>
  </si>
  <si>
    <t>46160</t>
  </si>
  <si>
    <t>Zprostředkování v oblasti velkoobchodu za provizi se dřevem a stavebními materiály</t>
  </si>
  <si>
    <t>46130</t>
  </si>
  <si>
    <t>Zprostředkování v oblasti velkoobchodu za provizi se stroji, průmyslovým zařízením, loděmi a letadly</t>
  </si>
  <si>
    <t>46140</t>
  </si>
  <si>
    <t>Zprostředkování v oblasti velkoobchodu za provizi se základními zemědělskými produkty, živými zvířaty, textilními surovinami a polotovary</t>
  </si>
  <si>
    <t>46110</t>
  </si>
  <si>
    <t>Zprostředkování v oblasti vzdělávání</t>
  </si>
  <si>
    <t>85610</t>
  </si>
  <si>
    <t>Zprostředkování v oblasti zdravotní péče</t>
  </si>
  <si>
    <t>86970</t>
  </si>
  <si>
    <t>86230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</si>
</sst>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0\ &quot;Kč&quot;;\-#,##0\ &quot;Kč&quot;"/>
    <numFmt numFmtId="43" formatCode="_-* #,##0.00_-;\-* #,##0.00_-;_-* &quot;-&quot;??_-;_-@_-"/>
    <numFmt numFmtId="164" formatCode="mmmm\ d\,\ yyyy"/>
    <numFmt numFmtId="165" formatCode="d/m/yyyy;@"/>
    <numFmt numFmtId="166" formatCode="???,???,???"/>
    <numFmt numFmtId="167" formatCode="#,##0.00\ &quot;Kč&quot;"/>
    <numFmt numFmtId="168" formatCode="d/mmmm\ yyyy"/>
    <numFmt numFmtId="177" formatCode="#,##0"/>
    <numFmt numFmtId="178" formatCode="#,##0.00"/>
  </numFmts>
  <fonts count="94">
    <font>
      <sz val="10"/>
      <name val="Arial"/>
      <family val="2"/>
      <charset val="-18"/>
    </font>
    <font>
      <sz val="10"/>
      <color theme="1"/>
      <name val="Arial"/>
      <family val="2"/>
    </font>
    <font>
      <sz val="11"/>
      <color theme="1"/>
      <name val="Calibri"/>
      <family val="2"/>
      <charset val="-18"/>
      <scheme val="minor"/>
    </font>
    <font>
      <b/>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24"/>
      <name val="Arial CE"/>
      <family val="2"/>
      <charset val="-18"/>
    </font>
    <font>
      <b/>
      <u val="single"/>
      <sz val="14"/>
      <name val="Arial CE"/>
      <family val="2"/>
      <charset val="-18"/>
    </font>
    <font>
      <sz val="14"/>
      <name val="Arial"/>
      <family val="2"/>
      <charset val="-18"/>
    </font>
    <font>
      <b/>
      <i/>
      <sz val="10"/>
      <name val="Arial"/>
      <family val="2"/>
      <charset val="-18"/>
    </font>
    <font>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sz val="9"/>
      <name val="Tahoma"/>
      <family val="2"/>
      <charset val="-18"/>
    </font>
    <font>
      <b/>
      <sz val="9"/>
      <name val="Tahoma"/>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vertAlign val="superscript"/>
      <sz val="9"/>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b/>
      <sz val="12"/>
      <color rgb="FFFF0000"/>
      <name val="Arial CE"/>
      <family val="2"/>
      <charset val="-18"/>
    </font>
    <font>
      <b/>
      <u val="single"/>
      <sz val="11"/>
      <name val="Arial CE"/>
      <family val="2"/>
      <charset val="-18"/>
    </font>
    <font>
      <u val="single"/>
      <sz val="11"/>
      <name val="Arial CE"/>
      <family val="2"/>
      <charset val="-18"/>
    </font>
    <font>
      <b/>
      <sz val="11"/>
      <color rgb="FF3399FF"/>
      <name val="Arial CE"/>
      <family val="2"/>
      <charset val="-18"/>
    </font>
    <font>
      <i/>
      <sz val="9"/>
      <color theme="1"/>
      <name val="Arial"/>
      <family val="2"/>
      <charset val="-18"/>
    </font>
    <font>
      <vertAlign val="superscript"/>
      <sz val="9"/>
      <color theme="1"/>
      <name val="Arial"/>
      <family val="2"/>
      <charset val="-18"/>
    </font>
    <font>
      <vertAlign val="superscript"/>
      <sz val="8"/>
      <color theme="1"/>
      <name val="Arial"/>
      <family val="2"/>
      <charset val="-18"/>
    </font>
    <font>
      <sz val="10"/>
      <color theme="1"/>
      <name val="Calibri"/>
      <family val="2"/>
      <charset val="-18"/>
      <scheme val="minor"/>
    </font>
  </fonts>
  <fills count="22">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indexed="31"/>
        <bgColor indexed="64"/>
      </patternFill>
    </fill>
    <fill>
      <patternFill patternType="solid">
        <fgColor rgb="FFFFCCCC"/>
        <bgColor indexed="64"/>
      </patternFill>
    </fill>
    <fill>
      <patternFill patternType="solid">
        <fgColor theme="0"/>
        <bgColor indexed="64"/>
      </patternFill>
    </fill>
  </fills>
  <borders count="93">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right/>
      <top style="dotted">
        <color auto="1"/>
      </top>
      <bottom/>
    </border>
    <border>
      <left/>
      <right/>
      <top/>
      <bottom style="dotted">
        <color auto="1"/>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style="thin">
        <color auto="1"/>
      </left>
      <right/>
      <top style="thin">
        <color auto="1"/>
      </top>
      <bottom style="medium">
        <color auto="1"/>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auto="1"/>
      </left>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thin">
        <color auto="1"/>
      </bottom>
    </border>
    <border>
      <left/>
      <right/>
      <top/>
      <bottom style="hair">
        <color auto="1"/>
      </bottom>
    </border>
    <border>
      <left/>
      <right style="thin">
        <color auto="1"/>
      </right>
      <top style="thin">
        <color auto="1"/>
      </top>
      <bottom style="thin">
        <color auto="1"/>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right style="dotted">
        <color auto="1"/>
      </right>
      <top style="dotted">
        <color auto="1"/>
      </top>
      <bottom/>
    </border>
    <border>
      <left style="dotted">
        <color auto="1"/>
      </left>
      <right/>
      <top style="dotted">
        <color auto="1"/>
      </top>
      <bottom/>
    </border>
    <border>
      <left style="medium">
        <color auto="1"/>
      </left>
      <right style="thin">
        <color auto="1"/>
      </right>
      <top style="medium">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right/>
      <top style="medium">
        <color auto="1"/>
      </top>
      <bottom/>
    </border>
    <border>
      <left/>
      <right style="thin">
        <color auto="1"/>
      </right>
      <top style="medium">
        <color auto="1"/>
      </top>
      <bottom/>
    </border>
    <border>
      <left style="thin">
        <color auto="1"/>
      </left>
      <right/>
      <top style="medium">
        <color auto="1"/>
      </top>
      <bottom/>
    </border>
    <border>
      <left style="medium">
        <color auto="1"/>
      </left>
      <right style="thin">
        <color auto="1"/>
      </right>
      <top/>
      <bottom/>
    </border>
    <border>
      <left style="medium">
        <color auto="1"/>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right style="medium">
        <color auto="1"/>
      </right>
      <top style="thin">
        <color auto="1"/>
      </top>
      <bottom/>
    </border>
    <border>
      <left/>
      <right style="medium">
        <color auto="1"/>
      </right>
      <top/>
      <bottom style="thin">
        <color auto="1"/>
      </bottom>
    </border>
    <border>
      <left/>
      <right/>
      <top style="hair">
        <color auto="1"/>
      </top>
      <bottom/>
    </border>
    <border>
      <left/>
      <right/>
      <top style="hair">
        <color auto="1"/>
      </top>
      <bottom style="hair">
        <color auto="1"/>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style="medium">
        <color auto="1"/>
      </left>
      <right style="thin">
        <color auto="1"/>
      </right>
      <top/>
      <bottom style="medium">
        <color auto="1"/>
      </bottom>
    </border>
  </borders>
  <cellStyleXfs count="1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4" fillId="0" borderId="0" applyNumberFormat="0" applyFill="0" applyBorder="0" applyAlignment="0" applyProtection="0">
      <alignment/>
    </xf>
    <xf numFmtId="0" fontId="58" fillId="0" borderId="0" applyNumberFormat="0" applyFill="0" applyBorder="0" applyAlignment="0" applyProtection="0">
      <alignment/>
    </xf>
    <xf numFmtId="0" fontId="5" fillId="0" borderId="0">
      <alignment/>
      <protection/>
    </xf>
    <xf numFmtId="0" fontId="5" fillId="0" borderId="0">
      <alignment/>
      <protection/>
    </xf>
    <xf numFmtId="0" fontId="58" fillId="0" borderId="0" applyNumberFormat="0" applyFill="0" applyBorder="0" applyAlignment="0" applyProtection="0">
      <alignment/>
    </xf>
    <xf numFmtId="0" fontId="0" fillId="0" borderId="0">
      <alignment/>
      <protection/>
    </xf>
    <xf numFmtId="0" fontId="2" fillId="0" borderId="0">
      <alignment/>
      <protection/>
    </xf>
    <xf numFmtId="0" fontId="81" fillId="2" borderId="0" applyNumberFormat="0" applyBorder="0" applyAlignment="0" applyProtection="0">
      <alignment/>
    </xf>
    <xf numFmtId="43" fontId="0" fillId="0" borderId="0" applyFont="0" applyFill="0" applyBorder="0" applyAlignment="0" applyProtection="0">
      <alignment/>
    </xf>
  </cellStyleXfs>
  <cellXfs count="1347">
    <xf numFmtId="0" fontId="0" fillId="0" borderId="0" xfId="0">
      <alignment/>
    </xf>
    <xf numFmtId="0" fontId="15" fillId="0" borderId="0" xfId="0" applyFont="1">
      <alignment/>
    </xf>
    <xf numFmtId="0" fontId="0" fillId="3" borderId="0" xfId="0" applyFill="1">
      <alignment/>
    </xf>
    <xf numFmtId="0" fontId="5" fillId="3" borderId="0" xfId="0" applyFont="1" applyFill="1">
      <alignment/>
    </xf>
    <xf numFmtId="0" fontId="6" fillId="3" borderId="0" xfId="0" applyFont="1" applyFill="1">
      <alignment/>
    </xf>
    <xf numFmtId="0" fontId="3" fillId="3" borderId="0" xfId="0" applyFont="1" applyFill="1">
      <alignment/>
    </xf>
    <xf numFmtId="0" fontId="15" fillId="3" borderId="0" xfId="0" applyFont="1" applyFill="1">
      <alignment/>
    </xf>
    <xf numFmtId="0" fontId="8" fillId="4" borderId="1" xfId="0" applyFont="1" applyFill="1" applyBorder="1" applyAlignment="1">
      <alignment horizontal="center"/>
    </xf>
    <xf numFmtId="0" fontId="5" fillId="3" borderId="2" xfId="0" applyFont="1" applyFill="1" applyBorder="1" applyAlignment="1" applyProtection="1">
      <alignment horizontal="center"/>
      <protection locked="0"/>
    </xf>
    <xf numFmtId="0" fontId="8" fillId="4" borderId="0" xfId="0" applyFont="1" applyFill="1" applyAlignment="1">
      <alignment horizontal="center"/>
    </xf>
    <xf numFmtId="0" fontId="6" fillId="4" borderId="0" xfId="0" applyFont="1" applyFill="1" applyAlignment="1">
      <alignment horizontal="center"/>
    </xf>
    <xf numFmtId="49" fontId="8" fillId="3" borderId="3" xfId="0" applyNumberFormat="1" applyFont="1" applyFill="1" applyBorder="1" applyAlignment="1">
      <alignment horizontal="left" vertical="top"/>
    </xf>
    <xf numFmtId="49" fontId="8" fillId="3" borderId="4" xfId="0" applyNumberFormat="1" applyFont="1" applyFill="1" applyBorder="1" applyAlignment="1">
      <alignment horizontal="left" vertical="top"/>
    </xf>
    <xf numFmtId="49" fontId="5" fillId="3" borderId="5" xfId="0" applyNumberFormat="1" applyFont="1" applyFill="1" applyBorder="1" applyAlignment="1" applyProtection="1">
      <alignment horizontal="center"/>
      <protection locked="0"/>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11" fillId="3" borderId="0" xfId="0" applyFont="1" applyFill="1">
      <alignment/>
    </xf>
    <xf numFmtId="0" fontId="0" fillId="5" borderId="0" xfId="0" applyFill="1">
      <alignment/>
    </xf>
    <xf numFmtId="0" fontId="0" fillId="6" borderId="0" xfId="0" applyFill="1">
      <alignment/>
    </xf>
    <xf numFmtId="0" fontId="5" fillId="5" borderId="0" xfId="0" applyFont="1" applyFill="1">
      <alignment/>
    </xf>
    <xf numFmtId="0" fontId="11" fillId="7" borderId="8" xfId="0" applyFont="1" applyFill="1" applyBorder="1" applyAlignment="1">
      <alignment horizontal="center"/>
    </xf>
    <xf numFmtId="0" fontId="11" fillId="7" borderId="1"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49" fontId="5" fillId="3"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5" fillId="3" borderId="1" xfId="0" applyNumberFormat="1" applyFont="1" applyFill="1" applyBorder="1" applyAlignment="1" applyProtection="1">
      <alignment horizontal="center"/>
      <protection locked="0"/>
    </xf>
    <xf numFmtId="10" fontId="5" fillId="3" borderId="8" xfId="0" applyNumberFormat="1" applyFont="1" applyFill="1" applyBorder="1" applyAlignment="1" applyProtection="1">
      <alignment horizontal="center"/>
      <protection locked="0"/>
    </xf>
    <xf numFmtId="10" fontId="5" fillId="3" borderId="2" xfId="0" applyNumberFormat="1" applyFont="1" applyFill="1" applyBorder="1" applyAlignment="1" applyProtection="1">
      <alignment horizontal="center"/>
      <protection locked="0"/>
    </xf>
    <xf numFmtId="10" fontId="5" fillId="3" borderId="7" xfId="0" applyNumberFormat="1" applyFont="1" applyFill="1" applyBorder="1" applyAlignment="1" applyProtection="1">
      <alignment horizontal="center"/>
      <protection locked="0"/>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8" borderId="11" xfId="0" applyFont="1" applyFill="1" applyBorder="1" applyAlignment="1">
      <alignment vertical="top"/>
    </xf>
    <xf numFmtId="0" fontId="11" fillId="8" borderId="12" xfId="0" applyFont="1" applyFill="1" applyBorder="1" applyAlignment="1">
      <alignment vertical="top"/>
    </xf>
    <xf numFmtId="10" fontId="0" fillId="8" borderId="13" xfId="0" applyNumberFormat="1" applyFill="1" applyBorder="1" applyAlignment="1" applyProtection="1">
      <alignment horizontal="right"/>
      <protection locked="0"/>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4" xfId="0" applyFont="1" applyFill="1" applyBorder="1" applyAlignment="1">
      <alignment horizontal="center" vertical="center"/>
    </xf>
    <xf numFmtId="0" fontId="0" fillId="9" borderId="0" xfId="0" applyFill="1">
      <alignment/>
    </xf>
    <xf numFmtId="0" fontId="5" fillId="9" borderId="0" xfId="0" applyFont="1" applyFill="1">
      <alignment/>
    </xf>
    <xf numFmtId="0" fontId="18" fillId="10" borderId="0" xfId="0" applyFont="1" applyFill="1">
      <alignment/>
    </xf>
    <xf numFmtId="0" fontId="6" fillId="10" borderId="15" xfId="0" applyFont="1" applyFill="1" applyBorder="1">
      <alignment/>
    </xf>
    <xf numFmtId="0" fontId="6" fillId="10" borderId="16" xfId="0" applyFont="1" applyFill="1" applyBorder="1" applyAlignment="1">
      <alignment horizontal="center"/>
    </xf>
    <xf numFmtId="0" fontId="6" fillId="10" borderId="17" xfId="0" applyFont="1" applyFill="1" applyBorder="1" applyAlignment="1">
      <alignment horizontal="center"/>
    </xf>
    <xf numFmtId="0" fontId="5" fillId="10" borderId="3" xfId="0" applyFont="1" applyFill="1" applyBorder="1">
      <alignment/>
    </xf>
    <xf numFmtId="0" fontId="5" fillId="10" borderId="6" xfId="0" applyFont="1" applyFill="1" applyBorder="1">
      <alignment/>
    </xf>
    <xf numFmtId="0" fontId="23" fillId="10" borderId="6" xfId="0" applyFont="1" applyFill="1" applyBorder="1">
      <alignment/>
    </xf>
    <xf numFmtId="0" fontId="5" fillId="10" borderId="4" xfId="0" applyFont="1" applyFill="1" applyBorder="1">
      <alignment/>
    </xf>
    <xf numFmtId="0" fontId="6" fillId="10" borderId="18" xfId="0" applyFont="1" applyFill="1" applyBorder="1">
      <alignment/>
    </xf>
    <xf numFmtId="0" fontId="5" fillId="10" borderId="19" xfId="0" applyFont="1" applyFill="1" applyBorder="1">
      <alignment/>
    </xf>
    <xf numFmtId="0" fontId="6" fillId="10" borderId="20" xfId="0" applyFont="1" applyFill="1" applyBorder="1" applyAlignment="1">
      <alignment horizontal="center"/>
    </xf>
    <xf numFmtId="0" fontId="5" fillId="10" borderId="21" xfId="0" applyFont="1" applyFill="1" applyBorder="1">
      <alignment/>
    </xf>
    <xf numFmtId="0" fontId="5" fillId="10" borderId="22" xfId="0" applyFont="1" applyFill="1" applyBorder="1">
      <alignment/>
    </xf>
    <xf numFmtId="0" fontId="5" fillId="10" borderId="23" xfId="0" applyFont="1" applyFill="1" applyBorder="1">
      <alignment/>
    </xf>
    <xf numFmtId="0" fontId="5" fillId="10" borderId="0" xfId="0" applyFont="1" applyFill="1">
      <alignment/>
    </xf>
    <xf numFmtId="0" fontId="24" fillId="10" borderId="6" xfId="0" applyFont="1" applyFill="1" applyBorder="1">
      <alignment/>
    </xf>
    <xf numFmtId="0" fontId="24" fillId="10" borderId="24" xfId="0" applyFont="1" applyFill="1" applyBorder="1">
      <alignment/>
    </xf>
    <xf numFmtId="0" fontId="23" fillId="10" borderId="14" xfId="0" applyFont="1" applyFill="1" applyBorder="1">
      <alignment/>
    </xf>
    <xf numFmtId="3" fontId="5" fillId="8" borderId="8" xfId="0" applyNumberFormat="1" applyFont="1" applyFill="1" applyBorder="1" applyAlignment="1">
      <alignment horizontal="center" vertical="center"/>
    </xf>
    <xf numFmtId="3" fontId="5" fillId="8" borderId="2" xfId="0" applyNumberFormat="1" applyFont="1" applyFill="1" applyBorder="1" applyAlignment="1">
      <alignment horizontal="center" vertical="center"/>
    </xf>
    <xf numFmtId="0" fontId="5" fillId="4" borderId="1" xfId="0" applyFont="1" applyFill="1" applyBorder="1" applyAlignment="1">
      <alignment horizontal="left"/>
    </xf>
    <xf numFmtId="0" fontId="6" fillId="4" borderId="0" xfId="0" applyFont="1" applyFill="1" applyAlignment="1">
      <alignment horizontal="right"/>
    </xf>
    <xf numFmtId="0" fontId="3" fillId="4" borderId="0" xfId="0" applyFont="1" applyFill="1" applyAlignment="1">
      <alignment horizontal="center"/>
    </xf>
    <xf numFmtId="0" fontId="8" fillId="4" borderId="0" xfId="0" applyFont="1" applyFill="1" applyAlignment="1">
      <alignment horizontal="left"/>
    </xf>
    <xf numFmtId="0" fontId="6" fillId="3" borderId="8" xfId="0" applyFont="1" applyFill="1" applyBorder="1" applyAlignment="1" applyProtection="1">
      <alignment horizontal="center" vertical="center"/>
      <protection locked="0"/>
    </xf>
    <xf numFmtId="0" fontId="8" fillId="4" borderId="0" xfId="0" applyFont="1" applyFill="1" applyAlignment="1">
      <alignment horizontal="center" wrapText="1"/>
    </xf>
    <xf numFmtId="0" fontId="8" fillId="4" borderId="24" xfId="0" applyFont="1" applyFill="1" applyBorder="1" applyAlignment="1">
      <alignment horizontal="center" wrapText="1"/>
    </xf>
    <xf numFmtId="0" fontId="0" fillId="7" borderId="24" xfId="0" applyFill="1" applyBorder="1" applyAlignment="1">
      <alignment horizontal="left" wrapText="1"/>
    </xf>
    <xf numFmtId="0" fontId="0" fillId="8" borderId="0" xfId="0" applyFill="1">
      <alignment/>
    </xf>
    <xf numFmtId="0" fontId="8" fillId="4" borderId="14" xfId="0" applyFont="1" applyFill="1" applyBorder="1" applyAlignment="1">
      <alignment horizontal="center" vertical="center"/>
    </xf>
    <xf numFmtId="0" fontId="8" fillId="4" borderId="25" xfId="0" applyFont="1" applyFill="1" applyBorder="1" applyAlignment="1">
      <alignment horizontal="center"/>
    </xf>
    <xf numFmtId="0" fontId="8" fillId="4" borderId="14" xfId="0" applyFont="1" applyFill="1" applyBorder="1" applyAlignment="1">
      <alignment horizontal="center" vertical="center" wrapText="1"/>
    </xf>
    <xf numFmtId="3" fontId="5" fillId="8" borderId="1" xfId="0" applyNumberFormat="1" applyFont="1" applyFill="1" applyBorder="1" applyAlignment="1">
      <alignment horizontal="center" vertical="center"/>
    </xf>
    <xf numFmtId="3" fontId="8" fillId="7" borderId="26" xfId="0" applyNumberFormat="1" applyFont="1" applyFill="1" applyBorder="1" applyAlignment="1">
      <alignment horizontal="center" vertical="center" wrapText="1" shrinkToFit="1"/>
    </xf>
    <xf numFmtId="0" fontId="11" fillId="7" borderId="5" xfId="0" applyFont="1" applyFill="1" applyBorder="1" applyAlignment="1">
      <alignment horizontal="center" wrapText="1" shrinkToFit="1"/>
    </xf>
    <xf numFmtId="0" fontId="8" fillId="4" borderId="15" xfId="0" applyFont="1" applyFill="1" applyBorder="1" applyAlignment="1">
      <alignment horizontal="center" vertical="center"/>
    </xf>
    <xf numFmtId="0" fontId="21" fillId="0" borderId="0" xfId="0" applyFont="1">
      <alignment/>
    </xf>
    <xf numFmtId="0" fontId="21" fillId="8" borderId="0" xfId="0" applyFont="1" applyFill="1">
      <alignment/>
    </xf>
    <xf numFmtId="0" fontId="8" fillId="4" borderId="27" xfId="0" applyFont="1" applyFill="1" applyBorder="1" applyAlignment="1">
      <alignment horizontal="center" vertical="center"/>
    </xf>
    <xf numFmtId="0" fontId="5" fillId="4" borderId="28" xfId="0" applyFont="1" applyFill="1" applyBorder="1" applyAlignment="1">
      <alignment horizontal="left"/>
    </xf>
    <xf numFmtId="0" fontId="5" fillId="4" borderId="20" xfId="0" applyFont="1" applyFill="1" applyBorder="1" applyAlignment="1">
      <alignment horizontal="left"/>
    </xf>
    <xf numFmtId="0" fontId="8" fillId="4" borderId="1" xfId="0" applyFont="1" applyFill="1" applyBorder="1" applyAlignment="1">
      <alignment horizontal="center"/>
    </xf>
    <xf numFmtId="0" fontId="0" fillId="7" borderId="29" xfId="0" applyFill="1" applyBorder="1">
      <alignment/>
    </xf>
    <xf numFmtId="0" fontId="8" fillId="4" borderId="9" xfId="0" applyFont="1" applyFill="1" applyBorder="1" applyAlignment="1">
      <alignment horizontal="center"/>
    </xf>
    <xf numFmtId="0" fontId="5" fillId="8" borderId="8"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3" fontId="5" fillId="8" borderId="7" xfId="0" applyNumberFormat="1" applyFont="1" applyFill="1" applyBorder="1" applyAlignment="1">
      <alignment horizontal="center" vertical="center"/>
    </xf>
    <xf numFmtId="49" fontId="0" fillId="8" borderId="30" xfId="0" applyNumberFormat="1" applyFill="1" applyBorder="1" applyAlignment="1" applyProtection="1">
      <alignment horizontal="right"/>
      <protection locked="0"/>
    </xf>
    <xf numFmtId="49" fontId="0" fillId="8"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0" fillId="8" borderId="8"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Protection="1">
      <alignment/>
      <protection locked="0"/>
    </xf>
    <xf numFmtId="0" fontId="14" fillId="3" borderId="18" xfId="0" applyFont="1" applyFill="1" applyBorder="1">
      <alignment/>
    </xf>
    <xf numFmtId="0" fontId="0" fillId="8" borderId="31" xfId="0" applyFill="1" applyBorder="1">
      <alignment/>
    </xf>
    <xf numFmtId="0" fontId="5" fillId="4"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11" fillId="7" borderId="19" xfId="0" applyFont="1" applyFill="1" applyBorder="1" applyAlignment="1">
      <alignment vertical="center"/>
    </xf>
    <xf numFmtId="3" fontId="5" fillId="3" borderId="8" xfId="0" applyNumberFormat="1" applyFont="1" applyFill="1" applyBorder="1" applyAlignment="1" applyProtection="1">
      <alignment horizontal="center" vertical="center"/>
      <protection locked="0"/>
    </xf>
    <xf numFmtId="0" fontId="0" fillId="6" borderId="0" xfId="0" applyFill="1" applyAlignment="1">
      <alignment vertical="center"/>
    </xf>
    <xf numFmtId="49" fontId="8" fillId="3" borderId="32" xfId="0" applyNumberFormat="1" applyFont="1" applyFill="1" applyBorder="1" applyAlignment="1">
      <alignment horizontal="left" vertical="top" wrapText="1"/>
    </xf>
    <xf numFmtId="0" fontId="3" fillId="0" borderId="8" xfId="0" applyFont="1" applyBorder="1" applyAlignment="1" applyProtection="1">
      <alignment horizontal="center" vertical="center"/>
      <protection locked="0"/>
    </xf>
    <xf numFmtId="0" fontId="0" fillId="7" borderId="33" xfId="0" applyFill="1" applyBorder="1" applyAlignment="1">
      <alignment vertical="center" wrapText="1"/>
    </xf>
    <xf numFmtId="0" fontId="8" fillId="4" borderId="34" xfId="0" applyFont="1" applyFill="1" applyBorder="1" applyAlignment="1">
      <alignment horizontal="center" vertical="center"/>
    </xf>
    <xf numFmtId="0" fontId="7" fillId="4" borderId="0" xfId="0" applyFont="1" applyFill="1" applyAlignment="1">
      <alignment wrapText="1" shrinkToFit="1"/>
    </xf>
    <xf numFmtId="0" fontId="8" fillId="4" borderId="3" xfId="0" applyFont="1" applyFill="1" applyBorder="1" applyAlignment="1">
      <alignment horizontal="center" vertical="center"/>
    </xf>
    <xf numFmtId="0" fontId="8" fillId="4" borderId="26" xfId="0" applyFont="1" applyFill="1" applyBorder="1" applyAlignment="1">
      <alignment horizontal="center" wrapText="1"/>
    </xf>
    <xf numFmtId="0" fontId="8" fillId="4" borderId="3" xfId="0" applyFont="1" applyFill="1" applyBorder="1" applyAlignment="1">
      <alignment horizontal="center" vertical="center"/>
    </xf>
    <xf numFmtId="0" fontId="8" fillId="4" borderId="35" xfId="0" applyFont="1" applyFill="1" applyBorder="1" applyAlignment="1">
      <alignment horizontal="center" vertical="center"/>
    </xf>
    <xf numFmtId="0" fontId="11" fillId="7" borderId="0" xfId="0" applyFont="1" applyFill="1" applyAlignment="1">
      <alignment horizontal="right" vertical="center"/>
    </xf>
    <xf numFmtId="0" fontId="11" fillId="7" borderId="36" xfId="0" applyFont="1" applyFill="1" applyBorder="1" applyAlignment="1">
      <alignment horizontal="right" vertical="center" wrapText="1"/>
    </xf>
    <xf numFmtId="0" fontId="5" fillId="7" borderId="8" xfId="0" applyFont="1" applyFill="1" applyBorder="1" applyAlignment="1">
      <alignment horizontal="center" vertical="center"/>
    </xf>
    <xf numFmtId="0" fontId="5" fillId="7" borderId="2" xfId="0" applyFont="1" applyFill="1" applyBorder="1" applyAlignment="1">
      <alignment horizontal="center" vertical="center"/>
    </xf>
    <xf numFmtId="14" fontId="8" fillId="4" borderId="0" xfId="0" applyNumberFormat="1" applyFont="1" applyFill="1" applyAlignment="1">
      <alignment horizontal="right"/>
    </xf>
    <xf numFmtId="49" fontId="5" fillId="3" borderId="0" xfId="0" applyNumberFormat="1" applyFont="1" applyFill="1" applyAlignment="1">
      <alignment horizontal="center"/>
    </xf>
    <xf numFmtId="49" fontId="0" fillId="8" borderId="0" xfId="0" applyNumberFormat="1" applyFill="1" applyAlignment="1">
      <alignment horizontal="center"/>
    </xf>
    <xf numFmtId="0" fontId="5" fillId="7" borderId="8" xfId="0" applyFont="1" applyFill="1" applyBorder="1" applyAlignment="1">
      <alignment vertical="center"/>
    </xf>
    <xf numFmtId="0" fontId="5" fillId="7" borderId="37" xfId="0" applyFont="1" applyFill="1" applyBorder="1" applyAlignment="1">
      <alignment vertical="center"/>
    </xf>
    <xf numFmtId="0" fontId="5" fillId="7" borderId="2" xfId="0" applyFont="1" applyFill="1" applyBorder="1" applyAlignment="1">
      <alignment vertical="center"/>
    </xf>
    <xf numFmtId="0" fontId="0" fillId="8" borderId="38" xfId="0" applyFont="1" applyFill="1" applyBorder="1" applyAlignment="1" applyProtection="1">
      <alignment horizontal="center"/>
      <protection locked="0"/>
    </xf>
    <xf numFmtId="0" fontId="8" fillId="4" borderId="39" xfId="0" applyFont="1" applyFill="1" applyBorder="1" applyAlignment="1">
      <alignment wrapText="1"/>
    </xf>
    <xf numFmtId="0" fontId="11" fillId="7" borderId="39" xfId="0" applyFont="1" applyFill="1" applyBorder="1">
      <alignment/>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5" fillId="3" borderId="38" xfId="0" applyFont="1" applyFill="1" applyBorder="1" applyAlignment="1" applyProtection="1">
      <alignment horizontal="center" wrapText="1"/>
      <protection locked="0"/>
    </xf>
    <xf numFmtId="0" fontId="5" fillId="3" borderId="40" xfId="0" applyFont="1" applyFill="1" applyBorder="1" applyAlignment="1" applyProtection="1">
      <alignment horizontal="center" wrapText="1"/>
      <protection locked="0"/>
    </xf>
    <xf numFmtId="3" fontId="5" fillId="4" borderId="0" xfId="0" applyNumberFormat="1" applyFont="1" applyFill="1" applyAlignment="1">
      <alignment horizontal="center" vertical="center"/>
    </xf>
    <xf numFmtId="0" fontId="0" fillId="8" borderId="0" xfId="0" applyFill="1" applyAlignment="1">
      <alignment vertical="center"/>
    </xf>
    <xf numFmtId="0" fontId="0" fillId="8" borderId="8" xfId="0" applyFill="1" applyBorder="1" applyAlignment="1" applyProtection="1">
      <alignment vertical="center"/>
      <protection locked="0"/>
    </xf>
    <xf numFmtId="0" fontId="0" fillId="4" borderId="0" xfId="0" applyFill="1">
      <alignment/>
    </xf>
    <xf numFmtId="0" fontId="0" fillId="7" borderId="8" xfId="0" applyFill="1" applyBorder="1" applyAlignment="1">
      <alignment vertical="center"/>
    </xf>
    <xf numFmtId="4" fontId="5" fillId="3" borderId="26" xfId="0" applyNumberFormat="1" applyFont="1" applyFill="1" applyBorder="1" applyProtection="1">
      <alignment/>
      <protection locked="0"/>
    </xf>
    <xf numFmtId="4" fontId="5" fillId="3" borderId="5" xfId="0" applyNumberFormat="1" applyFont="1" applyFill="1" applyBorder="1" applyProtection="1">
      <alignment/>
      <protection locked="0"/>
    </xf>
    <xf numFmtId="4" fontId="5" fillId="3" borderId="8" xfId="0" applyNumberFormat="1" applyFont="1" applyFill="1" applyBorder="1" applyProtection="1">
      <alignment/>
      <protection locked="0"/>
    </xf>
    <xf numFmtId="4" fontId="5" fillId="3" borderId="41" xfId="0" applyNumberFormat="1" applyFont="1" applyFill="1" applyBorder="1" applyProtection="1">
      <alignment/>
      <protection locked="0"/>
    </xf>
    <xf numFmtId="4" fontId="6" fillId="3" borderId="8" xfId="0" applyNumberFormat="1" applyFont="1" applyFill="1" applyBorder="1">
      <alignment/>
    </xf>
    <xf numFmtId="4" fontId="6" fillId="3" borderId="41" xfId="0" applyNumberFormat="1" applyFont="1" applyFill="1" applyBorder="1">
      <alignment/>
    </xf>
    <xf numFmtId="4" fontId="5" fillId="3" borderId="2" xfId="0" applyNumberFormat="1" applyFont="1" applyFill="1" applyBorder="1">
      <alignment/>
    </xf>
    <xf numFmtId="4" fontId="5" fillId="3" borderId="42" xfId="0" applyNumberFormat="1" applyFont="1" applyFill="1" applyBorder="1">
      <alignment/>
    </xf>
    <xf numFmtId="4" fontId="5" fillId="10" borderId="43" xfId="0" applyNumberFormat="1" applyFont="1" applyFill="1" applyBorder="1">
      <alignment/>
    </xf>
    <xf numFmtId="4" fontId="5" fillId="10" borderId="31" xfId="0" applyNumberFormat="1" applyFont="1" applyFill="1" applyBorder="1">
      <alignment/>
    </xf>
    <xf numFmtId="4" fontId="5" fillId="3" borderId="35" xfId="0" applyNumberFormat="1" applyFont="1" applyFill="1" applyBorder="1" applyProtection="1">
      <alignment/>
      <protection locked="0"/>
    </xf>
    <xf numFmtId="4" fontId="5" fillId="3" borderId="1" xfId="0" applyNumberFormat="1" applyFont="1" applyFill="1" applyBorder="1" applyProtection="1">
      <alignment/>
      <protection locked="0"/>
    </xf>
    <xf numFmtId="4" fontId="6" fillId="3" borderId="28" xfId="0" applyNumberFormat="1" applyFont="1" applyFill="1" applyBorder="1">
      <alignment/>
    </xf>
    <xf numFmtId="4" fontId="5" fillId="3" borderId="7" xfId="0" applyNumberFormat="1" applyFont="1" applyFill="1" applyBorder="1">
      <alignment/>
    </xf>
    <xf numFmtId="4" fontId="5" fillId="10" borderId="44" xfId="0" applyNumberFormat="1" applyFont="1" applyFill="1" applyBorder="1">
      <alignment/>
    </xf>
    <xf numFmtId="0" fontId="3" fillId="0" borderId="20" xfId="0" applyFont="1" applyBorder="1" applyAlignment="1" applyProtection="1">
      <alignment horizontal="center" vertical="center"/>
      <protection locked="0"/>
    </xf>
    <xf numFmtId="0" fontId="11" fillId="7" borderId="0" xfId="0" applyFont="1" applyFill="1" applyAlignment="1">
      <alignment horizontal="left" vertical="center"/>
    </xf>
    <xf numFmtId="0" fontId="19" fillId="8" borderId="0" xfId="0" applyFont="1" applyFill="1">
      <alignment/>
    </xf>
    <xf numFmtId="0" fontId="19" fillId="0" borderId="0" xfId="0" applyFont="1">
      <alignment/>
    </xf>
    <xf numFmtId="10" fontId="5" fillId="3" borderId="8" xfId="0" applyNumberFormat="1" applyFont="1" applyFill="1" applyBorder="1" applyAlignment="1">
      <alignment horizontal="center" vertical="center"/>
    </xf>
    <xf numFmtId="0" fontId="6" fillId="4" borderId="0" xfId="0" applyFont="1" applyFill="1" applyAlignment="1">
      <alignment horizontal="center" vertical="center"/>
    </xf>
    <xf numFmtId="14" fontId="6" fillId="3" borderId="8" xfId="0" applyNumberFormat="1" applyFont="1" applyFill="1" applyBorder="1" applyAlignment="1" applyProtection="1">
      <alignment horizontal="center" vertical="center"/>
      <protection locked="0"/>
    </xf>
    <xf numFmtId="0" fontId="43" fillId="6" borderId="0" xfId="0" applyFont="1" applyFill="1">
      <alignment/>
    </xf>
    <xf numFmtId="0" fontId="43" fillId="0" borderId="0" xfId="0" applyFont="1">
      <alignment/>
    </xf>
    <xf numFmtId="0" fontId="47" fillId="8" borderId="40" xfId="0" applyFont="1" applyFill="1" applyBorder="1" applyAlignment="1">
      <alignment horizontal="center" vertical="center"/>
    </xf>
    <xf numFmtId="0" fontId="0" fillId="0" borderId="40" xfId="0" applyBorder="1" applyAlignment="1">
      <alignment vertical="center"/>
    </xf>
    <xf numFmtId="0" fontId="47" fillId="8" borderId="8" xfId="0" applyFont="1" applyFill="1" applyBorder="1" applyAlignment="1">
      <alignment horizontal="center" vertical="center"/>
    </xf>
    <xf numFmtId="0" fontId="44" fillId="3" borderId="0" xfId="0" applyFont="1" applyFill="1">
      <alignment/>
    </xf>
    <xf numFmtId="0" fontId="0" fillId="8" borderId="40" xfId="0" applyFill="1" applyBorder="1" applyAlignment="1" applyProtection="1">
      <alignment horizontal="center" vertical="center"/>
      <protection locked="0"/>
    </xf>
    <xf numFmtId="0" fontId="8" fillId="3" borderId="9" xfId="0" applyFont="1" applyFill="1" applyBorder="1" applyAlignment="1">
      <alignment horizontal="center" vertical="center"/>
    </xf>
    <xf numFmtId="0" fontId="0" fillId="0" borderId="0" xfId="0" applyAlignment="1">
      <alignment horizontal="center" vertical="center"/>
    </xf>
    <xf numFmtId="0" fontId="21" fillId="8" borderId="0" xfId="0" applyFont="1" applyFill="1" applyAlignment="1">
      <alignment horizontal="center" vertical="center"/>
    </xf>
    <xf numFmtId="0" fontId="52" fillId="6" borderId="0" xfId="0" applyFont="1" applyFill="1">
      <alignment/>
    </xf>
    <xf numFmtId="0" fontId="3" fillId="8" borderId="0" xfId="0" applyFont="1" applyFill="1" applyAlignment="1">
      <alignment horizontal="center" vertical="center"/>
    </xf>
    <xf numFmtId="0" fontId="53" fillId="8" borderId="0" xfId="0" applyFont="1" applyFill="1" applyAlignment="1">
      <alignment horizontal="center" vertical="center"/>
    </xf>
    <xf numFmtId="0" fontId="0" fillId="8" borderId="0" xfId="0" applyFill="1" applyAlignment="1">
      <alignment horizontal="right" vertical="center"/>
    </xf>
    <xf numFmtId="0" fontId="0" fillId="8" borderId="45" xfId="0" applyFill="1" applyBorder="1" applyAlignment="1" applyProtection="1">
      <alignment vertical="center"/>
      <protection locked="0"/>
    </xf>
    <xf numFmtId="0" fontId="0" fillId="8" borderId="0" xfId="0" applyFill="1" applyAlignment="1" applyProtection="1">
      <alignment vertical="center"/>
      <protection locked="0"/>
    </xf>
    <xf numFmtId="0" fontId="52" fillId="8" borderId="0" xfId="0" applyFont="1" applyFill="1" applyAlignment="1">
      <alignment vertical="center"/>
    </xf>
    <xf numFmtId="0" fontId="52" fillId="8" borderId="0" xfId="0" applyFont="1" applyFill="1" applyAlignment="1">
      <alignment horizontal="right" vertical="center"/>
    </xf>
    <xf numFmtId="0" fontId="0" fillId="8" borderId="46" xfId="0" applyFill="1" applyBorder="1" applyAlignment="1" applyProtection="1">
      <alignment vertical="center"/>
      <protection locked="0"/>
    </xf>
    <xf numFmtId="0" fontId="21" fillId="11" borderId="0" xfId="0" applyFont="1" applyFill="1" applyAlignment="1">
      <alignment vertical="center"/>
    </xf>
    <xf numFmtId="0" fontId="21" fillId="11" borderId="0" xfId="0" applyFont="1" applyFill="1" applyAlignment="1">
      <alignment horizontal="right" vertical="center"/>
    </xf>
    <xf numFmtId="0" fontId="21" fillId="7" borderId="0" xfId="0" applyFont="1" applyFill="1" applyAlignment="1">
      <alignment vertical="center"/>
    </xf>
    <xf numFmtId="0" fontId="21" fillId="7" borderId="0" xfId="0" applyFont="1" applyFill="1" applyAlignment="1">
      <alignment horizontal="right" vertical="center"/>
    </xf>
    <xf numFmtId="0" fontId="21" fillId="8" borderId="0" xfId="0" applyFont="1" applyFill="1" applyAlignment="1">
      <alignment vertical="center"/>
    </xf>
    <xf numFmtId="0" fontId="0" fillId="7" borderId="47" xfId="0" applyFill="1" applyBorder="1" applyAlignment="1" applyProtection="1">
      <alignment vertical="center"/>
      <protection locked="0"/>
    </xf>
    <xf numFmtId="0" fontId="0" fillId="11" borderId="48" xfId="0" applyFill="1" applyBorder="1" applyAlignment="1" applyProtection="1">
      <alignment vertical="center"/>
      <protection locked="0"/>
    </xf>
    <xf numFmtId="49" fontId="0" fillId="7" borderId="47" xfId="0" applyNumberFormat="1" applyFill="1" applyBorder="1" applyAlignment="1" applyProtection="1">
      <alignment horizontal="left" vertical="center"/>
      <protection locked="0"/>
    </xf>
    <xf numFmtId="49" fontId="0" fillId="11" borderId="48" xfId="0" applyNumberFormat="1" applyFill="1" applyBorder="1" applyAlignment="1" applyProtection="1">
      <alignment vertical="center"/>
      <protection locked="0"/>
    </xf>
    <xf numFmtId="0" fontId="0" fillId="12" borderId="47" xfId="0" applyFill="1" applyBorder="1" applyAlignment="1" applyProtection="1">
      <alignment vertical="center"/>
      <protection locked="0"/>
    </xf>
    <xf numFmtId="0" fontId="0" fillId="12" borderId="48" xfId="0" applyFill="1" applyBorder="1" applyAlignment="1" applyProtection="1">
      <alignment vertical="center"/>
      <protection locked="0"/>
    </xf>
    <xf numFmtId="49" fontId="0" fillId="12" borderId="47" xfId="0" applyNumberFormat="1" applyFill="1" applyBorder="1" applyAlignment="1" applyProtection="1">
      <alignment horizontal="left" vertical="center"/>
      <protection locked="0"/>
    </xf>
    <xf numFmtId="3" fontId="0" fillId="12" borderId="48" xfId="0" applyNumberFormat="1" applyFill="1" applyBorder="1" applyAlignment="1" applyProtection="1">
      <alignment horizontal="left" vertical="center"/>
      <protection locked="0"/>
    </xf>
    <xf numFmtId="3" fontId="0" fillId="12" borderId="47" xfId="0" applyNumberFormat="1" applyFill="1" applyBorder="1" applyAlignment="1" applyProtection="1">
      <alignment horizontal="left" vertical="center"/>
      <protection locked="0"/>
    </xf>
    <xf numFmtId="0" fontId="0" fillId="12" borderId="48" xfId="0" applyFill="1" applyBorder="1" applyAlignment="1" applyProtection="1">
      <alignment horizontal="left" vertical="center"/>
      <protection locked="0"/>
    </xf>
    <xf numFmtId="49" fontId="0" fillId="12" borderId="48" xfId="0" applyNumberFormat="1" applyFill="1" applyBorder="1" applyAlignment="1" applyProtection="1">
      <alignment horizontal="left" vertical="center"/>
      <protection locked="0"/>
    </xf>
    <xf numFmtId="0" fontId="0" fillId="12" borderId="49" xfId="0" applyFill="1" applyBorder="1" applyAlignment="1" applyProtection="1">
      <alignment vertical="center"/>
      <protection locked="0"/>
    </xf>
    <xf numFmtId="0" fontId="0" fillId="12" borderId="50" xfId="0" applyFill="1" applyBorder="1" applyAlignment="1" applyProtection="1">
      <alignment vertical="center"/>
      <protection locked="0"/>
    </xf>
    <xf numFmtId="0" fontId="21" fillId="12" borderId="0" xfId="0" applyFont="1" applyFill="1" applyAlignment="1">
      <alignment vertical="center"/>
    </xf>
    <xf numFmtId="0" fontId="21"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7" xfId="0" applyFont="1" applyBorder="1" applyAlignment="1">
      <alignment horizontal="center" vertical="center"/>
    </xf>
    <xf numFmtId="0" fontId="26" fillId="7" borderId="35"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35" xfId="0" applyFont="1" applyFill="1" applyBorder="1" applyAlignment="1">
      <alignment horizontal="center" vertical="center"/>
    </xf>
    <xf numFmtId="1"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1" fontId="0" fillId="8" borderId="8" xfId="0" applyNumberFormat="1" applyFill="1" applyBorder="1" applyAlignment="1" applyProtection="1">
      <alignment horizontal="center" vertical="center"/>
      <protection locked="0"/>
    </xf>
    <xf numFmtId="0" fontId="8" fillId="3" borderId="10" xfId="0" applyFont="1" applyFill="1" applyBorder="1" applyAlignment="1">
      <alignment horizontal="center" vertical="center"/>
    </xf>
    <xf numFmtId="3" fontId="5" fillId="3" borderId="2"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26" fillId="8" borderId="27" xfId="0" applyFont="1" applyFill="1" applyBorder="1" applyAlignment="1">
      <alignment horizontal="center" vertical="center"/>
    </xf>
    <xf numFmtId="0" fontId="26" fillId="8" borderId="26" xfId="0" applyFont="1" applyFill="1" applyBorder="1" applyAlignment="1">
      <alignment horizontal="center" vertical="center"/>
    </xf>
    <xf numFmtId="0" fontId="26" fillId="8" borderId="35" xfId="0" applyFont="1" applyFill="1" applyBorder="1" applyAlignment="1">
      <alignment horizontal="center" vertical="center"/>
    </xf>
    <xf numFmtId="0" fontId="26" fillId="8" borderId="51" xfId="0" applyFont="1" applyFill="1" applyBorder="1" applyAlignment="1">
      <alignment horizontal="center" vertical="center"/>
    </xf>
    <xf numFmtId="0" fontId="26" fillId="8" borderId="37" xfId="0" applyFont="1" applyFill="1" applyBorder="1" applyAlignment="1">
      <alignment horizontal="center" vertical="center"/>
    </xf>
    <xf numFmtId="0" fontId="26" fillId="8" borderId="28" xfId="0" applyFont="1" applyFill="1" applyBorder="1" applyAlignment="1">
      <alignment horizontal="center" vertical="center"/>
    </xf>
    <xf numFmtId="0" fontId="0" fillId="8" borderId="27" xfId="0" applyFill="1" applyBorder="1" applyAlignment="1" applyProtection="1">
      <alignment horizontal="center" vertical="center"/>
      <protection locked="0"/>
    </xf>
    <xf numFmtId="0" fontId="0" fillId="8" borderId="26" xfId="0" applyFill="1" applyBorder="1" applyAlignment="1" applyProtection="1">
      <alignment vertical="center"/>
      <protection locked="0"/>
    </xf>
    <xf numFmtId="3" fontId="0" fillId="8" borderId="26" xfId="0" applyNumberFormat="1" applyFill="1" applyBorder="1" applyAlignment="1" applyProtection="1">
      <alignment horizontal="center" vertical="center"/>
      <protection locked="0"/>
    </xf>
    <xf numFmtId="3" fontId="0" fillId="8" borderId="35" xfId="0" applyNumberFormat="1"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7" xfId="0" applyNumberFormat="1" applyFill="1" applyBorder="1" applyAlignment="1" applyProtection="1">
      <alignment horizontal="center" vertical="center"/>
      <protection locked="0"/>
    </xf>
    <xf numFmtId="0" fontId="8" fillId="3" borderId="3" xfId="0" applyFont="1" applyFill="1" applyBorder="1" applyAlignment="1">
      <alignment horizontal="left" vertical="top"/>
    </xf>
    <xf numFmtId="0" fontId="11" fillId="8" borderId="32" xfId="0" applyFont="1" applyFill="1" applyBorder="1" applyAlignment="1">
      <alignment horizontal="left" vertical="top" wrapText="1"/>
    </xf>
    <xf numFmtId="0" fontId="11" fillId="8" borderId="21" xfId="0" applyFont="1" applyFill="1" applyBorder="1" applyAlignment="1">
      <alignment horizontal="left" vertical="top" wrapText="1"/>
    </xf>
    <xf numFmtId="0" fontId="8" fillId="3" borderId="4" xfId="0" applyFont="1" applyFill="1" applyBorder="1" applyAlignment="1">
      <alignment horizontal="left" vertical="top"/>
    </xf>
    <xf numFmtId="0" fontId="8" fillId="3" borderId="23" xfId="0" applyFont="1" applyFill="1" applyBorder="1" applyAlignment="1">
      <alignment horizontal="left" vertical="top" wrapText="1"/>
    </xf>
    <xf numFmtId="0" fontId="8" fillId="3" borderId="32"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23" xfId="0" applyFont="1" applyFill="1" applyBorder="1" applyAlignment="1">
      <alignment horizontal="left" vertical="top"/>
    </xf>
    <xf numFmtId="0" fontId="8" fillId="3" borderId="15" xfId="0" applyFont="1" applyFill="1" applyBorder="1" applyAlignment="1">
      <alignment horizontal="left" vertical="top"/>
    </xf>
    <xf numFmtId="0" fontId="8" fillId="3" borderId="38" xfId="0" applyFont="1" applyFill="1" applyBorder="1" applyAlignment="1">
      <alignment horizontal="left" vertical="top" wrapText="1"/>
    </xf>
    <xf numFmtId="0" fontId="8" fillId="3" borderId="38" xfId="0" applyFont="1" applyFill="1" applyBorder="1" applyAlignment="1">
      <alignment vertical="top" wrapText="1"/>
    </xf>
    <xf numFmtId="0" fontId="5" fillId="8" borderId="53" xfId="0" applyFont="1" applyFill="1" applyBorder="1" applyAlignment="1" applyProtection="1">
      <alignment horizontal="center" wrapText="1"/>
      <protection locked="0"/>
    </xf>
    <xf numFmtId="0" fontId="8" fillId="3" borderId="38" xfId="0" applyFont="1" applyFill="1" applyBorder="1" applyAlignment="1">
      <alignment horizontal="left" vertical="top"/>
    </xf>
    <xf numFmtId="0" fontId="5" fillId="3" borderId="17" xfId="0" applyFont="1" applyFill="1" applyBorder="1" applyAlignment="1" applyProtection="1">
      <alignment horizontal="center"/>
      <protection locked="0"/>
    </xf>
    <xf numFmtId="3" fontId="5" fillId="3" borderId="54" xfId="0" applyNumberFormat="1" applyFont="1" applyFill="1" applyBorder="1" applyAlignment="1" applyProtection="1">
      <alignment horizontal="center" wrapText="1"/>
      <protection locked="0"/>
    </xf>
    <xf numFmtId="0" fontId="8" fillId="4" borderId="5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0" fillId="0" borderId="40" xfId="0" applyBorder="1" applyAlignment="1" applyProtection="1">
      <alignment horizontal="center" vertical="center"/>
      <protection locked="0"/>
    </xf>
    <xf numFmtId="0" fontId="47" fillId="8" borderId="0" xfId="0" applyFont="1" applyFill="1" applyAlignment="1">
      <alignment horizontal="center" vertical="center"/>
    </xf>
    <xf numFmtId="0" fontId="55" fillId="3" borderId="0" xfId="0" applyFont="1" applyFill="1" applyAlignment="1">
      <alignment vertical="center"/>
    </xf>
    <xf numFmtId="0" fontId="0" fillId="8" borderId="0" xfId="0" applyFill="1" applyAlignment="1">
      <alignment horizontal="right"/>
    </xf>
    <xf numFmtId="10" fontId="5" fillId="3" borderId="8" xfId="0" applyNumberFormat="1" applyFont="1" applyFill="1" applyBorder="1" applyAlignment="1" applyProtection="1">
      <alignment horizontal="center" vertical="center"/>
      <protection locked="0"/>
    </xf>
    <xf numFmtId="0" fontId="55" fillId="3" borderId="0" xfId="0" applyFont="1" applyFill="1" applyAlignment="1" applyProtection="1">
      <alignment horizontal="left" vertical="center"/>
      <protection locked="0"/>
    </xf>
    <xf numFmtId="0" fontId="0" fillId="3" borderId="0" xfId="0" applyFill="1" applyProtection="1">
      <alignment/>
      <protection locked="0"/>
    </xf>
    <xf numFmtId="4" fontId="5" fillId="3" borderId="8" xfId="0" applyNumberFormat="1" applyFont="1" applyFill="1" applyBorder="1" applyAlignment="1">
      <alignment horizontal="center" vertical="center"/>
    </xf>
    <xf numFmtId="4" fontId="5" fillId="3" borderId="37" xfId="0" applyNumberFormat="1" applyFont="1" applyFill="1" applyBorder="1" applyAlignment="1">
      <alignment horizontal="center" vertical="center"/>
    </xf>
    <xf numFmtId="4" fontId="5" fillId="3" borderId="16" xfId="0" applyNumberFormat="1" applyFont="1" applyFill="1" applyBorder="1" applyAlignment="1">
      <alignment horizontal="center" vertical="center"/>
    </xf>
    <xf numFmtId="4" fontId="5" fillId="3" borderId="16" xfId="0" applyNumberFormat="1" applyFont="1" applyFill="1" applyBorder="1" applyAlignment="1" applyProtection="1">
      <alignment horizontal="center" vertical="center"/>
      <protection locked="0"/>
    </xf>
    <xf numFmtId="0" fontId="58" fillId="12" borderId="48" xfId="11" applyFill="1" applyBorder="1" applyAlignment="1" applyProtection="1">
      <alignment vertical="center"/>
      <protection locked="0"/>
    </xf>
    <xf numFmtId="0" fontId="59" fillId="0" borderId="0" xfId="0" applyFont="1">
      <alignment/>
    </xf>
    <xf numFmtId="49" fontId="0" fillId="0" borderId="0" xfId="0" applyNumberFormat="1">
      <alignment/>
    </xf>
    <xf numFmtId="0" fontId="60" fillId="0" borderId="0" xfId="0" applyFont="1">
      <alignment/>
    </xf>
    <xf numFmtId="0" fontId="59" fillId="0" borderId="0" xfId="0" applyFont="1">
      <alignment/>
    </xf>
    <xf numFmtId="0" fontId="60" fillId="0" borderId="0" xfId="0" applyFont="1">
      <alignment/>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5" xfId="12" applyBorder="1" applyAlignment="1">
      <alignment horizontal="center" vertical="center"/>
      <protection/>
    </xf>
    <xf numFmtId="0" fontId="5" fillId="0" borderId="19" xfId="12" applyBorder="1" applyAlignment="1">
      <alignment horizontal="center" vertical="center"/>
      <protection/>
    </xf>
    <xf numFmtId="0" fontId="5" fillId="0" borderId="55" xfId="12" applyBorder="1" applyAlignment="1">
      <alignment horizontal="center" vertical="center"/>
      <protection/>
    </xf>
    <xf numFmtId="0" fontId="5" fillId="0" borderId="16" xfId="12" applyBorder="1" applyAlignment="1">
      <alignment horizontal="center" vertical="center"/>
      <protection/>
    </xf>
    <xf numFmtId="0" fontId="5" fillId="0" borderId="38" xfId="12" applyBorder="1" applyAlignment="1">
      <alignment horizontal="center" vertical="center"/>
      <protection/>
    </xf>
    <xf numFmtId="0" fontId="5" fillId="0" borderId="20" xfId="12" applyBorder="1">
      <alignment/>
      <protection/>
    </xf>
    <xf numFmtId="0" fontId="0" fillId="0" borderId="40" xfId="0" applyBorder="1">
      <alignment/>
    </xf>
    <xf numFmtId="0" fontId="0" fillId="0" borderId="15" xfId="0" applyFont="1" applyBorder="1">
      <alignment/>
    </xf>
    <xf numFmtId="0" fontId="3" fillId="0" borderId="38" xfId="0" applyFont="1" applyBorder="1" applyAlignment="1">
      <alignment horizontal="center" vertical="center" wrapText="1"/>
    </xf>
    <xf numFmtId="0" fontId="3" fillId="0" borderId="55" xfId="0" applyFont="1" applyBorder="1" applyAlignment="1">
      <alignment horizontal="center" vertical="center" wrapText="1"/>
    </xf>
    <xf numFmtId="0" fontId="0" fillId="0" borderId="19" xfId="0" applyBorder="1">
      <alignment/>
    </xf>
    <xf numFmtId="0" fontId="5" fillId="0" borderId="29" xfId="12" applyBorder="1">
      <alignment/>
      <protection/>
    </xf>
    <xf numFmtId="0" fontId="5" fillId="0" borderId="56" xfId="12" applyBorder="1" applyAlignment="1">
      <alignment horizontal="center" vertical="center"/>
      <protection/>
    </xf>
    <xf numFmtId="0" fontId="5" fillId="0" borderId="29" xfId="12" applyBorder="1" applyAlignment="1">
      <alignment horizontal="center" vertical="center"/>
      <protection/>
    </xf>
    <xf numFmtId="0" fontId="61" fillId="3" borderId="57" xfId="12" applyFont="1" applyFill="1" applyBorder="1" applyAlignment="1">
      <alignment vertical="center" wrapText="1"/>
      <protection/>
    </xf>
    <xf numFmtId="0" fontId="61" fillId="3" borderId="56" xfId="12" applyFont="1" applyFill="1" applyBorder="1" applyAlignment="1">
      <alignment horizontal="center" vertical="center" wrapText="1"/>
      <protection/>
    </xf>
    <xf numFmtId="0" fontId="5" fillId="0" borderId="57" xfId="12" applyBorder="1">
      <alignment/>
      <protection/>
    </xf>
    <xf numFmtId="0" fontId="5" fillId="0" borderId="58" xfId="12" applyBorder="1">
      <alignment/>
      <protection/>
    </xf>
    <xf numFmtId="1" fontId="5" fillId="0" borderId="59" xfId="13" applyNumberFormat="1" applyBorder="1" applyAlignment="1">
      <alignment horizontal="left"/>
      <protection/>
    </xf>
    <xf numFmtId="49" fontId="5" fillId="0" borderId="0" xfId="13" applyNumberFormat="1" applyAlignment="1">
      <alignment horizontal="center"/>
      <protection/>
    </xf>
    <xf numFmtId="0" fontId="0" fillId="0" borderId="18" xfId="0" applyBorder="1">
      <alignment/>
    </xf>
    <xf numFmtId="49" fontId="0" fillId="0" borderId="8" xfId="0" applyNumberFormat="1" applyBorder="1">
      <alignment/>
    </xf>
    <xf numFmtId="0" fontId="0" fillId="0" borderId="59" xfId="0" applyBorder="1">
      <alignment/>
    </xf>
    <xf numFmtId="0" fontId="5" fillId="0" borderId="9" xfId="12" applyBorder="1">
      <alignment/>
      <protection/>
    </xf>
    <xf numFmtId="0" fontId="5" fillId="0" borderId="25" xfId="12" applyBorder="1" applyAlignment="1">
      <alignment horizontal="center" vertical="center"/>
      <protection/>
    </xf>
    <xf numFmtId="0" fontId="61" fillId="3" borderId="8" xfId="12" applyFont="1" applyFill="1" applyBorder="1" applyAlignment="1">
      <alignment vertical="center" wrapText="1"/>
      <protection/>
    </xf>
    <xf numFmtId="0" fontId="61" fillId="3" borderId="25" xfId="12" applyFont="1" applyFill="1" applyBorder="1" applyAlignment="1">
      <alignment horizontal="center" vertical="center" wrapText="1"/>
      <protection/>
    </xf>
    <xf numFmtId="0" fontId="5" fillId="0" borderId="8" xfId="12" applyBorder="1">
      <alignment/>
      <protection/>
    </xf>
    <xf numFmtId="0" fontId="5" fillId="0" borderId="1" xfId="12" applyBorder="1">
      <alignment/>
      <protection/>
    </xf>
    <xf numFmtId="0" fontId="5" fillId="0" borderId="60" xfId="13" applyBorder="1" applyAlignment="1">
      <alignment horizontal="left"/>
      <protection/>
    </xf>
    <xf numFmtId="1" fontId="5" fillId="0" borderId="60" xfId="13" applyNumberFormat="1" applyBorder="1" applyAlignment="1">
      <alignment horizontal="left"/>
      <protection/>
    </xf>
    <xf numFmtId="0" fontId="5" fillId="0" borderId="10" xfId="12" applyBorder="1">
      <alignment/>
      <protection/>
    </xf>
    <xf numFmtId="0" fontId="5" fillId="0" borderId="52" xfId="12" applyBorder="1" applyAlignment="1">
      <alignment horizontal="center" vertical="center"/>
      <protection/>
    </xf>
    <xf numFmtId="1" fontId="5" fillId="0" borderId="60" xfId="13" applyNumberFormat="1" applyBorder="1" applyAlignment="1">
      <alignment horizontal="left" vertical="top" wrapText="1"/>
      <protection/>
    </xf>
    <xf numFmtId="49" fontId="5" fillId="0" borderId="0" xfId="13" applyNumberFormat="1" applyAlignment="1">
      <alignment horizontal="center" vertical="top"/>
      <protection/>
    </xf>
    <xf numFmtId="1" fontId="63" fillId="0" borderId="60" xfId="0" applyNumberFormat="1" applyFont="1" applyBorder="1" applyAlignment="1">
      <alignment horizontal="left"/>
    </xf>
    <xf numFmtId="49" fontId="63" fillId="0" borderId="0" xfId="0" applyNumberFormat="1" applyFont="1" applyAlignment="1">
      <alignment horizontal="center"/>
    </xf>
    <xf numFmtId="0" fontId="61" fillId="3" borderId="2" xfId="12" applyFont="1" applyFill="1" applyBorder="1" applyAlignment="1">
      <alignment vertical="center" wrapText="1"/>
      <protection/>
    </xf>
    <xf numFmtId="0" fontId="61" fillId="3" borderId="52" xfId="12" applyFont="1" applyFill="1" applyBorder="1" applyAlignment="1">
      <alignment horizontal="center" vertical="center" wrapText="1"/>
      <protection/>
    </xf>
    <xf numFmtId="0" fontId="5" fillId="0" borderId="2" xfId="12" applyBorder="1">
      <alignment/>
      <protection/>
    </xf>
    <xf numFmtId="0" fontId="5" fillId="0" borderId="7" xfId="12" applyBorder="1">
      <alignment/>
      <protection/>
    </xf>
    <xf numFmtId="1" fontId="5" fillId="0" borderId="61" xfId="13" applyNumberFormat="1" applyBorder="1" applyAlignment="1">
      <alignment horizontal="left"/>
      <protection/>
    </xf>
    <xf numFmtId="49" fontId="0" fillId="0" borderId="2" xfId="0" applyNumberFormat="1" applyBorder="1">
      <alignment/>
    </xf>
    <xf numFmtId="0" fontId="0" fillId="0" borderId="61" xfId="0" applyBorder="1">
      <alignment/>
    </xf>
    <xf numFmtId="0" fontId="3" fillId="0" borderId="0" xfId="0" applyFont="1">
      <alignment/>
    </xf>
    <xf numFmtId="49" fontId="0" fillId="0" borderId="0" xfId="0" applyNumberFormat="1" applyFont="1">
      <alignment/>
    </xf>
    <xf numFmtId="0" fontId="0" fillId="13" borderId="0" xfId="0" applyFill="1">
      <alignment/>
    </xf>
    <xf numFmtId="3" fontId="0" fillId="0" borderId="0" xfId="0" applyNumberFormat="1">
      <alignment/>
    </xf>
    <xf numFmtId="4" fontId="0" fillId="0" borderId="0" xfId="0" applyNumberFormat="1">
      <alignment/>
    </xf>
    <xf numFmtId="0" fontId="64" fillId="0" borderId="0" xfId="0" applyFont="1">
      <alignment/>
    </xf>
    <xf numFmtId="0" fontId="0" fillId="13" borderId="0" xfId="0" applyFont="1" applyFill="1">
      <alignment/>
    </xf>
    <xf numFmtId="1" fontId="0" fillId="0" borderId="0" xfId="0" applyNumberFormat="1">
      <alignment/>
    </xf>
    <xf numFmtId="0" fontId="65" fillId="0" borderId="0" xfId="0" applyFont="1">
      <alignment/>
    </xf>
    <xf numFmtId="0" fontId="0" fillId="14" borderId="0" xfId="0" applyFill="1" applyAlignment="1">
      <alignment horizontal="right" vertical="center"/>
    </xf>
    <xf numFmtId="0" fontId="5" fillId="15" borderId="0" xfId="12" applyFill="1">
      <alignment/>
      <protection/>
    </xf>
    <xf numFmtId="0" fontId="4" fillId="3" borderId="0" xfId="0" applyFont="1" applyFill="1" applyAlignment="1">
      <alignment horizontal="right" vertical="center"/>
    </xf>
    <xf numFmtId="0" fontId="0" fillId="0" borderId="2" xfId="0" applyBorder="1" applyAlignment="1">
      <alignment horizontal="center" vertical="center"/>
    </xf>
    <xf numFmtId="0" fontId="11" fillId="7" borderId="57" xfId="0" applyFont="1" applyFill="1" applyBorder="1" applyAlignment="1">
      <alignment horizontal="center" vertical="center" wrapText="1"/>
    </xf>
    <xf numFmtId="0" fontId="11" fillId="7" borderId="58" xfId="0" applyFont="1" applyFill="1" applyBorder="1" applyAlignment="1">
      <alignment horizontal="center" vertical="center" wrapText="1"/>
    </xf>
    <xf numFmtId="49" fontId="64" fillId="0" borderId="0" xfId="0" applyNumberFormat="1" applyFont="1">
      <alignment/>
    </xf>
    <xf numFmtId="0" fontId="0" fillId="16" borderId="0" xfId="0" applyFill="1">
      <alignment/>
    </xf>
    <xf numFmtId="0" fontId="5" fillId="17" borderId="0" xfId="12" applyFill="1">
      <alignment/>
      <protection/>
    </xf>
    <xf numFmtId="0" fontId="67" fillId="17" borderId="0" xfId="12" applyFont="1" applyFill="1" applyAlignment="1">
      <alignment vertical="top"/>
      <protection/>
    </xf>
    <xf numFmtId="0" fontId="68" fillId="17" borderId="0" xfId="12" applyFont="1" applyFill="1" applyAlignment="1">
      <alignment wrapText="1"/>
      <protection/>
    </xf>
    <xf numFmtId="0" fontId="67" fillId="17" borderId="0" xfId="12" applyFont="1" applyFill="1" applyAlignment="1">
      <alignment wrapText="1"/>
      <protection/>
    </xf>
    <xf numFmtId="0" fontId="67" fillId="17" borderId="0" xfId="12" applyFont="1" applyFill="1">
      <alignment/>
      <protection/>
    </xf>
    <xf numFmtId="0" fontId="69" fillId="17" borderId="0" xfId="10" applyFont="1" applyFill="1" applyAlignment="1" applyProtection="1">
      <alignment wrapText="1"/>
      <protection/>
    </xf>
    <xf numFmtId="0" fontId="67" fillId="17" borderId="0" xfId="13" applyFont="1" applyFill="1" applyAlignment="1">
      <alignment wrapText="1"/>
      <protection/>
    </xf>
    <xf numFmtId="0" fontId="18" fillId="17" borderId="0" xfId="12" applyFont="1" applyFill="1" applyAlignment="1">
      <alignment horizontal="right" wrapText="1"/>
      <protection/>
    </xf>
    <xf numFmtId="0" fontId="67" fillId="17" borderId="0" xfId="12" applyFont="1" applyFill="1" applyAlignment="1">
      <alignment horizontal="right" wrapText="1"/>
      <protection/>
    </xf>
    <xf numFmtId="0" fontId="0" fillId="0" borderId="62" xfId="0" applyBorder="1">
      <alignment/>
    </xf>
    <xf numFmtId="0" fontId="0" fillId="0" borderId="0" xfId="0" applyFont="1" quotePrefix="1">
      <alignment/>
    </xf>
    <xf numFmtId="0" fontId="26" fillId="8" borderId="54" xfId="0"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9" fontId="0" fillId="7" borderId="2" xfId="0" applyNumberFormat="1" applyFill="1" applyBorder="1" applyAlignment="1">
      <alignment horizontal="center" vertical="center"/>
    </xf>
    <xf numFmtId="9" fontId="0" fillId="0" borderId="26" xfId="0" applyNumberFormat="1" applyBorder="1" applyAlignment="1" applyProtection="1">
      <alignment horizontal="center" vertical="center"/>
      <protection locked="0"/>
    </xf>
    <xf numFmtId="9" fontId="0" fillId="0" borderId="53" xfId="0" applyNumberFormat="1" applyBorder="1" applyAlignment="1" applyProtection="1">
      <alignment horizontal="center" vertical="center"/>
      <protection locked="0"/>
    </xf>
    <xf numFmtId="0" fontId="62" fillId="18" borderId="0" xfId="16" applyFont="1" applyFill="1">
      <alignment/>
      <protection/>
    </xf>
    <xf numFmtId="0" fontId="62" fillId="18" borderId="0" xfId="16" applyFont="1" applyFill="1" applyAlignment="1">
      <alignment wrapText="1"/>
      <protection/>
    </xf>
    <xf numFmtId="0" fontId="62" fillId="15" borderId="27" xfId="16" applyFont="1" applyFill="1" applyBorder="1" applyAlignment="1">
      <alignment horizontal="center" vertical="center"/>
      <protection/>
    </xf>
    <xf numFmtId="0" fontId="62" fillId="15" borderId="26" xfId="16" applyFont="1" applyFill="1" applyBorder="1" applyAlignment="1">
      <alignment horizontal="center" vertical="center"/>
      <protection/>
    </xf>
    <xf numFmtId="0" fontId="62" fillId="15" borderId="35" xfId="16" applyFont="1" applyFill="1" applyBorder="1" applyAlignment="1">
      <alignment horizontal="center" vertical="center" wrapText="1"/>
      <protection/>
    </xf>
    <xf numFmtId="0" fontId="62" fillId="18" borderId="0" xfId="16" applyFont="1" applyFill="1" applyAlignment="1">
      <alignment horizontal="center" vertical="center"/>
      <protection/>
    </xf>
    <xf numFmtId="0" fontId="73" fillId="15" borderId="8" xfId="16" applyFont="1" applyFill="1" applyBorder="1" applyAlignment="1" applyProtection="1">
      <alignment horizontal="left" vertical="center" indent="1"/>
      <protection locked="0"/>
    </xf>
    <xf numFmtId="49" fontId="73" fillId="15" borderId="1" xfId="16" applyNumberFormat="1" applyFont="1" applyFill="1" applyBorder="1" applyAlignment="1" applyProtection="1">
      <alignment horizontal="center" vertical="center"/>
      <protection locked="0"/>
    </xf>
    <xf numFmtId="49" fontId="73" fillId="15" borderId="8" xfId="16" applyNumberFormat="1" applyFont="1" applyFill="1" applyBorder="1" applyAlignment="1" applyProtection="1">
      <alignment horizontal="left" vertical="center" indent="1"/>
      <protection locked="0"/>
    </xf>
    <xf numFmtId="49" fontId="73" fillId="15" borderId="8" xfId="16" applyNumberFormat="1" applyFont="1" applyFill="1" applyBorder="1" applyAlignment="1" applyProtection="1">
      <alignment horizontal="center" vertical="center"/>
      <protection locked="0"/>
    </xf>
    <xf numFmtId="49" fontId="73" fillId="15" borderId="2" xfId="16" applyNumberFormat="1" applyFont="1" applyFill="1" applyBorder="1" applyAlignment="1" applyProtection="1">
      <alignment horizontal="left" vertical="center" indent="1"/>
      <protection locked="0"/>
    </xf>
    <xf numFmtId="49" fontId="73" fillId="15" borderId="2" xfId="16" applyNumberFormat="1" applyFont="1" applyFill="1" applyBorder="1" applyAlignment="1" applyProtection="1">
      <alignment horizontal="center" vertical="center"/>
      <protection locked="0"/>
    </xf>
    <xf numFmtId="49" fontId="73" fillId="15" borderId="7" xfId="16" applyNumberFormat="1" applyFont="1" applyFill="1" applyBorder="1" applyAlignment="1" applyProtection="1">
      <alignment horizontal="center" vertical="center"/>
      <protection locked="0"/>
    </xf>
    <xf numFmtId="0" fontId="62" fillId="15" borderId="0" xfId="16" applyFont="1" applyFill="1" applyAlignment="1">
      <alignment horizontal="right" vertical="center"/>
      <protection/>
    </xf>
    <xf numFmtId="14" fontId="73" fillId="15" borderId="0" xfId="16" applyNumberFormat="1" applyFont="1" applyFill="1" applyAlignment="1">
      <alignment horizontal="center" vertical="center"/>
      <protection/>
    </xf>
    <xf numFmtId="0" fontId="3" fillId="18" borderId="0" xfId="16" applyFont="1" applyFill="1">
      <alignment/>
      <protection/>
    </xf>
    <xf numFmtId="0" fontId="2" fillId="18" borderId="0" xfId="16" applyFill="1" applyAlignment="1">
      <alignment wrapText="1"/>
      <protection/>
    </xf>
    <xf numFmtId="0" fontId="2" fillId="18" borderId="0" xfId="16" applyFill="1">
      <alignment/>
      <protection/>
    </xf>
    <xf numFmtId="0" fontId="71" fillId="18" borderId="0" xfId="16" applyFont="1" applyFill="1" applyAlignment="1">
      <alignment vertical="center"/>
      <protection/>
    </xf>
    <xf numFmtId="0" fontId="62" fillId="15" borderId="0" xfId="16" applyFont="1" applyFill="1" applyAlignment="1">
      <alignment vertical="center"/>
      <protection/>
    </xf>
    <xf numFmtId="0" fontId="73" fillId="15" borderId="63" xfId="16" applyFont="1" applyFill="1" applyBorder="1" applyAlignment="1" applyProtection="1">
      <alignment horizontal="center" vertical="center"/>
      <protection locked="0"/>
    </xf>
    <xf numFmtId="49" fontId="74" fillId="15" borderId="62" xfId="16" applyNumberFormat="1" applyFont="1" applyFill="1" applyBorder="1" applyAlignment="1">
      <alignment horizontal="center" vertical="center"/>
      <protection/>
    </xf>
    <xf numFmtId="49" fontId="74" fillId="15" borderId="0" xfId="16" applyNumberFormat="1" applyFont="1" applyFill="1" applyAlignment="1">
      <alignment vertical="center"/>
      <protection/>
    </xf>
    <xf numFmtId="0" fontId="73" fillId="15" borderId="63" xfId="16" applyFont="1" applyFill="1" applyBorder="1" applyAlignment="1" applyProtection="1">
      <alignment horizontal="left" vertical="center" indent="1"/>
      <protection locked="0"/>
    </xf>
    <xf numFmtId="49" fontId="73" fillId="15" borderId="0" xfId="16" applyNumberFormat="1" applyFont="1" applyFill="1" applyAlignment="1">
      <alignment vertical="center"/>
      <protection/>
    </xf>
    <xf numFmtId="14" fontId="73" fillId="15" borderId="63" xfId="16" applyNumberFormat="1" applyFont="1" applyFill="1" applyBorder="1" applyAlignment="1" applyProtection="1">
      <alignment horizontal="center" vertical="center"/>
      <protection locked="0"/>
    </xf>
    <xf numFmtId="0" fontId="2" fillId="15"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4" borderId="0" xfId="0" applyFont="1" applyFill="1" applyAlignment="1">
      <alignment horizontal="right" vertical="center"/>
    </xf>
    <xf numFmtId="0" fontId="0" fillId="15" borderId="0" xfId="0" applyFill="1" applyAlignment="1">
      <alignment vertical="center"/>
    </xf>
    <xf numFmtId="0" fontId="62" fillId="15" borderId="0" xfId="16" applyFont="1" applyFill="1" applyAlignment="1">
      <alignment horizontal="left" vertical="center"/>
      <protection/>
    </xf>
    <xf numFmtId="0" fontId="62" fillId="15" borderId="26" xfId="16" applyFont="1" applyFill="1" applyBorder="1" applyAlignment="1">
      <alignment horizontal="center" vertical="center" wrapText="1"/>
      <protection/>
    </xf>
    <xf numFmtId="0" fontId="62" fillId="15" borderId="0" xfId="16" applyFont="1" applyFill="1" applyAlignment="1">
      <alignment horizontal="center" vertical="center" wrapText="1"/>
      <protection/>
    </xf>
    <xf numFmtId="0" fontId="73" fillId="15" borderId="33" xfId="16" applyFont="1" applyFill="1" applyBorder="1" applyAlignment="1">
      <alignment horizontal="center" vertical="center"/>
      <protection/>
    </xf>
    <xf numFmtId="0" fontId="74" fillId="15" borderId="0" xfId="16" applyFont="1" applyFill="1" applyAlignment="1" applyProtection="1">
      <alignment horizontal="center" vertical="center" wrapText="1"/>
      <protection locked="0"/>
    </xf>
    <xf numFmtId="0" fontId="73" fillId="15" borderId="64" xfId="16" applyFont="1" applyFill="1" applyBorder="1" applyAlignment="1" applyProtection="1">
      <alignment horizontal="left" vertical="center" indent="1"/>
      <protection locked="0"/>
    </xf>
    <xf numFmtId="49" fontId="73" fillId="15" borderId="64" xfId="16" applyNumberFormat="1" applyFont="1" applyFill="1" applyBorder="1" applyAlignment="1" applyProtection="1">
      <alignment horizontal="left" vertical="center" indent="1"/>
      <protection locked="0"/>
    </xf>
    <xf numFmtId="49" fontId="73" fillId="15" borderId="54" xfId="16" applyNumberFormat="1" applyFont="1" applyFill="1" applyBorder="1" applyAlignment="1" applyProtection="1">
      <alignment horizontal="left" vertical="center" indent="1"/>
      <protection locked="0"/>
    </xf>
    <xf numFmtId="0" fontId="73" fillId="15" borderId="8" xfId="16" applyFont="1" applyFill="1" applyBorder="1" applyAlignment="1" applyProtection="1">
      <alignment horizontal="center" vertical="center"/>
      <protection locked="0"/>
    </xf>
    <xf numFmtId="0" fontId="80" fillId="15" borderId="1" xfId="0" applyFont="1" applyFill="1" applyBorder="1" applyAlignment="1" applyProtection="1">
      <alignment horizontal="center" vertical="center"/>
      <protection locked="0"/>
    </xf>
    <xf numFmtId="0" fontId="79" fillId="15" borderId="8" xfId="16" applyFont="1" applyFill="1" applyBorder="1" applyAlignment="1">
      <alignment horizontal="center" vertical="center"/>
      <protection/>
    </xf>
    <xf numFmtId="0" fontId="26" fillId="15" borderId="31" xfId="0" applyFont="1" applyFill="1" applyBorder="1" applyAlignment="1">
      <alignment vertical="center"/>
    </xf>
    <xf numFmtId="0" fontId="74" fillId="15" borderId="0" xfId="16" applyFont="1" applyFill="1" applyAlignment="1">
      <alignment horizontal="center" vertical="center" wrapText="1"/>
      <protection/>
    </xf>
    <xf numFmtId="0" fontId="62" fillId="15" borderId="9" xfId="16" applyFont="1" applyFill="1" applyBorder="1" applyAlignment="1">
      <alignment horizontal="left" vertical="center" indent="1"/>
      <protection/>
    </xf>
    <xf numFmtId="49" fontId="62" fillId="15" borderId="9" xfId="16" applyNumberFormat="1" applyFont="1" applyFill="1" applyBorder="1" applyAlignment="1">
      <alignment horizontal="left" vertical="center" indent="1"/>
      <protection/>
    </xf>
    <xf numFmtId="3" fontId="64" fillId="0" borderId="0" xfId="0" applyNumberFormat="1" applyFont="1">
      <alignment/>
    </xf>
    <xf numFmtId="0" fontId="0" fillId="0" borderId="8"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8" fillId="2" borderId="3" xfId="17" applyFont="1" applyBorder="1" applyAlignment="1">
      <alignment/>
    </xf>
    <xf numFmtId="0" fontId="38" fillId="2" borderId="65" xfId="17" applyFont="1" applyBorder="1" applyAlignment="1" applyProtection="1">
      <alignment horizontal="center"/>
      <protection/>
    </xf>
    <xf numFmtId="0" fontId="38" fillId="2" borderId="66" xfId="17" applyFont="1" applyBorder="1" applyAlignment="1">
      <alignment horizontal="center"/>
    </xf>
    <xf numFmtId="0" fontId="38" fillId="2" borderId="26" xfId="17" applyFont="1" applyBorder="1" applyAlignment="1">
      <alignment horizontal="center"/>
    </xf>
    <xf numFmtId="0" fontId="38" fillId="2" borderId="35" xfId="17" applyFont="1" applyBorder="1" applyAlignment="1">
      <alignment horizontal="center"/>
    </xf>
    <xf numFmtId="0" fontId="8" fillId="4" borderId="6" xfId="0" applyFont="1" applyFill="1" applyBorder="1" applyAlignment="1">
      <alignment vertical="center"/>
    </xf>
    <xf numFmtId="4" fontId="3" fillId="0" borderId="67" xfId="0" applyNumberFormat="1" applyFont="1" applyBorder="1" applyAlignment="1">
      <alignment vertical="center"/>
    </xf>
    <xf numFmtId="4" fontId="0" fillId="0" borderId="64" xfId="0" applyNumberFormat="1" applyBorder="1" applyAlignment="1" applyProtection="1">
      <alignment vertical="center"/>
      <protection locked="0"/>
    </xf>
    <xf numFmtId="4" fontId="0" fillId="0" borderId="8"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0" fontId="8" fillId="4" borderId="4" xfId="0" applyFont="1" applyFill="1" applyBorder="1" applyAlignment="1">
      <alignment vertical="center"/>
    </xf>
    <xf numFmtId="4" fontId="3" fillId="0" borderId="68" xfId="0" applyNumberFormat="1" applyFont="1" applyBorder="1" applyAlignment="1">
      <alignment vertical="center"/>
    </xf>
    <xf numFmtId="4" fontId="0" fillId="8" borderId="54"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7" xfId="0" applyNumberFormat="1" applyFill="1" applyBorder="1" applyAlignment="1" applyProtection="1">
      <alignment vertical="center"/>
      <protection locked="0"/>
    </xf>
    <xf numFmtId="0" fontId="0" fillId="3" borderId="0" xfId="0" applyFill="1" applyAlignment="1">
      <alignment vertical="top" wrapText="1"/>
    </xf>
    <xf numFmtId="0" fontId="5" fillId="3" borderId="8" xfId="0" applyFont="1" applyFill="1" applyBorder="1" applyAlignment="1" applyProtection="1">
      <alignment horizontal="center"/>
      <protection locked="0"/>
    </xf>
    <xf numFmtId="0" fontId="8" fillId="4" borderId="8" xfId="0" applyFont="1" applyFill="1" applyBorder="1" applyAlignment="1">
      <alignment horizontal="center" vertical="center"/>
    </xf>
    <xf numFmtId="14" fontId="0" fillId="8" borderId="39" xfId="0" applyNumberFormat="1" applyFont="1" applyFill="1" applyBorder="1" applyAlignment="1" applyProtection="1">
      <alignment horizontal="left" vertical="center"/>
      <protection locked="0"/>
    </xf>
    <xf numFmtId="0" fontId="53" fillId="8" borderId="47" xfId="0" applyFont="1" applyFill="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48" xfId="0" applyFont="1" applyBorder="1" applyAlignment="1" applyProtection="1">
      <alignment horizontal="center" vertical="center"/>
      <protection locked="0"/>
    </xf>
    <xf numFmtId="0" fontId="0" fillId="12" borderId="47" xfId="0" applyFill="1" applyBorder="1" applyAlignment="1" applyProtection="1">
      <alignment vertical="top"/>
      <protection locked="0"/>
    </xf>
    <xf numFmtId="0" fontId="0" fillId="11" borderId="69" xfId="0" applyFill="1" applyBorder="1" applyAlignment="1" applyProtection="1">
      <alignment vertical="top"/>
      <protection locked="0"/>
    </xf>
    <xf numFmtId="0" fontId="0" fillId="11" borderId="48" xfId="0" applyFill="1" applyBorder="1" applyAlignment="1" applyProtection="1">
      <alignment vertical="top"/>
      <protection locked="0"/>
    </xf>
    <xf numFmtId="0" fontId="52" fillId="8" borderId="0" xfId="0" applyFont="1" applyFill="1" applyAlignment="1" applyProtection="1">
      <alignment vertical="center"/>
      <protection locked="0"/>
    </xf>
    <xf numFmtId="0" fontId="58" fillId="12" borderId="47" xfId="10" applyFont="1" applyFill="1" applyBorder="1" applyAlignment="1" applyProtection="1">
      <alignment vertical="center"/>
      <protection locked="0"/>
    </xf>
    <xf numFmtId="14" fontId="0" fillId="7" borderId="47" xfId="0" applyNumberFormat="1" applyFont="1" applyFill="1" applyBorder="1" applyAlignment="1" applyProtection="1">
      <alignment horizontal="left" vertical="center"/>
      <protection locked="0"/>
    </xf>
    <xf numFmtId="0" fontId="8" fillId="17" borderId="4" xfId="0" applyFont="1" applyFill="1" applyBorder="1" applyAlignment="1">
      <alignment horizontal="center" vertical="center"/>
    </xf>
    <xf numFmtId="0" fontId="8" fillId="17" borderId="6"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5" xfId="0" applyFont="1" applyFill="1" applyBorder="1" applyAlignment="1">
      <alignment horizontal="center" vertical="center"/>
    </xf>
    <xf numFmtId="3"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lignment horizontal="center" vertical="center"/>
    </xf>
    <xf numFmtId="10" fontId="5" fillId="3" borderId="8" xfId="0" applyNumberFormat="1" applyFont="1" applyFill="1" applyBorder="1" applyAlignment="1">
      <alignment horizontal="center" vertical="center"/>
    </xf>
    <xf numFmtId="0" fontId="8" fillId="17" borderId="4" xfId="0" applyFont="1" applyFill="1" applyBorder="1" applyAlignment="1">
      <alignment horizontal="center" vertical="center"/>
    </xf>
    <xf numFmtId="0" fontId="0" fillId="7" borderId="70" xfId="0" applyFont="1" applyFill="1" applyBorder="1" applyAlignment="1" applyProtection="1">
      <alignment vertical="center"/>
      <protection locked="0"/>
    </xf>
    <xf numFmtId="0" fontId="0" fillId="7" borderId="47" xfId="0" applyFont="1" applyFill="1" applyBorder="1" applyAlignment="1" applyProtection="1">
      <alignment vertical="center"/>
      <protection locked="0"/>
    </xf>
    <xf numFmtId="0" fontId="0" fillId="5" borderId="0" xfId="0" applyFont="1" applyFill="1">
      <alignment/>
    </xf>
    <xf numFmtId="0" fontId="0" fillId="8" borderId="0" xfId="15" applyFill="1">
      <alignment/>
      <protection/>
    </xf>
    <xf numFmtId="0" fontId="0" fillId="0" borderId="0" xfId="15">
      <alignment/>
      <protection/>
    </xf>
    <xf numFmtId="0" fontId="11" fillId="7" borderId="57" xfId="15" applyFont="1" applyFill="1" applyBorder="1" applyAlignment="1">
      <alignment horizontal="center" vertical="center" wrapText="1"/>
      <protection/>
    </xf>
    <xf numFmtId="0" fontId="11" fillId="7" borderId="58" xfId="15" applyFont="1" applyFill="1" applyBorder="1" applyAlignment="1">
      <alignment horizontal="center" vertical="center" wrapText="1"/>
      <protection/>
    </xf>
    <xf numFmtId="0" fontId="8" fillId="4" borderId="9" xfId="15" applyFont="1" applyFill="1" applyBorder="1" applyAlignment="1">
      <alignment horizontal="center" vertical="center"/>
      <protection/>
    </xf>
    <xf numFmtId="0" fontId="0" fillId="0" borderId="8" xfId="15" applyBorder="1" applyAlignment="1">
      <alignment horizontal="center" vertical="center"/>
      <protection/>
    </xf>
    <xf numFmtId="0" fontId="0" fillId="0" borderId="8" xfId="15" applyBorder="1" applyAlignment="1" applyProtection="1">
      <alignment horizontal="center" vertical="center"/>
      <protection locked="0"/>
    </xf>
    <xf numFmtId="0" fontId="0" fillId="0" borderId="1" xfId="15" applyBorder="1" applyAlignment="1" applyProtection="1">
      <alignment horizontal="center" vertical="center"/>
      <protection locked="0"/>
    </xf>
    <xf numFmtId="0" fontId="8" fillId="4" borderId="10" xfId="15" applyFont="1" applyFill="1" applyBorder="1" applyAlignment="1">
      <alignment horizontal="center" vertical="center"/>
      <protection/>
    </xf>
    <xf numFmtId="0" fontId="0" fillId="0" borderId="2" xfId="15" applyBorder="1" applyAlignment="1">
      <alignment horizontal="center" vertical="center"/>
      <protection/>
    </xf>
    <xf numFmtId="0" fontId="0" fillId="0" borderId="7" xfId="15" applyBorder="1" applyAlignment="1">
      <alignment horizontal="center" vertical="center"/>
      <protection/>
    </xf>
    <xf numFmtId="0" fontId="0" fillId="0" borderId="7" xfId="0" applyBorder="1" applyAlignment="1">
      <alignment horizontal="center" vertical="center"/>
    </xf>
    <xf numFmtId="10" fontId="0" fillId="0" borderId="0" xfId="0" applyNumberFormat="1">
      <alignment/>
    </xf>
    <xf numFmtId="0" fontId="19" fillId="8" borderId="0" xfId="0" applyFont="1" applyFill="1">
      <alignment/>
    </xf>
    <xf numFmtId="0" fontId="50" fillId="17" borderId="0" xfId="0" applyFont="1" applyFill="1" applyAlignment="1">
      <alignment horizontal="left" vertical="center" wrapText="1"/>
    </xf>
    <xf numFmtId="0" fontId="3" fillId="3" borderId="40" xfId="0" applyFont="1" applyFill="1" applyBorder="1" applyAlignment="1" applyProtection="1">
      <alignment horizontal="center" vertical="center"/>
      <protection locked="0"/>
    </xf>
    <xf numFmtId="0" fontId="42" fillId="17" borderId="0" xfId="12" applyFont="1" applyFill="1">
      <alignment/>
      <protection/>
    </xf>
    <xf numFmtId="0" fontId="85" fillId="17" borderId="0" xfId="10" applyFont="1" applyFill="1" applyAlignment="1" applyProtection="1">
      <alignment/>
      <protection/>
    </xf>
    <xf numFmtId="0" fontId="67" fillId="17" borderId="0" xfId="12" applyFont="1" applyFill="1" applyAlignment="1">
      <alignment wrapText="1" shrinkToFit="1"/>
      <protection/>
    </xf>
    <xf numFmtId="0" fontId="68" fillId="17" borderId="0" xfId="13" applyFont="1" applyFill="1" applyAlignment="1">
      <alignment wrapText="1"/>
      <protection/>
    </xf>
    <xf numFmtId="3" fontId="5" fillId="3" borderId="8" xfId="0" applyNumberFormat="1" applyFont="1" applyFill="1" applyBorder="1" applyAlignment="1" applyProtection="1">
      <alignment horizontal="center" vertical="center"/>
      <protection locked="0"/>
    </xf>
    <xf numFmtId="0" fontId="5" fillId="8" borderId="8" xfId="0" applyFont="1" applyFill="1" applyBorder="1" applyAlignment="1">
      <alignment horizontal="center" vertical="center"/>
    </xf>
    <xf numFmtId="49" fontId="90" fillId="15" borderId="10" xfId="16" applyNumberFormat="1" applyFont="1" applyFill="1" applyBorder="1" applyAlignment="1">
      <alignment horizontal="left" vertical="center" indent="1"/>
      <protection/>
    </xf>
    <xf numFmtId="0" fontId="93" fillId="0" borderId="0" xfId="0" applyFont="1" applyProtection="1">
      <alignment/>
      <protection locked="0"/>
    </xf>
    <xf numFmtId="49" fontId="59" fillId="0" borderId="0" xfId="0" applyNumberFormat="1" applyFont="1">
      <alignment/>
    </xf>
    <xf numFmtId="49" fontId="59" fillId="0" borderId="0" xfId="0" applyNumberFormat="1" applyFont="1">
      <alignment/>
    </xf>
    <xf numFmtId="0" fontId="6" fillId="4" borderId="27"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35" xfId="0" applyFont="1" applyFill="1" applyBorder="1" applyAlignment="1">
      <alignment horizontal="center" vertical="center"/>
    </xf>
    <xf numFmtId="1" fontId="0" fillId="5" borderId="0" xfId="0" applyNumberFormat="1" applyFill="1">
      <alignment/>
    </xf>
    <xf numFmtId="167" fontId="0" fillId="4" borderId="1" xfId="0" applyNumberFormat="1" applyFont="1" applyFill="1" applyBorder="1" applyAlignment="1">
      <alignment horizontal="center" vertical="center"/>
    </xf>
    <xf numFmtId="167" fontId="5" fillId="4" borderId="1" xfId="0" applyNumberFormat="1" applyFont="1" applyFill="1" applyBorder="1" applyAlignment="1">
      <alignment horizontal="center" vertical="center"/>
    </xf>
    <xf numFmtId="14" fontId="5" fillId="5" borderId="0" xfId="0" applyNumberFormat="1" applyFont="1" applyFill="1">
      <alignment/>
    </xf>
    <xf numFmtId="14" fontId="5" fillId="3" borderId="7" xfId="0" applyNumberFormat="1" applyFont="1" applyFill="1" applyBorder="1" applyAlignment="1" applyProtection="1">
      <alignment horizontal="center" vertical="center"/>
      <protection locked="0"/>
    </xf>
    <xf numFmtId="14" fontId="0" fillId="5" borderId="0" xfId="0" applyNumberFormat="1" applyFill="1">
      <alignment/>
    </xf>
    <xf numFmtId="0" fontId="6" fillId="4" borderId="71" xfId="0" applyFont="1" applyFill="1" applyBorder="1" applyAlignment="1">
      <alignment horizontal="center" vertical="center"/>
    </xf>
    <xf numFmtId="0" fontId="6" fillId="4" borderId="12" xfId="0" applyFont="1" applyFill="1" applyBorder="1" applyAlignment="1">
      <alignment horizontal="center" vertical="center"/>
    </xf>
    <xf numFmtId="4" fontId="0" fillId="5" borderId="0" xfId="0" applyNumberFormat="1" applyFill="1">
      <alignment/>
    </xf>
    <xf numFmtId="165" fontId="6" fillId="4" borderId="27" xfId="0" applyNumberFormat="1" applyFont="1" applyFill="1" applyBorder="1" applyAlignment="1">
      <alignment horizontal="center" vertical="center"/>
    </xf>
    <xf numFmtId="167" fontId="5" fillId="3" borderId="35" xfId="0" applyNumberFormat="1" applyFont="1" applyFill="1" applyBorder="1" applyAlignment="1">
      <alignment horizontal="center" vertical="center"/>
    </xf>
    <xf numFmtId="165" fontId="6" fillId="4" borderId="6"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xf>
    <xf numFmtId="0" fontId="5" fillId="5" borderId="0" xfId="0" applyFont="1" applyFill="1" applyAlignment="1">
      <alignment horizontal="right"/>
    </xf>
    <xf numFmtId="165" fontId="6" fillId="4" borderId="9" xfId="0" applyNumberFormat="1" applyFont="1" applyFill="1" applyBorder="1" applyAlignment="1">
      <alignment horizontal="center" vertical="center"/>
    </xf>
    <xf numFmtId="165" fontId="6" fillId="4" borderId="10" xfId="0" applyNumberFormat="1" applyFont="1" applyFill="1" applyBorder="1" applyAlignment="1">
      <alignment horizontal="center" vertical="center"/>
    </xf>
    <xf numFmtId="167" fontId="5" fillId="3" borderId="7" xfId="0" applyNumberFormat="1" applyFont="1" applyFill="1" applyBorder="1" applyAlignment="1">
      <alignment horizontal="center" vertical="center"/>
    </xf>
    <xf numFmtId="0" fontId="0" fillId="0" borderId="43" xfId="0" applyBorder="1" applyAlignment="1">
      <alignment vertical="top" wrapText="1"/>
    </xf>
    <xf numFmtId="0" fontId="2" fillId="0" borderId="43" xfId="0" applyFont="1" applyBorder="1" applyAlignment="1">
      <alignment vertical="top" wrapText="1"/>
    </xf>
    <xf numFmtId="0" fontId="0" fillId="0" borderId="37" xfId="0" applyBorder="1" applyAlignment="1">
      <alignment vertical="top" wrapText="1"/>
    </xf>
    <xf numFmtId="0" fontId="0" fillId="0" borderId="57" xfId="0" applyBorder="1" applyAlignment="1">
      <alignment vertical="top" wrapText="1"/>
    </xf>
    <xf numFmtId="0" fontId="18" fillId="4" borderId="0" xfId="0" applyFont="1" applyFill="1" applyAlignment="1">
      <alignment horizontal="center" wrapText="1"/>
    </xf>
    <xf numFmtId="0" fontId="85" fillId="7" borderId="0" xfId="10" applyFont="1" applyFill="1" applyAlignment="1" applyProtection="1">
      <alignment horizontal="center" wrapText="1"/>
      <protection/>
    </xf>
    <xf numFmtId="0" fontId="85" fillId="7" borderId="0" xfId="0" applyFont="1" applyFill="1" applyAlignment="1">
      <alignment horizontal="center" wrapText="1"/>
    </xf>
    <xf numFmtId="0" fontId="55" fillId="4" borderId="0" xfId="0" applyFont="1" applyFill="1" applyAlignment="1">
      <alignment horizontal="left" vertical="center" wrapText="1" shrinkToFit="1"/>
    </xf>
    <xf numFmtId="0" fontId="82" fillId="4" borderId="0" xfId="0" applyFont="1" applyFill="1" applyAlignment="1">
      <alignment horizontal="left" vertical="center" wrapText="1"/>
    </xf>
    <xf numFmtId="0" fontId="0" fillId="3" borderId="0" xfId="0" applyFill="1" applyAlignment="1">
      <alignment vertical="top" wrapText="1"/>
    </xf>
    <xf numFmtId="0" fontId="10" fillId="4" borderId="0" xfId="0" applyFont="1" applyFill="1" applyAlignment="1">
      <alignment horizontal="center" wrapText="1"/>
    </xf>
    <xf numFmtId="0" fontId="18" fillId="4" borderId="0" xfId="0" applyFont="1" applyFill="1" applyAlignment="1">
      <alignment horizontal="left" vertical="center" wrapText="1"/>
    </xf>
    <xf numFmtId="0" fontId="32" fillId="4" borderId="0" xfId="0" applyFont="1" applyFill="1" applyAlignment="1">
      <alignment horizontal="left" vertical="center" wrapText="1"/>
    </xf>
    <xf numFmtId="0" fontId="55" fillId="4" borderId="0" xfId="0" applyFont="1" applyFill="1" applyAlignment="1">
      <alignment horizontal="left" vertical="center" wrapText="1"/>
    </xf>
    <xf numFmtId="0" fontId="12" fillId="4" borderId="0" xfId="0" applyFont="1" applyFill="1" applyAlignment="1">
      <alignment horizontal="center" wrapText="1"/>
    </xf>
    <xf numFmtId="0" fontId="51" fillId="3" borderId="0" xfId="0" applyFont="1" applyFill="1" applyAlignment="1">
      <alignment vertical="center"/>
    </xf>
    <xf numFmtId="0" fontId="41" fillId="4" borderId="0" xfId="0" applyFont="1" applyFill="1" applyAlignment="1">
      <alignment horizontal="center" wrapText="1"/>
    </xf>
    <xf numFmtId="0" fontId="82" fillId="4" borderId="0" xfId="0" applyFont="1" applyFill="1" applyAlignment="1">
      <alignment horizontal="center"/>
    </xf>
    <xf numFmtId="0" fontId="18" fillId="4" borderId="0" xfId="0" applyFont="1" applyFill="1" applyAlignment="1">
      <alignment horizontal="center" vertical="center" wrapText="1"/>
    </xf>
    <xf numFmtId="0" fontId="86" fillId="4" borderId="0" xfId="0" applyFont="1" applyFill="1" applyAlignment="1">
      <alignment horizontal="center" vertical="center" wrapText="1"/>
    </xf>
    <xf numFmtId="0" fontId="55" fillId="0" borderId="0" xfId="0" applyFont="1" applyAlignment="1">
      <alignment horizontal="left" vertical="center" wrapText="1"/>
    </xf>
    <xf numFmtId="0" fontId="42" fillId="17" borderId="0" xfId="12" applyFont="1" applyFill="1">
      <alignment/>
      <protection/>
    </xf>
    <xf numFmtId="0" fontId="5" fillId="17" borderId="0" xfId="12" applyFill="1">
      <alignment/>
      <protection/>
    </xf>
    <xf numFmtId="0" fontId="0" fillId="19" borderId="0" xfId="0" applyFill="1">
      <alignment/>
    </xf>
    <xf numFmtId="0" fontId="0" fillId="0" borderId="0" xfId="0">
      <alignment/>
    </xf>
    <xf numFmtId="0" fontId="21" fillId="8" borderId="0" xfId="0" applyFont="1" applyFill="1" applyAlignment="1">
      <alignment horizontal="center" vertical="center"/>
    </xf>
    <xf numFmtId="0" fontId="21" fillId="8" borderId="72" xfId="0" applyFont="1" applyFill="1" applyBorder="1" applyAlignment="1">
      <alignment vertical="center"/>
    </xf>
    <xf numFmtId="0" fontId="0" fillId="0" borderId="73" xfId="0" applyBorder="1" applyAlignment="1">
      <alignment vertical="center"/>
    </xf>
    <xf numFmtId="0" fontId="47" fillId="8" borderId="0" xfId="0" applyFont="1" applyFill="1" applyAlignment="1">
      <alignment horizontal="center" vertical="center"/>
    </xf>
    <xf numFmtId="0" fontId="0" fillId="0" borderId="0" xfId="0" applyAlignment="1">
      <alignment horizontal="center" vertical="center"/>
    </xf>
    <xf numFmtId="0" fontId="54" fillId="8" borderId="0" xfId="0" applyFont="1" applyFill="1" applyAlignment="1">
      <alignment horizontal="center" vertical="center"/>
    </xf>
    <xf numFmtId="0" fontId="12" fillId="4" borderId="0" xfId="0" applyFont="1" applyFill="1" applyAlignment="1">
      <alignment horizontal="right"/>
    </xf>
    <xf numFmtId="0" fontId="11" fillId="0" borderId="0" xfId="0" applyFont="1" applyAlignment="1">
      <alignment horizontal="right"/>
    </xf>
    <xf numFmtId="49" fontId="8" fillId="4" borderId="0" xfId="0" applyNumberFormat="1" applyFont="1" applyFill="1" applyAlignment="1">
      <alignment horizontal="left" vertical="top"/>
    </xf>
    <xf numFmtId="49" fontId="12" fillId="4" borderId="0" xfId="0" applyNumberFormat="1" applyFont="1" applyFill="1" applyAlignment="1">
      <alignment horizontal="left"/>
    </xf>
    <xf numFmtId="0" fontId="0" fillId="0" borderId="25" xfId="0" applyBorder="1" applyAlignment="1" applyProtection="1">
      <alignment vertical="center"/>
      <protection locked="0"/>
    </xf>
    <xf numFmtId="0" fontId="0" fillId="0" borderId="64" xfId="0" applyBorder="1" applyAlignment="1" applyProtection="1">
      <alignment vertical="center"/>
      <protection locked="0"/>
    </xf>
    <xf numFmtId="0" fontId="11" fillId="7" borderId="0" xfId="0" applyFont="1" applyFill="1" applyAlignment="1">
      <alignment horizontal="right" vertical="center"/>
    </xf>
    <xf numFmtId="0" fontId="0" fillId="7" borderId="0" xfId="0" applyFill="1" applyAlignment="1">
      <alignment horizontal="right" vertical="center"/>
    </xf>
    <xf numFmtId="0" fontId="0" fillId="7" borderId="36" xfId="0" applyFill="1" applyBorder="1" applyAlignment="1">
      <alignment horizontal="right" vertical="center"/>
    </xf>
    <xf numFmtId="0" fontId="7" fillId="4" borderId="0" xfId="0" applyFont="1" applyFill="1" applyAlignment="1">
      <alignment horizontal="center"/>
    </xf>
    <xf numFmtId="0" fontId="3" fillId="0" borderId="0" xfId="0" applyFont="1" applyAlignment="1">
      <alignment horizontal="center"/>
    </xf>
    <xf numFmtId="0" fontId="5" fillId="4" borderId="36" xfId="0" applyFont="1" applyFill="1" applyBorder="1">
      <alignment/>
    </xf>
    <xf numFmtId="0" fontId="0" fillId="0" borderId="36" xfId="0" applyBorder="1">
      <alignment/>
    </xf>
    <xf numFmtId="0" fontId="5" fillId="4" borderId="0" xfId="0" applyFont="1" applyFill="1">
      <alignment/>
    </xf>
    <xf numFmtId="0" fontId="5" fillId="3" borderId="25" xfId="0" applyFont="1" applyFill="1" applyBorder="1" applyAlignment="1" applyProtection="1">
      <alignment horizontal="left"/>
      <protection locked="0"/>
    </xf>
    <xf numFmtId="0" fontId="5" fillId="3" borderId="22" xfId="0" applyFont="1" applyFill="1" applyBorder="1" applyAlignment="1" applyProtection="1">
      <alignment horizontal="left"/>
      <protection locked="0"/>
    </xf>
    <xf numFmtId="0" fontId="0" fillId="8" borderId="22" xfId="0" applyFill="1" applyBorder="1" applyAlignment="1" applyProtection="1">
      <alignment horizontal="left"/>
      <protection locked="0"/>
    </xf>
    <xf numFmtId="0" fontId="0" fillId="8" borderId="64" xfId="0" applyFill="1" applyBorder="1" applyAlignment="1" applyProtection="1">
      <alignment horizontal="left"/>
      <protection locked="0"/>
    </xf>
    <xf numFmtId="0" fontId="0" fillId="3" borderId="25" xfId="10" applyFont="1" applyFill="1" applyBorder="1" applyAlignment="1" applyProtection="1">
      <alignment horizontal="left"/>
      <protection/>
    </xf>
    <xf numFmtId="0" fontId="5" fillId="3" borderId="22" xfId="0" applyFont="1" applyFill="1" applyBorder="1" applyAlignment="1">
      <alignment horizontal="left"/>
    </xf>
    <xf numFmtId="0" fontId="0" fillId="8" borderId="22" xfId="0" applyFont="1" applyFill="1" applyBorder="1" applyAlignment="1">
      <alignment horizontal="left"/>
    </xf>
    <xf numFmtId="0" fontId="0" fillId="8" borderId="64" xfId="0" applyFont="1" applyFill="1" applyBorder="1" applyAlignment="1">
      <alignment horizontal="left"/>
    </xf>
    <xf numFmtId="0" fontId="8" fillId="4" borderId="0" xfId="0" applyFont="1" applyFill="1">
      <alignment/>
    </xf>
    <xf numFmtId="0" fontId="3" fillId="4" borderId="33" xfId="0" applyFont="1" applyFill="1" applyBorder="1" applyAlignment="1">
      <alignment horizontal="center"/>
    </xf>
    <xf numFmtId="0" fontId="3" fillId="4" borderId="0" xfId="0" applyFont="1" applyFill="1" applyAlignment="1">
      <alignment horizontal="center"/>
    </xf>
    <xf numFmtId="0" fontId="8" fillId="4" borderId="22" xfId="0" applyFont="1" applyFill="1" applyBorder="1">
      <alignment/>
    </xf>
    <xf numFmtId="0" fontId="0" fillId="0" borderId="22" xfId="0" applyBorder="1">
      <alignment/>
    </xf>
    <xf numFmtId="0" fontId="8" fillId="4" borderId="22" xfId="0" applyFont="1" applyFill="1" applyBorder="1" applyAlignment="1">
      <alignment horizontal="left"/>
    </xf>
    <xf numFmtId="0" fontId="8" fillId="4" borderId="0" xfId="0" applyFont="1" applyFill="1" applyAlignment="1">
      <alignment horizontal="left"/>
    </xf>
    <xf numFmtId="0" fontId="8" fillId="4" borderId="74" xfId="0" applyFont="1" applyFill="1" applyBorder="1" applyAlignment="1">
      <alignment horizontal="center"/>
    </xf>
    <xf numFmtId="0" fontId="0" fillId="0" borderId="24" xfId="0" applyBorder="1">
      <alignment/>
    </xf>
    <xf numFmtId="0" fontId="0" fillId="0" borderId="75" xfId="0" applyBorder="1">
      <alignment/>
    </xf>
    <xf numFmtId="0" fontId="0" fillId="0" borderId="33" xfId="0" applyBorder="1">
      <alignment/>
    </xf>
    <xf numFmtId="0" fontId="0" fillId="0" borderId="56" xfId="0" applyBorder="1">
      <alignment/>
    </xf>
    <xf numFmtId="0" fontId="0" fillId="0" borderId="62" xfId="0" applyBorder="1">
      <alignment/>
    </xf>
    <xf numFmtId="0" fontId="0" fillId="0" borderId="76" xfId="0" applyBorder="1">
      <alignment/>
    </xf>
    <xf numFmtId="0" fontId="6" fillId="3" borderId="21" xfId="0" applyFont="1" applyFill="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6" fillId="8" borderId="21" xfId="0" applyFont="1" applyFill="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8" fillId="3" borderId="32" xfId="0" applyFont="1" applyFill="1" applyBorder="1" applyAlignment="1">
      <alignment vertical="top" wrapText="1"/>
    </xf>
    <xf numFmtId="0" fontId="0" fillId="0" borderId="21" xfId="0" applyBorder="1" applyAlignment="1">
      <alignment vertical="top" wrapText="1"/>
    </xf>
    <xf numFmtId="0" fontId="5" fillId="3" borderId="21" xfId="0" applyFont="1" applyFill="1" applyBorder="1" applyAlignment="1" applyProtection="1">
      <alignment horizontal="center"/>
      <protection locked="0"/>
    </xf>
    <xf numFmtId="0" fontId="0" fillId="0" borderId="77" xfId="0" applyBorder="1" applyProtection="1">
      <alignment/>
      <protection locked="0"/>
    </xf>
    <xf numFmtId="0" fontId="0" fillId="0" borderId="78" xfId="0" applyBorder="1" applyProtection="1">
      <alignment/>
      <protection locked="0"/>
    </xf>
    <xf numFmtId="0" fontId="5" fillId="8" borderId="23" xfId="0" applyFont="1" applyFill="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42" xfId="0" applyFont="1" applyBorder="1" applyAlignment="1" applyProtection="1">
      <alignment horizontal="center"/>
      <protection locked="0"/>
    </xf>
    <xf numFmtId="0" fontId="5" fillId="3" borderId="23" xfId="0" applyFont="1" applyFill="1" applyBorder="1" applyAlignment="1" applyProtection="1">
      <alignment horizontal="center"/>
      <protection locked="0"/>
    </xf>
    <xf numFmtId="0" fontId="0" fillId="0" borderId="23" xfId="0" applyFont="1" applyBorder="1" applyAlignment="1" applyProtection="1">
      <alignment horizontal="center"/>
      <protection locked="0"/>
    </xf>
    <xf numFmtId="0" fontId="0" fillId="0" borderId="54" xfId="0" applyFont="1" applyBorder="1" applyAlignment="1" applyProtection="1">
      <alignment horizontal="center"/>
      <protection locked="0"/>
    </xf>
    <xf numFmtId="0" fontId="0" fillId="0" borderId="21" xfId="0" applyBorder="1" applyProtection="1">
      <alignment/>
      <protection locked="0"/>
    </xf>
    <xf numFmtId="0" fontId="0" fillId="0" borderId="66" xfId="0" applyBorder="1" applyProtection="1">
      <alignment/>
      <protection locked="0"/>
    </xf>
    <xf numFmtId="0" fontId="6" fillId="4" borderId="39" xfId="0" applyFont="1" applyFill="1" applyBorder="1">
      <alignment/>
    </xf>
    <xf numFmtId="0" fontId="0" fillId="0" borderId="39" xfId="0" applyBorder="1">
      <alignment/>
    </xf>
    <xf numFmtId="0" fontId="6" fillId="4" borderId="0" xfId="0" applyFont="1" applyFill="1" applyAlignment="1">
      <alignment horizontal="center"/>
    </xf>
    <xf numFmtId="0" fontId="5" fillId="3" borderId="25" xfId="0" applyFont="1" applyFill="1" applyBorder="1" applyAlignment="1">
      <alignment horizontal="left"/>
    </xf>
    <xf numFmtId="0" fontId="5" fillId="3" borderId="64" xfId="0" applyFont="1" applyFill="1" applyBorder="1" applyAlignment="1">
      <alignment horizontal="left"/>
    </xf>
    <xf numFmtId="0" fontId="8" fillId="3" borderId="2" xfId="0" applyFont="1" applyFill="1" applyBorder="1" applyAlignment="1">
      <alignment horizontal="left" wrapText="1"/>
    </xf>
    <xf numFmtId="0" fontId="0" fillId="0" borderId="52" xfId="0" applyBorder="1">
      <alignment/>
    </xf>
    <xf numFmtId="49" fontId="5" fillId="3" borderId="23" xfId="0" applyNumberFormat="1" applyFont="1" applyFill="1" applyBorder="1" applyAlignment="1" applyProtection="1">
      <alignment horizontal="center"/>
      <protection locked="0"/>
    </xf>
    <xf numFmtId="49" fontId="8" fillId="4" borderId="0" xfId="0" applyNumberFormat="1" applyFont="1" applyFill="1" applyAlignment="1">
      <alignment horizontal="left" vertical="center" wrapText="1"/>
    </xf>
    <xf numFmtId="0" fontId="0" fillId="0" borderId="0" xfId="0" applyAlignment="1">
      <alignment vertical="center" wrapText="1"/>
    </xf>
    <xf numFmtId="0" fontId="8" fillId="7" borderId="0" xfId="0" applyFont="1" applyFill="1" applyAlignment="1">
      <alignment horizontal="center"/>
    </xf>
    <xf numFmtId="0" fontId="0" fillId="7" borderId="0" xfId="0" applyFill="1" applyAlignment="1">
      <alignment horizontal="center"/>
    </xf>
    <xf numFmtId="0" fontId="6" fillId="4" borderId="0" xfId="0" applyFont="1" applyFill="1" applyAlignment="1">
      <alignment horizontal="center" vertical="center"/>
    </xf>
    <xf numFmtId="0" fontId="0" fillId="7" borderId="0" xfId="0" applyFill="1" applyAlignment="1">
      <alignment horizontal="center" vertical="center"/>
    </xf>
    <xf numFmtId="0" fontId="17" fillId="4" borderId="0" xfId="0" applyFont="1" applyFill="1" applyAlignment="1">
      <alignment horizontal="center"/>
    </xf>
    <xf numFmtId="0" fontId="0" fillId="0" borderId="0" xfId="0" applyAlignment="1">
      <alignment horizontal="center"/>
    </xf>
    <xf numFmtId="0" fontId="10" fillId="4" borderId="0" xfId="0" applyFont="1" applyFill="1" applyAlignment="1">
      <alignment horizontal="center"/>
    </xf>
    <xf numFmtId="0" fontId="6" fillId="4" borderId="0" xfId="0" applyFont="1" applyFill="1" applyAlignment="1">
      <alignment horizontal="right" vertical="center"/>
    </xf>
    <xf numFmtId="0" fontId="0" fillId="0" borderId="0" xfId="0" applyAlignment="1">
      <alignment horizontal="right" vertical="center"/>
    </xf>
    <xf numFmtId="0" fontId="0" fillId="0" borderId="36" xfId="0" applyBorder="1" applyAlignment="1">
      <alignment horizontal="right" vertical="center"/>
    </xf>
    <xf numFmtId="0" fontId="3" fillId="7" borderId="33" xfId="0" applyFont="1" applyFill="1" applyBorder="1" applyAlignment="1">
      <alignment horizontal="center" vertical="center"/>
    </xf>
    <xf numFmtId="0" fontId="3" fillId="7" borderId="36" xfId="0" applyFont="1" applyFill="1" applyBorder="1" applyAlignment="1">
      <alignment horizontal="center" vertical="center"/>
    </xf>
    <xf numFmtId="0" fontId="8" fillId="4" borderId="0" xfId="0" applyFont="1" applyFill="1" applyAlignment="1">
      <alignment horizontal="left" vertical="center" wrapText="1"/>
    </xf>
    <xf numFmtId="0" fontId="0" fillId="0" borderId="0" xfId="0" applyAlignment="1">
      <alignment horizontal="left" vertical="center" wrapText="1"/>
    </xf>
    <xf numFmtId="14" fontId="5" fillId="3" borderId="25" xfId="0" applyNumberFormat="1" applyFont="1" applyFill="1" applyBorder="1" applyAlignment="1" applyProtection="1">
      <alignment horizontal="center"/>
      <protection locked="0"/>
    </xf>
    <xf numFmtId="0" fontId="0" fillId="3" borderId="64" xfId="0" applyFill="1" applyBorder="1" applyAlignment="1" applyProtection="1">
      <alignment horizontal="center"/>
      <protection locked="0"/>
    </xf>
    <xf numFmtId="14" fontId="8" fillId="4" borderId="0" xfId="0" applyNumberFormat="1" applyFont="1" applyFill="1" applyAlignment="1">
      <alignment horizontal="right" wrapText="1"/>
    </xf>
    <xf numFmtId="0" fontId="0" fillId="7" borderId="0" xfId="0" applyFill="1" applyAlignment="1">
      <alignment wrapText="1"/>
    </xf>
    <xf numFmtId="49" fontId="34" fillId="3" borderId="23" xfId="10" applyNumberFormat="1" applyFill="1" applyBorder="1" applyAlignment="1" applyProtection="1">
      <alignment horizontal="center" wrapText="1"/>
      <protection locked="0"/>
    </xf>
    <xf numFmtId="0" fontId="0" fillId="0" borderId="23" xfId="0" applyBorder="1" applyAlignment="1" applyProtection="1">
      <alignment horizontal="center"/>
      <protection locked="0"/>
    </xf>
    <xf numFmtId="0" fontId="0" fillId="0" borderId="42" xfId="0" applyBorder="1" applyAlignment="1" applyProtection="1">
      <alignment horizontal="center"/>
      <protection locked="0"/>
    </xf>
    <xf numFmtId="49" fontId="5" fillId="3" borderId="23" xfId="0" applyNumberFormat="1" applyFont="1" applyFill="1" applyBorder="1" applyAlignment="1" applyProtection="1">
      <alignment horizontal="center" wrapText="1"/>
      <protection locked="0"/>
    </xf>
    <xf numFmtId="0" fontId="6" fillId="4" borderId="39" xfId="0" applyFont="1" applyFill="1" applyBorder="1" applyAlignment="1">
      <alignment horizontal="center"/>
    </xf>
    <xf numFmtId="0" fontId="0" fillId="0" borderId="39" xfId="0" applyBorder="1" applyAlignment="1">
      <alignment horizontal="center"/>
    </xf>
    <xf numFmtId="0" fontId="5" fillId="7" borderId="0" xfId="0" applyFont="1" applyFill="1">
      <alignment/>
    </xf>
    <xf numFmtId="0" fontId="8" fillId="4" borderId="77" xfId="0" applyFont="1" applyFill="1" applyBorder="1" applyAlignment="1">
      <alignment horizontal="center" wrapText="1"/>
    </xf>
    <xf numFmtId="0" fontId="0" fillId="0" borderId="77" xfId="0" applyBorder="1">
      <alignment/>
    </xf>
    <xf numFmtId="49" fontId="8" fillId="4" borderId="0" xfId="0" applyNumberFormat="1" applyFont="1" applyFill="1" applyAlignment="1">
      <alignment horizontal="left" vertical="center"/>
    </xf>
    <xf numFmtId="0" fontId="0" fillId="7" borderId="0" xfId="0" applyFill="1" applyAlignment="1">
      <alignment vertical="center"/>
    </xf>
    <xf numFmtId="0" fontId="0" fillId="0" borderId="36" xfId="0" applyBorder="1" applyAlignment="1">
      <alignment vertical="center"/>
    </xf>
    <xf numFmtId="0" fontId="8" fillId="3" borderId="52" xfId="0" applyFont="1" applyFill="1" applyBorder="1" applyAlignment="1">
      <alignment horizontal="left" vertical="top"/>
    </xf>
    <xf numFmtId="0" fontId="0" fillId="0" borderId="23" xfId="0" applyBorder="1">
      <alignment/>
    </xf>
    <xf numFmtId="0" fontId="5" fillId="3" borderId="19" xfId="0" applyFont="1" applyFill="1" applyBorder="1" applyAlignment="1" applyProtection="1">
      <alignment horizontal="left"/>
      <protection locked="0"/>
    </xf>
    <xf numFmtId="0" fontId="0" fillId="0" borderId="19" xfId="0" applyFont="1" applyBorder="1" applyProtection="1">
      <alignment/>
      <protection locked="0"/>
    </xf>
    <xf numFmtId="0" fontId="0" fillId="0" borderId="53" xfId="0" applyFont="1" applyBorder="1" applyProtection="1">
      <alignment/>
      <protection locked="0"/>
    </xf>
    <xf numFmtId="49" fontId="5" fillId="3" borderId="21" xfId="0" applyNumberFormat="1" applyFont="1" applyFill="1" applyBorder="1" applyAlignment="1" applyProtection="1">
      <alignment horizontal="center"/>
      <protection locked="0"/>
    </xf>
    <xf numFmtId="49" fontId="0" fillId="0" borderId="77" xfId="0" applyNumberFormat="1" applyBorder="1" applyProtection="1">
      <alignment/>
      <protection locked="0"/>
    </xf>
    <xf numFmtId="49" fontId="0" fillId="0" borderId="78" xfId="0" applyNumberFormat="1" applyBorder="1" applyProtection="1">
      <alignment/>
      <protection locked="0"/>
    </xf>
    <xf numFmtId="49" fontId="6" fillId="4" borderId="0" xfId="0" applyNumberFormat="1" applyFont="1" applyFill="1">
      <alignment/>
    </xf>
    <xf numFmtId="49" fontId="5" fillId="0" borderId="0" xfId="0" applyNumberFormat="1" applyFont="1">
      <alignment/>
    </xf>
    <xf numFmtId="49" fontId="9" fillId="4" borderId="39" xfId="0" applyNumberFormat="1" applyFont="1" applyFill="1" applyBorder="1">
      <alignment/>
    </xf>
    <xf numFmtId="49" fontId="5" fillId="0" borderId="39" xfId="0" applyNumberFormat="1" applyFont="1" applyBorder="1">
      <alignment/>
    </xf>
    <xf numFmtId="49" fontId="8" fillId="3" borderId="32" xfId="0" applyNumberFormat="1" applyFont="1" applyFill="1" applyBorder="1" applyAlignment="1">
      <alignment vertical="top" wrapText="1"/>
    </xf>
    <xf numFmtId="49" fontId="0" fillId="0" borderId="21" xfId="0" applyNumberFormat="1" applyBorder="1" applyAlignment="1">
      <alignment vertical="top" wrapText="1"/>
    </xf>
    <xf numFmtId="0" fontId="9" fillId="4" borderId="39" xfId="0" applyFont="1" applyFill="1" applyBorder="1">
      <alignment/>
    </xf>
    <xf numFmtId="0" fontId="5" fillId="0" borderId="39" xfId="0" applyFont="1" applyBorder="1">
      <alignment/>
    </xf>
    <xf numFmtId="0" fontId="6" fillId="4" borderId="77" xfId="0" applyFont="1" applyFill="1" applyBorder="1">
      <alignment/>
    </xf>
    <xf numFmtId="0" fontId="5" fillId="0" borderId="77" xfId="0" applyFont="1" applyBorder="1">
      <alignment/>
    </xf>
    <xf numFmtId="3" fontId="77" fillId="3" borderId="23" xfId="10" applyNumberFormat="1" applyFont="1" applyFill="1" applyBorder="1" applyAlignment="1" applyProtection="1">
      <alignment horizontal="center" wrapText="1"/>
      <protection locked="0"/>
    </xf>
    <xf numFmtId="0" fontId="78" fillId="3" borderId="54" xfId="0" applyFont="1" applyFill="1" applyBorder="1" applyAlignment="1" applyProtection="1">
      <alignment horizontal="center" wrapText="1"/>
      <protection locked="0"/>
    </xf>
    <xf numFmtId="0" fontId="5" fillId="3" borderId="19" xfId="0" applyFont="1" applyFill="1" applyBorder="1" applyAlignment="1" applyProtection="1">
      <alignment horizontal="center"/>
      <protection locked="0"/>
    </xf>
    <xf numFmtId="0" fontId="5" fillId="8" borderId="53" xfId="0" applyFont="1" applyFill="1" applyBorder="1" applyAlignment="1" applyProtection="1">
      <alignment horizontal="center"/>
      <protection locked="0"/>
    </xf>
    <xf numFmtId="0" fontId="6" fillId="4" borderId="33" xfId="0" applyFont="1" applyFill="1" applyBorder="1" applyAlignment="1">
      <alignment horizontal="right"/>
    </xf>
    <xf numFmtId="0" fontId="18" fillId="3" borderId="8" xfId="0" applyFont="1" applyFill="1" applyBorder="1" applyAlignment="1">
      <alignment horizontal="center" vertical="center"/>
    </xf>
    <xf numFmtId="0" fontId="0" fillId="0" borderId="8" xfId="0" applyBorder="1" applyAlignment="1">
      <alignment vertical="center"/>
    </xf>
    <xf numFmtId="0" fontId="8" fillId="4" borderId="0" xfId="0" applyFont="1" applyFill="1">
      <alignment/>
    </xf>
    <xf numFmtId="0" fontId="3" fillId="4" borderId="0" xfId="0" applyFont="1" applyFill="1" applyAlignment="1">
      <alignment horizontal="center"/>
    </xf>
    <xf numFmtId="0" fontId="6" fillId="4" borderId="0" xfId="0" applyFont="1" applyFill="1" applyAlignment="1">
      <alignment horizontal="right"/>
    </xf>
    <xf numFmtId="0" fontId="0" fillId="0" borderId="0" xfId="0" applyAlignment="1">
      <alignment horizontal="right"/>
    </xf>
    <xf numFmtId="0" fontId="14" fillId="3" borderId="23" xfId="0" applyFont="1" applyFill="1" applyBorder="1" applyAlignment="1" applyProtection="1">
      <alignment horizontal="center" vertical="center" wrapText="1"/>
      <protection locked="0"/>
    </xf>
    <xf numFmtId="0" fontId="26" fillId="8" borderId="42" xfId="0" applyFont="1" applyFill="1" applyBorder="1" applyAlignment="1" applyProtection="1">
      <alignment horizontal="center" vertical="center" wrapText="1"/>
      <protection locked="0"/>
    </xf>
    <xf numFmtId="0" fontId="5" fillId="4" borderId="52" xfId="0" applyFont="1" applyFill="1" applyBorder="1" applyAlignment="1">
      <alignment vertical="center"/>
    </xf>
    <xf numFmtId="0" fontId="0" fillId="0" borderId="42" xfId="0" applyBorder="1">
      <alignment/>
    </xf>
    <xf numFmtId="0" fontId="6" fillId="4" borderId="77" xfId="0" applyFont="1" applyFill="1" applyBorder="1" applyAlignment="1">
      <alignment horizontal="center"/>
    </xf>
    <xf numFmtId="0" fontId="0" fillId="0" borderId="77" xfId="0" applyBorder="1" applyAlignment="1">
      <alignment horizontal="center"/>
    </xf>
    <xf numFmtId="0" fontId="8" fillId="4" borderId="21" xfId="0" applyFont="1" applyFill="1" applyBorder="1" applyAlignment="1">
      <alignment vertical="center" wrapText="1"/>
    </xf>
    <xf numFmtId="0" fontId="8" fillId="4" borderId="66" xfId="0" applyFont="1" applyFill="1" applyBorder="1" applyAlignment="1">
      <alignment vertical="center" wrapText="1"/>
    </xf>
    <xf numFmtId="3" fontId="5" fillId="3" borderId="32" xfId="0" applyNumberFormat="1" applyFont="1" applyFill="1" applyBorder="1" applyAlignment="1" applyProtection="1">
      <alignment horizontal="center" vertical="center"/>
      <protection locked="0"/>
    </xf>
    <xf numFmtId="0" fontId="0" fillId="0" borderId="66" xfId="0" applyBorder="1" applyAlignment="1">
      <alignment horizontal="center" vertical="center"/>
    </xf>
    <xf numFmtId="0" fontId="5" fillId="4" borderId="32" xfId="0" applyFont="1" applyFill="1" applyBorder="1" applyAlignment="1">
      <alignment vertical="center"/>
    </xf>
    <xf numFmtId="0" fontId="0" fillId="0" borderId="21" xfId="0" applyBorder="1">
      <alignment/>
    </xf>
    <xf numFmtId="0" fontId="0" fillId="0" borderId="5" xfId="0" applyBorder="1">
      <alignment/>
    </xf>
    <xf numFmtId="0" fontId="5" fillId="4" borderId="25" xfId="0" applyFont="1" applyFill="1" applyBorder="1" applyAlignment="1">
      <alignment vertical="center"/>
    </xf>
    <xf numFmtId="0" fontId="0" fillId="0" borderId="41" xfId="0" applyBorder="1">
      <alignment/>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6" fillId="4" borderId="77" xfId="0" applyFont="1" applyFill="1" applyBorder="1" applyAlignment="1">
      <alignment horizontal="center"/>
    </xf>
    <xf numFmtId="0" fontId="5" fillId="7" borderId="77" xfId="0" applyFont="1" applyFill="1" applyBorder="1" applyAlignment="1">
      <alignment horizontal="center"/>
    </xf>
    <xf numFmtId="0" fontId="5" fillId="0" borderId="77" xfId="0" applyFont="1" applyBorder="1" applyAlignment="1">
      <alignment horizontal="center"/>
    </xf>
    <xf numFmtId="0" fontId="8" fillId="17" borderId="23" xfId="0" applyFont="1" applyFill="1" applyBorder="1" applyAlignment="1">
      <alignment vertical="center" wrapText="1"/>
    </xf>
    <xf numFmtId="0" fontId="8" fillId="17" borderId="54" xfId="0" applyFont="1" applyFill="1" applyBorder="1" applyAlignment="1">
      <alignment vertical="center" wrapText="1"/>
    </xf>
    <xf numFmtId="4" fontId="5" fillId="3" borderId="32" xfId="0" applyNumberFormat="1" applyFont="1" applyFill="1" applyBorder="1" applyAlignment="1" applyProtection="1">
      <alignment horizontal="center" vertical="center"/>
      <protection locked="0"/>
    </xf>
    <xf numFmtId="4" fontId="0" fillId="0" borderId="66" xfId="0" applyNumberFormat="1" applyBorder="1" applyAlignment="1">
      <alignment horizontal="center" vertical="center"/>
    </xf>
    <xf numFmtId="4" fontId="5" fillId="3" borderId="25" xfId="0" applyNumberFormat="1" applyFont="1" applyFill="1" applyBorder="1" applyAlignment="1">
      <alignment horizontal="center" vertical="center"/>
    </xf>
    <xf numFmtId="4" fontId="5" fillId="3" borderId="64" xfId="0" applyNumberFormat="1" applyFont="1" applyFill="1" applyBorder="1" applyAlignment="1">
      <alignment horizontal="center" vertical="center"/>
    </xf>
    <xf numFmtId="3" fontId="5" fillId="3" borderId="25" xfId="0"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3" fontId="5" fillId="3" borderId="52" xfId="0" applyNumberFormat="1" applyFont="1" applyFill="1" applyBorder="1" applyAlignment="1">
      <alignment horizontal="center" vertical="center"/>
    </xf>
    <xf numFmtId="0" fontId="0" fillId="0" borderId="54" xfId="0" applyBorder="1" applyAlignment="1">
      <alignment horizontal="center" vertical="center"/>
    </xf>
    <xf numFmtId="0" fontId="6" fillId="7" borderId="77" xfId="0" applyFont="1" applyFill="1" applyBorder="1" applyAlignment="1">
      <alignment horizontal="center"/>
    </xf>
    <xf numFmtId="0" fontId="8" fillId="4" borderId="3" xfId="0" applyFont="1" applyFill="1" applyBorder="1" applyAlignment="1">
      <alignment vertical="center"/>
    </xf>
    <xf numFmtId="0" fontId="0" fillId="0" borderId="21" xfId="0" applyBorder="1" applyAlignment="1">
      <alignment vertical="center"/>
    </xf>
    <xf numFmtId="0" fontId="0" fillId="0" borderId="66" xfId="0" applyBorder="1" applyAlignment="1">
      <alignment vertical="center"/>
    </xf>
    <xf numFmtId="0" fontId="8" fillId="4" borderId="22" xfId="0" applyFont="1" applyFill="1" applyBorder="1" applyAlignment="1">
      <alignment vertical="center"/>
    </xf>
    <xf numFmtId="0" fontId="8" fillId="4" borderId="64" xfId="0" applyFont="1" applyFill="1" applyBorder="1" applyAlignment="1">
      <alignment vertical="center"/>
    </xf>
    <xf numFmtId="3" fontId="0" fillId="0" borderId="64" xfId="0" applyNumberFormat="1" applyBorder="1" applyAlignment="1" applyProtection="1">
      <alignment horizontal="center" vertical="center"/>
      <protection locked="0"/>
    </xf>
    <xf numFmtId="3" fontId="5" fillId="3" borderId="52" xfId="0" applyNumberFormat="1" applyFont="1" applyFill="1" applyBorder="1" applyAlignment="1" applyProtection="1">
      <alignment horizontal="center" vertical="center"/>
      <protection locked="0"/>
    </xf>
    <xf numFmtId="3" fontId="0" fillId="0" borderId="54" xfId="0" applyNumberFormat="1" applyBorder="1" applyAlignment="1" applyProtection="1">
      <alignment horizontal="center" vertical="center"/>
      <protection locked="0"/>
    </xf>
    <xf numFmtId="0" fontId="8" fillId="4" borderId="22" xfId="0" applyFont="1" applyFill="1" applyBorder="1" applyAlignment="1">
      <alignment vertical="center" wrapText="1"/>
    </xf>
    <xf numFmtId="0" fontId="0" fillId="0" borderId="22" xfId="0" applyBorder="1" applyAlignment="1">
      <alignment wrapText="1"/>
    </xf>
    <xf numFmtId="0" fontId="0" fillId="0" borderId="64" xfId="0" applyBorder="1" applyAlignment="1">
      <alignment wrapText="1"/>
    </xf>
    <xf numFmtId="0" fontId="8" fillId="4" borderId="22" xfId="0" applyFont="1" applyFill="1" applyBorder="1" applyAlignment="1">
      <alignment vertical="center"/>
    </xf>
    <xf numFmtId="0" fontId="0" fillId="0" borderId="64" xfId="0" applyBorder="1">
      <alignment/>
    </xf>
    <xf numFmtId="0" fontId="8" fillId="4" borderId="77" xfId="0" applyFont="1" applyFill="1" applyBorder="1" applyAlignment="1">
      <alignment horizontal="center" vertical="center"/>
    </xf>
    <xf numFmtId="0" fontId="0" fillId="0" borderId="77" xfId="0" applyBorder="1" applyAlignment="1">
      <alignment vertical="center"/>
    </xf>
    <xf numFmtId="0" fontId="0" fillId="0" borderId="22" xfId="0" applyBorder="1" applyAlignment="1">
      <alignment vertical="center" wrapText="1"/>
    </xf>
    <xf numFmtId="0" fontId="0" fillId="0" borderId="64" xfId="0" applyBorder="1" applyAlignment="1">
      <alignment vertical="center" wrapText="1"/>
    </xf>
    <xf numFmtId="3" fontId="5" fillId="3" borderId="32"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0" fontId="0" fillId="0" borderId="64" xfId="0" applyBorder="1" applyAlignment="1">
      <alignment vertical="center"/>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8" fillId="4" borderId="23" xfId="0" applyFont="1" applyFill="1" applyBorder="1" applyAlignment="1">
      <alignment vertical="center"/>
    </xf>
    <xf numFmtId="0" fontId="8" fillId="4" borderId="54" xfId="0" applyFont="1" applyFill="1" applyBorder="1" applyAlignment="1">
      <alignment vertical="center"/>
    </xf>
    <xf numFmtId="0" fontId="0" fillId="0" borderId="54" xfId="0" applyBorder="1" applyAlignment="1">
      <alignment vertical="center"/>
    </xf>
    <xf numFmtId="0" fontId="8" fillId="4" borderId="23" xfId="0" applyFont="1" applyFill="1" applyBorder="1" applyAlignment="1">
      <alignment vertical="center" wrapText="1"/>
    </xf>
    <xf numFmtId="0" fontId="8" fillId="4" borderId="54" xfId="0" applyFont="1" applyFill="1" applyBorder="1" applyAlignment="1">
      <alignment vertical="center" wrapText="1"/>
    </xf>
    <xf numFmtId="0" fontId="5" fillId="4" borderId="41" xfId="0" applyFont="1" applyFill="1" applyBorder="1" applyAlignment="1">
      <alignment vertical="center"/>
    </xf>
    <xf numFmtId="3" fontId="5" fillId="3" borderId="52"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0" fillId="0" borderId="54" xfId="0" applyNumberFormat="1" applyBorder="1" applyAlignment="1">
      <alignment horizontal="center"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4" xfId="0" applyNumberFormat="1" applyBorder="1" applyAlignment="1">
      <alignment horizontal="center"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4" xfId="0" applyNumberFormat="1" applyBorder="1" applyAlignment="1">
      <alignment horizontal="center" vertical="center"/>
    </xf>
    <xf numFmtId="0" fontId="0" fillId="0" borderId="41" xfId="0" applyBorder="1" applyAlignment="1">
      <alignment vertical="center"/>
    </xf>
    <xf numFmtId="0" fontId="5" fillId="4" borderId="25" xfId="0" applyFont="1" applyFill="1" applyBorder="1" applyAlignment="1">
      <alignment horizontal="center" vertical="center"/>
    </xf>
    <xf numFmtId="0" fontId="0" fillId="7" borderId="22" xfId="0" applyFill="1" applyBorder="1">
      <alignment/>
    </xf>
    <xf numFmtId="0" fontId="0" fillId="7" borderId="41" xfId="0" applyFill="1" applyBorder="1">
      <alignment/>
    </xf>
    <xf numFmtId="0" fontId="6" fillId="4" borderId="0" xfId="0" applyFont="1" applyFill="1" applyAlignment="1">
      <alignment horizont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32" xfId="0" applyNumberFormat="1" applyFont="1" applyFill="1" applyBorder="1" applyAlignment="1">
      <alignment horizontal="center" vertical="center"/>
    </xf>
    <xf numFmtId="3" fontId="5" fillId="3" borderId="21" xfId="0" applyNumberFormat="1" applyFont="1" applyFill="1" applyBorder="1" applyAlignment="1">
      <alignment horizontal="center" vertical="center"/>
    </xf>
    <xf numFmtId="3" fontId="0" fillId="0" borderId="66" xfId="0" applyNumberFormat="1" applyBorder="1" applyAlignment="1">
      <alignment horizontal="center" vertical="center"/>
    </xf>
    <xf numFmtId="0" fontId="8" fillId="4" borderId="23" xfId="0" applyFont="1" applyFill="1" applyBorder="1" applyAlignment="1">
      <alignment vertical="center" wrapText="1"/>
    </xf>
    <xf numFmtId="0" fontId="0" fillId="0" borderId="23" xfId="0" applyBorder="1" applyAlignment="1">
      <alignment wrapText="1"/>
    </xf>
    <xf numFmtId="0" fontId="0" fillId="0" borderId="54" xfId="0" applyBorder="1" applyAlignment="1">
      <alignment wrapText="1"/>
    </xf>
    <xf numFmtId="0" fontId="8" fillId="4" borderId="32" xfId="0" applyFont="1" applyFill="1" applyBorder="1" applyAlignment="1">
      <alignment horizontal="center" vertical="center"/>
    </xf>
    <xf numFmtId="0" fontId="0" fillId="0" borderId="5" xfId="0" applyBorder="1" applyAlignment="1">
      <alignment horizontal="center" vertical="center"/>
    </xf>
    <xf numFmtId="0" fontId="5" fillId="4" borderId="52" xfId="0" applyFont="1" applyFill="1" applyBorder="1" applyAlignment="1">
      <alignment horizontal="center" vertical="center"/>
    </xf>
    <xf numFmtId="0" fontId="0" fillId="7" borderId="23" xfId="0" applyFill="1" applyBorder="1">
      <alignment/>
    </xf>
    <xf numFmtId="0" fontId="0" fillId="7" borderId="42" xfId="0" applyFill="1" applyBorder="1">
      <alignment/>
    </xf>
    <xf numFmtId="0" fontId="5" fillId="4" borderId="32" xfId="0" applyFont="1" applyFill="1" applyBorder="1" applyAlignment="1">
      <alignment horizontal="center" vertical="center"/>
    </xf>
    <xf numFmtId="0" fontId="0" fillId="7" borderId="21" xfId="0" applyFill="1" applyBorder="1">
      <alignment/>
    </xf>
    <xf numFmtId="0" fontId="0" fillId="7" borderId="5" xfId="0" applyFill="1" applyBorder="1">
      <alignment/>
    </xf>
    <xf numFmtId="0" fontId="13" fillId="4" borderId="0" xfId="0" applyFont="1" applyFill="1" applyAlignment="1">
      <alignment horizontal="left"/>
    </xf>
    <xf numFmtId="0" fontId="26" fillId="7" borderId="0" xfId="0" applyFont="1" applyFill="1" applyAlignment="1">
      <alignment horizontal="left"/>
    </xf>
    <xf numFmtId="0" fontId="26" fillId="0" borderId="0" xfId="0" applyFont="1" applyAlignment="1">
      <alignment horizontal="left"/>
    </xf>
    <xf numFmtId="0" fontId="8" fillId="4" borderId="21" xfId="0" applyFont="1" applyFill="1" applyBorder="1" applyAlignment="1">
      <alignment vertical="center" wrapText="1"/>
    </xf>
    <xf numFmtId="0" fontId="0" fillId="0" borderId="21" xfId="0" applyBorder="1" applyAlignment="1">
      <alignment vertical="center" wrapText="1"/>
    </xf>
    <xf numFmtId="0" fontId="0" fillId="0" borderId="66" xfId="0" applyBorder="1" applyAlignment="1">
      <alignment vertical="center" wrapText="1"/>
    </xf>
    <xf numFmtId="0" fontId="8" fillId="4" borderId="3" xfId="0" applyFont="1" applyFill="1" applyBorder="1" applyAlignment="1">
      <alignment horizontal="center"/>
    </xf>
    <xf numFmtId="0" fontId="8" fillId="4" borderId="21" xfId="0" applyFont="1" applyFill="1" applyBorder="1" applyAlignment="1">
      <alignment horizontal="center"/>
    </xf>
    <xf numFmtId="0" fontId="8" fillId="4" borderId="66" xfId="0" applyFont="1" applyFill="1" applyBorder="1" applyAlignment="1">
      <alignment horizontal="center"/>
    </xf>
    <xf numFmtId="0" fontId="8" fillId="4" borderId="26" xfId="0" applyFont="1" applyFill="1" applyBorder="1" applyAlignment="1">
      <alignment horizontal="center"/>
    </xf>
    <xf numFmtId="0" fontId="8" fillId="4" borderId="35" xfId="0" applyFont="1" applyFill="1" applyBorder="1" applyAlignment="1">
      <alignment horizontal="center"/>
    </xf>
    <xf numFmtId="3" fontId="5" fillId="3" borderId="52" xfId="0" applyNumberFormat="1"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0" fontId="8" fillId="4" borderId="15" xfId="0" applyFont="1" applyFill="1" applyBorder="1" applyAlignment="1">
      <alignment vertical="center" wrapText="1"/>
    </xf>
    <xf numFmtId="0" fontId="0" fillId="0" borderId="53" xfId="0" applyBorder="1" applyAlignment="1">
      <alignment vertical="center" wrapText="1"/>
    </xf>
    <xf numFmtId="0" fontId="0" fillId="0" borderId="38" xfId="0"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53" xfId="0" applyBorder="1" applyAlignment="1" applyProtection="1">
      <alignment vertical="center"/>
      <protection locked="0"/>
    </xf>
    <xf numFmtId="0" fontId="8" fillId="4" borderId="38" xfId="0" applyFont="1" applyFill="1" applyBorder="1" applyAlignment="1">
      <alignment horizontal="center" vertical="center"/>
    </xf>
    <xf numFmtId="0" fontId="8" fillId="4" borderId="53" xfId="0" applyFont="1" applyFill="1" applyBorder="1" applyAlignment="1">
      <alignment horizontal="center" vertical="center"/>
    </xf>
    <xf numFmtId="49" fontId="5" fillId="3" borderId="38"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7" fillId="4" borderId="19" xfId="0" applyFont="1" applyFill="1" applyBorder="1">
      <alignment/>
    </xf>
    <xf numFmtId="0" fontId="0" fillId="0" borderId="19" xfId="0" applyBorder="1">
      <alignment/>
    </xf>
    <xf numFmtId="0" fontId="5" fillId="3" borderId="8" xfId="0" applyFont="1" applyFill="1" applyBorder="1" applyAlignment="1" applyProtection="1">
      <alignment vertical="center"/>
      <protection locked="0"/>
    </xf>
    <xf numFmtId="0" fontId="0" fillId="0" borderId="8" xfId="0" applyBorder="1" applyAlignment="1" applyProtection="1">
      <alignment vertical="center"/>
      <protection locked="0"/>
    </xf>
    <xf numFmtId="0" fontId="8" fillId="4" borderId="8" xfId="0" applyFont="1" applyFill="1" applyBorder="1" applyAlignment="1">
      <alignment horizontal="center" vertical="center"/>
    </xf>
    <xf numFmtId="0" fontId="8" fillId="4" borderId="8" xfId="0" applyFont="1" applyFill="1" applyBorder="1" applyAlignment="1">
      <alignment horizontal="center"/>
    </xf>
    <xf numFmtId="0" fontId="8" fillId="4" borderId="25" xfId="0" applyFont="1" applyFill="1" applyBorder="1" applyAlignment="1">
      <alignment horizontal="center"/>
    </xf>
    <xf numFmtId="0" fontId="0" fillId="0" borderId="1" xfId="0" applyBorder="1">
      <alignment/>
    </xf>
    <xf numFmtId="0" fontId="8" fillId="4" borderId="32" xfId="0" applyFont="1" applyFill="1" applyBorder="1" applyAlignment="1">
      <alignment horizontal="center"/>
    </xf>
    <xf numFmtId="0" fontId="0" fillId="0" borderId="35" xfId="0" applyBorder="1">
      <alignment/>
    </xf>
    <xf numFmtId="0" fontId="6" fillId="4" borderId="19" xfId="0" applyFont="1" applyFill="1" applyBorder="1" applyAlignment="1">
      <alignment horizontal="center"/>
    </xf>
    <xf numFmtId="0" fontId="0" fillId="0" borderId="19" xfId="0" applyBorder="1" applyAlignment="1">
      <alignment horizontal="center"/>
    </xf>
    <xf numFmtId="0" fontId="8" fillId="17" borderId="23" xfId="0" applyFont="1" applyFill="1" applyBorder="1" applyAlignment="1">
      <alignment vertical="center" wrapText="1"/>
    </xf>
    <xf numFmtId="0" fontId="8" fillId="17" borderId="54" xfId="0" applyFont="1" applyFill="1" applyBorder="1" applyAlignment="1">
      <alignment vertical="center"/>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8" fillId="4" borderId="8" xfId="0" applyFont="1" applyFill="1" applyBorder="1" applyAlignment="1">
      <alignment horizontal="center"/>
    </xf>
    <xf numFmtId="0" fontId="8" fillId="4" borderId="25" xfId="0" applyFont="1" applyFill="1" applyBorder="1" applyAlignment="1">
      <alignment horizont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4" xfId="0" applyNumberFormat="1" applyFont="1" applyFill="1" applyBorder="1" applyAlignment="1" applyProtection="1">
      <alignment horizontal="center" vertical="center"/>
      <protection locked="0"/>
    </xf>
    <xf numFmtId="3" fontId="5" fillId="3" borderId="54" xfId="0" applyNumberFormat="1" applyFont="1" applyFill="1" applyBorder="1" applyAlignment="1">
      <alignment horizontal="center" vertical="center"/>
    </xf>
    <xf numFmtId="3" fontId="5" fillId="3" borderId="32" xfId="0" applyNumberFormat="1" applyFont="1" applyFill="1" applyBorder="1" applyAlignment="1" applyProtection="1">
      <alignment horizontal="center" vertical="center"/>
      <protection locked="0"/>
    </xf>
    <xf numFmtId="3" fontId="5" fillId="3" borderId="21" xfId="0" applyNumberFormat="1" applyFont="1" applyFill="1" applyBorder="1" applyAlignment="1" applyProtection="1">
      <alignment horizontal="center" vertical="center"/>
      <protection locked="0"/>
    </xf>
    <xf numFmtId="3" fontId="5" fillId="3" borderId="66" xfId="0" applyNumberFormat="1" applyFont="1" applyFill="1" applyBorder="1" applyAlignment="1" applyProtection="1">
      <alignment horizontal="center" vertical="center"/>
      <protection locked="0"/>
    </xf>
    <xf numFmtId="3" fontId="5" fillId="3" borderId="54"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shrinkToFit="1"/>
    </xf>
    <xf numFmtId="0" fontId="8" fillId="4" borderId="66" xfId="0" applyFont="1" applyFill="1" applyBorder="1" applyAlignment="1">
      <alignment vertical="center" wrapText="1" shrinkToFit="1"/>
    </xf>
    <xf numFmtId="0" fontId="8" fillId="4" borderId="2" xfId="0" applyFont="1" applyFill="1" applyBorder="1" applyAlignment="1">
      <alignment horizontal="center"/>
    </xf>
    <xf numFmtId="0" fontId="8" fillId="4" borderId="52" xfId="0" applyFont="1" applyFill="1" applyBorder="1" applyAlignment="1">
      <alignment horizontal="center"/>
    </xf>
    <xf numFmtId="0" fontId="0" fillId="0" borderId="7" xfId="0" applyBorder="1">
      <alignment/>
    </xf>
    <xf numFmtId="0" fontId="5" fillId="4" borderId="22" xfId="0" applyFont="1" applyFill="1" applyBorder="1" applyAlignment="1">
      <alignment vertical="center"/>
    </xf>
    <xf numFmtId="0" fontId="0" fillId="7" borderId="41" xfId="0" applyFill="1" applyBorder="1" applyAlignment="1">
      <alignment vertical="center"/>
    </xf>
    <xf numFmtId="3" fontId="5" fillId="3" borderId="22" xfId="0" applyNumberFormat="1" applyFont="1" applyFill="1" applyBorder="1" applyAlignment="1">
      <alignment horizontal="center" vertical="center"/>
    </xf>
    <xf numFmtId="3" fontId="5" fillId="3" borderId="64" xfId="0" applyNumberFormat="1" applyFont="1" applyFill="1" applyBorder="1" applyAlignment="1">
      <alignment horizontal="center" vertical="center"/>
    </xf>
    <xf numFmtId="0" fontId="11" fillId="7" borderId="32" xfId="0" applyFont="1" applyFill="1" applyBorder="1" applyAlignment="1">
      <alignment horizontal="center" vertical="center" wrapText="1"/>
    </xf>
    <xf numFmtId="0" fontId="0" fillId="0" borderId="66" xfId="0" applyBorder="1" applyAlignment="1">
      <alignment horizontal="center" vertical="center" wrapText="1"/>
    </xf>
    <xf numFmtId="49" fontId="5" fillId="4" borderId="2" xfId="0" applyNumberFormat="1" applyFont="1" applyFill="1" applyBorder="1" applyAlignment="1">
      <alignment horizontal="center" vertical="center"/>
    </xf>
    <xf numFmtId="0" fontId="0" fillId="0" borderId="5" xfId="0" applyBorder="1" applyAlignment="1">
      <alignment horizontal="center" vertical="center" wrapText="1"/>
    </xf>
    <xf numFmtId="0" fontId="11" fillId="7" borderId="25" xfId="0" applyFont="1" applyFill="1" applyBorder="1" applyAlignment="1">
      <alignment horizontal="center" vertical="center"/>
    </xf>
    <xf numFmtId="0" fontId="0" fillId="0" borderId="64" xfId="0" applyBorder="1" applyAlignment="1">
      <alignment horizontal="center" vertical="center"/>
    </xf>
    <xf numFmtId="3" fontId="5" fillId="3" borderId="23"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5" fillId="4" borderId="2" xfId="0" applyFont="1" applyFill="1" applyBorder="1" applyAlignment="1">
      <alignment vertical="center"/>
    </xf>
    <xf numFmtId="0" fontId="0" fillId="7" borderId="2" xfId="0" applyFill="1" applyBorder="1" applyAlignment="1">
      <alignment vertical="center"/>
    </xf>
    <xf numFmtId="49" fontId="5" fillId="3" borderId="8" xfId="0" applyNumberFormat="1" applyFont="1" applyFill="1" applyBorder="1" applyAlignment="1" applyProtection="1">
      <alignment horizontal="center" vertical="center"/>
      <protection locked="0"/>
    </xf>
    <xf numFmtId="0" fontId="8" fillId="4" borderId="66" xfId="0" applyFont="1" applyFill="1" applyBorder="1" applyAlignment="1">
      <alignment vertical="center" wrapText="1"/>
    </xf>
    <xf numFmtId="0" fontId="8" fillId="4" borderId="22" xfId="0" applyFont="1" applyFill="1" applyBorder="1" applyAlignment="1">
      <alignment vertical="center" wrapText="1" shrinkToFit="1"/>
    </xf>
    <xf numFmtId="0" fontId="8" fillId="4" borderId="64" xfId="0" applyFont="1" applyFill="1" applyBorder="1" applyAlignment="1">
      <alignment vertical="center" wrapText="1" shrinkToFit="1"/>
    </xf>
    <xf numFmtId="0" fontId="8" fillId="4" borderId="79" xfId="0" applyFont="1" applyFill="1" applyBorder="1" applyAlignment="1">
      <alignment horizontal="center" vertical="center"/>
    </xf>
    <xf numFmtId="0" fontId="0" fillId="0" borderId="78" xfId="0" applyBorder="1" applyAlignment="1">
      <alignment horizontal="center" vertical="center"/>
    </xf>
    <xf numFmtId="0" fontId="0" fillId="0" borderId="56" xfId="0" applyBorder="1" applyAlignment="1">
      <alignment horizontal="center" vertical="center"/>
    </xf>
    <xf numFmtId="0" fontId="0" fillId="0" borderId="76" xfId="0" applyBorder="1" applyAlignment="1">
      <alignment horizontal="center" vertical="center"/>
    </xf>
    <xf numFmtId="0" fontId="8" fillId="17" borderId="2" xfId="0" applyFont="1" applyFill="1" applyBorder="1" applyAlignment="1">
      <alignment horizontal="center"/>
    </xf>
    <xf numFmtId="0" fontId="8" fillId="17" borderId="52" xfId="0" applyFont="1" applyFill="1" applyBorder="1" applyAlignment="1">
      <alignment horizontal="center"/>
    </xf>
    <xf numFmtId="0" fontId="0" fillId="20" borderId="7" xfId="0" applyFill="1" applyBorder="1">
      <alignment/>
    </xf>
    <xf numFmtId="0" fontId="8" fillId="4" borderId="54" xfId="0" applyFont="1" applyFill="1" applyBorder="1" applyAlignment="1">
      <alignment vertical="center"/>
    </xf>
    <xf numFmtId="0" fontId="5" fillId="4" borderId="23" xfId="0" applyFont="1" applyFill="1" applyBorder="1" applyAlignment="1">
      <alignment vertical="center"/>
    </xf>
    <xf numFmtId="0" fontId="0" fillId="7" borderId="42" xfId="0" applyFill="1" applyBorder="1" applyAlignment="1">
      <alignment vertical="center"/>
    </xf>
    <xf numFmtId="3" fontId="5" fillId="3" borderId="64" xfId="0" applyNumberFormat="1" applyFont="1" applyFill="1" applyBorder="1" applyAlignment="1" applyProtection="1">
      <alignment horizontal="center" vertical="center"/>
      <protection locked="0"/>
    </xf>
    <xf numFmtId="0" fontId="8" fillId="4" borderId="21" xfId="0" applyFont="1" applyFill="1" applyBorder="1" applyAlignment="1">
      <alignment horizontal="center" vertical="center"/>
    </xf>
    <xf numFmtId="3" fontId="5" fillId="3" borderId="22" xfId="0" applyNumberFormat="1" applyFont="1" applyFill="1" applyBorder="1" applyAlignment="1" applyProtection="1">
      <alignment horizontal="center" vertical="center"/>
      <protection locked="0"/>
    </xf>
    <xf numFmtId="3" fontId="5" fillId="3" borderId="64"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4" xfId="0" applyNumberFormat="1" applyFont="1" applyFill="1" applyBorder="1" applyAlignment="1" applyProtection="1">
      <alignment horizontal="center" vertical="center"/>
      <protection locked="0"/>
    </xf>
    <xf numFmtId="0" fontId="8" fillId="4" borderId="64" xfId="0" applyFont="1" applyFill="1" applyBorder="1" applyAlignment="1">
      <alignment vertical="center"/>
    </xf>
    <xf numFmtId="0" fontId="8" fillId="4" borderId="64" xfId="0" applyFont="1" applyFill="1" applyBorder="1" applyAlignment="1">
      <alignment vertical="center" wrapText="1"/>
    </xf>
    <xf numFmtId="0" fontId="8" fillId="4" borderId="23" xfId="0" applyFont="1" applyFill="1" applyBorder="1" applyAlignment="1">
      <alignment vertical="center" wrapText="1" shrinkToFit="1"/>
    </xf>
    <xf numFmtId="0" fontId="8" fillId="4" borderId="54" xfId="0" applyFont="1" applyFill="1" applyBorder="1" applyAlignment="1">
      <alignment vertical="center" wrapText="1" shrinkToFit="1"/>
    </xf>
    <xf numFmtId="0" fontId="7" fillId="4" borderId="0" xfId="0" applyFont="1" applyFill="1" applyAlignment="1">
      <alignment horizontal="left"/>
    </xf>
    <xf numFmtId="0" fontId="11" fillId="0" borderId="0" xfId="0" applyFont="1" applyAlignment="1">
      <alignment horizontal="left"/>
    </xf>
    <xf numFmtId="0" fontId="0" fillId="0" borderId="8" xfId="0" applyBorder="1" applyAlignment="1">
      <alignment horizontal="center" vertical="center"/>
    </xf>
    <xf numFmtId="0" fontId="8" fillId="4" borderId="71" xfId="0" applyFont="1" applyFill="1" applyBorder="1" applyAlignment="1">
      <alignment horizontal="center" vertical="center"/>
    </xf>
    <xf numFmtId="0" fontId="8" fillId="4" borderId="80" xfId="0" applyFont="1" applyFill="1" applyBorder="1" applyAlignment="1">
      <alignment horizontal="center" vertical="center"/>
    </xf>
    <xf numFmtId="0" fontId="0" fillId="0" borderId="29" xfId="0" applyBorder="1" applyAlignment="1">
      <alignment horizontal="center" vertical="center"/>
    </xf>
    <xf numFmtId="0" fontId="0" fillId="0" borderId="41" xfId="0" applyBorder="1" applyAlignment="1">
      <alignment horizontal="center" vertical="center"/>
    </xf>
    <xf numFmtId="0" fontId="8" fillId="4" borderId="78" xfId="0" applyFont="1" applyFill="1" applyBorder="1" applyAlignment="1">
      <alignment horizontal="center" vertical="center"/>
    </xf>
    <xf numFmtId="3" fontId="5" fillId="3" borderId="64" xfId="0" applyNumberFormat="1"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pplyProtection="1">
      <alignment horizontal="center" vertical="center"/>
      <protection locked="0"/>
    </xf>
    <xf numFmtId="0" fontId="8" fillId="4" borderId="19" xfId="0" applyFont="1" applyFill="1" applyBorder="1" applyAlignment="1">
      <alignment horizontal="center" vertical="center"/>
    </xf>
    <xf numFmtId="0" fontId="0" fillId="0" borderId="8" xfId="0" applyBorder="1" applyAlignment="1" applyProtection="1">
      <alignment horizontal="center" vertical="center"/>
      <protection locked="0"/>
    </xf>
    <xf numFmtId="0" fontId="8" fillId="17" borderId="22" xfId="0" applyFont="1" applyFill="1" applyBorder="1" applyAlignment="1">
      <alignment vertical="center"/>
    </xf>
    <xf numFmtId="0" fontId="8" fillId="17" borderId="64" xfId="0" applyFont="1" applyFill="1" applyBorder="1" applyAlignment="1">
      <alignment vertical="center"/>
    </xf>
    <xf numFmtId="0" fontId="8" fillId="17" borderId="8" xfId="0" applyFont="1" applyFill="1" applyBorder="1" applyAlignment="1">
      <alignment horizontal="center"/>
    </xf>
    <xf numFmtId="0" fontId="8" fillId="17" borderId="25" xfId="0" applyFont="1" applyFill="1" applyBorder="1" applyAlignment="1">
      <alignment horizontal="center"/>
    </xf>
    <xf numFmtId="0" fontId="0" fillId="20" borderId="1" xfId="0" applyFill="1" applyBorder="1">
      <alignment/>
    </xf>
    <xf numFmtId="0" fontId="8" fillId="4" borderId="6" xfId="0" applyFont="1" applyFill="1" applyBorder="1" applyAlignment="1">
      <alignment vertical="center" wrapText="1" shrinkToFit="1"/>
    </xf>
    <xf numFmtId="0" fontId="11" fillId="0" borderId="22" xfId="0" applyFont="1" applyBorder="1" applyAlignment="1">
      <alignment vertical="center" wrapText="1" shrinkToFit="1"/>
    </xf>
    <xf numFmtId="0" fontId="11" fillId="0" borderId="22" xfId="0" applyFont="1" applyBorder="1" applyAlignment="1">
      <alignment vertical="center"/>
    </xf>
    <xf numFmtId="0" fontId="11" fillId="0" borderId="64" xfId="0" applyFont="1" applyBorder="1" applyAlignment="1">
      <alignment vertical="center"/>
    </xf>
    <xf numFmtId="0" fontId="14" fillId="3" borderId="18" xfId="0" applyFont="1" applyFill="1" applyBorder="1">
      <alignment/>
    </xf>
    <xf numFmtId="0" fontId="0" fillId="8" borderId="0" xfId="0" applyFill="1">
      <alignment/>
    </xf>
    <xf numFmtId="0" fontId="0" fillId="8" borderId="31" xfId="0" applyFill="1" applyBorder="1">
      <alignment/>
    </xf>
    <xf numFmtId="0" fontId="0" fillId="8" borderId="63" xfId="0" applyFill="1" applyBorder="1" applyAlignment="1" applyProtection="1">
      <alignment horizontal="center"/>
      <protection locked="0"/>
    </xf>
    <xf numFmtId="0" fontId="6" fillId="3" borderId="81" xfId="0" applyFont="1" applyFill="1" applyBorder="1" applyAlignment="1">
      <alignment horizontal="center"/>
    </xf>
    <xf numFmtId="0" fontId="0" fillId="8" borderId="77" xfId="0" applyFill="1" applyBorder="1" applyAlignment="1">
      <alignment horizontal="center"/>
    </xf>
    <xf numFmtId="0" fontId="0" fillId="8" borderId="82" xfId="0" applyFill="1" applyBorder="1" applyAlignment="1">
      <alignment horizontal="center"/>
    </xf>
    <xf numFmtId="0" fontId="20" fillId="4" borderId="0" xfId="0" applyFont="1" applyFill="1" applyAlignment="1">
      <alignment vertical="center" wrapText="1"/>
    </xf>
    <xf numFmtId="0" fontId="20" fillId="0" borderId="0" xfId="0" applyFont="1" applyAlignment="1">
      <alignment vertical="center" wrapText="1"/>
    </xf>
    <xf numFmtId="0" fontId="8" fillId="4" borderId="74" xfId="0" applyFont="1" applyFill="1" applyBorder="1" applyAlignment="1">
      <alignment horizontal="center"/>
    </xf>
    <xf numFmtId="0" fontId="0" fillId="0" borderId="33" xfId="0" applyBorder="1">
      <alignment/>
    </xf>
    <xf numFmtId="0" fontId="0" fillId="0" borderId="36" xfId="0" applyBorder="1">
      <alignment/>
    </xf>
    <xf numFmtId="0" fontId="0" fillId="7" borderId="39" xfId="0" applyFill="1" applyBorder="1" applyAlignment="1">
      <alignment horizontal="center"/>
    </xf>
    <xf numFmtId="0" fontId="0" fillId="0" borderId="63" xfId="0" applyBorder="1" applyProtection="1">
      <alignment/>
      <protection locked="0"/>
    </xf>
    <xf numFmtId="0" fontId="0" fillId="8" borderId="63" xfId="0" applyFill="1" applyBorder="1" applyProtection="1">
      <alignment/>
      <protection locked="0"/>
    </xf>
    <xf numFmtId="0" fontId="0" fillId="7" borderId="39" xfId="0" applyFill="1" applyBorder="1">
      <alignment/>
    </xf>
    <xf numFmtId="0" fontId="13" fillId="4" borderId="0" xfId="0" applyFont="1" applyFill="1">
      <alignment/>
    </xf>
    <xf numFmtId="0" fontId="9" fillId="4" borderId="83" xfId="0" applyFont="1" applyFill="1" applyBorder="1">
      <alignment/>
    </xf>
    <xf numFmtId="0" fontId="0" fillId="0" borderId="84" xfId="0" applyBorder="1">
      <alignment/>
    </xf>
    <xf numFmtId="0" fontId="0" fillId="8" borderId="74" xfId="0" applyFill="1" applyBorder="1" applyAlignment="1" applyProtection="1">
      <alignment vertical="center"/>
      <protection locked="0"/>
    </xf>
    <xf numFmtId="0" fontId="0" fillId="8" borderId="24" xfId="0" applyFill="1" applyBorder="1" applyAlignment="1" applyProtection="1">
      <alignment vertical="center"/>
      <protection locked="0"/>
    </xf>
    <xf numFmtId="0" fontId="0" fillId="8" borderId="85" xfId="0" applyFill="1" applyBorder="1" applyAlignment="1" applyProtection="1">
      <alignment vertical="center"/>
      <protection locked="0"/>
    </xf>
    <xf numFmtId="0" fontId="0" fillId="8" borderId="56" xfId="0" applyFill="1" applyBorder="1" applyAlignment="1" applyProtection="1">
      <alignment vertical="center"/>
      <protection locked="0"/>
    </xf>
    <xf numFmtId="0" fontId="0" fillId="8" borderId="62" xfId="0" applyFill="1" applyBorder="1" applyAlignment="1" applyProtection="1">
      <alignment vertical="center"/>
      <protection locked="0"/>
    </xf>
    <xf numFmtId="0" fontId="0" fillId="8" borderId="86" xfId="0" applyFill="1" applyBorder="1" applyAlignment="1" applyProtection="1">
      <alignment vertical="center"/>
      <protection locked="0"/>
    </xf>
    <xf numFmtId="0" fontId="11" fillId="8" borderId="0" xfId="0" applyFont="1" applyFill="1" applyAlignment="1" applyProtection="1">
      <alignment horizontal="center" vertical="center"/>
      <protection locked="0"/>
    </xf>
    <xf numFmtId="0" fontId="14" fillId="4" borderId="18" xfId="0" applyFont="1" applyFill="1" applyBorder="1" applyAlignment="1">
      <alignment horizontal="left" vertical="center"/>
    </xf>
    <xf numFmtId="0" fontId="26" fillId="0" borderId="0" xfId="0" applyFont="1" applyAlignment="1">
      <alignment horizontal="left" vertical="center"/>
    </xf>
    <xf numFmtId="0" fontId="26" fillId="0" borderId="31" xfId="0" applyFont="1" applyBorder="1" applyAlignment="1">
      <alignment horizontal="left" vertical="center"/>
    </xf>
    <xf numFmtId="0" fontId="26" fillId="7" borderId="77"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5" fillId="0" borderId="6"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6" fillId="4" borderId="0" xfId="0" applyFont="1" applyFill="1">
      <alignment/>
    </xf>
    <xf numFmtId="0" fontId="3" fillId="0" borderId="0" xfId="0" applyFont="1">
      <alignment/>
    </xf>
    <xf numFmtId="0" fontId="14" fillId="4" borderId="0" xfId="0" applyFont="1" applyFill="1" applyAlignment="1">
      <alignment vertical="center" wrapText="1"/>
    </xf>
    <xf numFmtId="0" fontId="26" fillId="0" borderId="0" xfId="0" applyFont="1" applyAlignment="1">
      <alignment vertical="center" wrapText="1"/>
    </xf>
    <xf numFmtId="0" fontId="8" fillId="4" borderId="3" xfId="0" applyFont="1" applyFill="1" applyBorder="1" applyAlignment="1">
      <alignment vertical="center"/>
    </xf>
    <xf numFmtId="0" fontId="11" fillId="0" borderId="21" xfId="0" applyFont="1" applyBorder="1" applyAlignment="1">
      <alignment vertical="center"/>
    </xf>
    <xf numFmtId="0" fontId="11" fillId="0" borderId="66" xfId="0" applyFont="1" applyBorder="1" applyAlignment="1">
      <alignment vertical="center"/>
    </xf>
    <xf numFmtId="0" fontId="14" fillId="4" borderId="83" xfId="0" applyFont="1" applyFill="1" applyBorder="1" applyAlignment="1">
      <alignment horizontal="left" vertical="center"/>
    </xf>
    <xf numFmtId="0" fontId="26" fillId="0" borderId="39" xfId="0" applyFont="1" applyBorder="1" applyAlignment="1">
      <alignment horizontal="left" vertical="center"/>
    </xf>
    <xf numFmtId="0" fontId="26" fillId="0" borderId="84" xfId="0" applyFont="1" applyBorder="1" applyAlignment="1">
      <alignment horizontal="left" vertical="center"/>
    </xf>
    <xf numFmtId="0" fontId="13" fillId="4" borderId="18" xfId="0" applyFont="1" applyFill="1" applyBorder="1" applyAlignment="1">
      <alignment horizontal="left" vertical="center"/>
    </xf>
    <xf numFmtId="0" fontId="13" fillId="4" borderId="18" xfId="0" applyFont="1" applyFill="1" applyBorder="1" applyAlignment="1">
      <alignment vertical="center"/>
    </xf>
    <xf numFmtId="0" fontId="0" fillId="0" borderId="0" xfId="0" applyAlignment="1">
      <alignment vertical="center"/>
    </xf>
    <xf numFmtId="0" fontId="0" fillId="7" borderId="31" xfId="0" applyFill="1" applyBorder="1" applyAlignment="1">
      <alignment vertical="center"/>
    </xf>
    <xf numFmtId="0" fontId="13" fillId="4" borderId="81" xfId="0" applyFont="1" applyFill="1" applyBorder="1" applyAlignment="1">
      <alignment vertical="center"/>
    </xf>
    <xf numFmtId="0" fontId="3" fillId="7" borderId="0" xfId="0" applyFont="1" applyFill="1">
      <alignment/>
    </xf>
    <xf numFmtId="0" fontId="12" fillId="7" borderId="24" xfId="0" applyFont="1" applyFill="1" applyBorder="1" applyAlignment="1">
      <alignment horizontal="center"/>
    </xf>
    <xf numFmtId="0" fontId="0" fillId="7" borderId="24" xfId="0" applyFill="1" applyBorder="1" applyAlignment="1">
      <alignment horizontal="center"/>
    </xf>
    <xf numFmtId="0" fontId="0" fillId="7" borderId="24" xfId="0" applyFill="1" applyBorder="1">
      <alignment/>
    </xf>
    <xf numFmtId="0" fontId="22" fillId="4" borderId="0" xfId="0" applyFont="1" applyFill="1" applyAlignment="1">
      <alignment vertical="top" wrapText="1"/>
    </xf>
    <xf numFmtId="0" fontId="0" fillId="0" borderId="0" xfId="0" applyAlignment="1">
      <alignment vertical="top" wrapText="1"/>
    </xf>
    <xf numFmtId="0" fontId="22" fillId="4" borderId="0" xfId="0" applyFont="1" applyFill="1">
      <alignment/>
    </xf>
    <xf numFmtId="0" fontId="0" fillId="8" borderId="87" xfId="0" applyFill="1" applyBorder="1" applyAlignment="1" applyProtection="1">
      <alignment horizontal="center"/>
      <protection locked="0"/>
    </xf>
    <xf numFmtId="49" fontId="0" fillId="8" borderId="63" xfId="0" applyNumberFormat="1" applyFill="1" applyBorder="1" applyAlignment="1" applyProtection="1">
      <alignment horizontal="center"/>
      <protection locked="0"/>
    </xf>
    <xf numFmtId="3" fontId="0" fillId="8" borderId="63" xfId="0" applyNumberFormat="1" applyFill="1" applyBorder="1" applyAlignment="1" applyProtection="1">
      <alignment horizontal="center"/>
      <protection locked="0"/>
    </xf>
    <xf numFmtId="0" fontId="0" fillId="8" borderId="88" xfId="0" applyFill="1" applyBorder="1" applyProtection="1">
      <alignment/>
      <protection locked="0"/>
    </xf>
    <xf numFmtId="0" fontId="0" fillId="8" borderId="88" xfId="0" applyFill="1" applyBorder="1" applyAlignment="1" applyProtection="1">
      <alignment horizontal="center"/>
      <protection locked="0"/>
    </xf>
    <xf numFmtId="49" fontId="0" fillId="8" borderId="0" xfId="0" applyNumberFormat="1" applyFont="1" applyFill="1" applyAlignment="1">
      <alignment horizontal="left"/>
    </xf>
    <xf numFmtId="0" fontId="5" fillId="3" borderId="83" xfId="0" applyFont="1" applyFill="1" applyBorder="1" applyAlignment="1" applyProtection="1">
      <alignment horizontal="right" vertical="center"/>
      <protection locked="0"/>
    </xf>
    <xf numFmtId="0" fontId="0" fillId="0" borderId="39" xfId="0" applyFont="1" applyBorder="1" applyAlignment="1" applyProtection="1">
      <alignment horizontal="right" vertical="center"/>
      <protection locked="0"/>
    </xf>
    <xf numFmtId="0" fontId="11" fillId="0" borderId="39" xfId="0" applyFont="1" applyBorder="1" applyAlignment="1">
      <alignment horizontal="right" wrapText="1"/>
    </xf>
    <xf numFmtId="0" fontId="0" fillId="0" borderId="39" xfId="0" applyBorder="1" applyAlignment="1">
      <alignment horizontal="right" wrapText="1"/>
    </xf>
    <xf numFmtId="0" fontId="11" fillId="0" borderId="89" xfId="0" applyFont="1" applyBorder="1" applyAlignment="1" applyProtection="1">
      <alignment wrapText="1"/>
      <protection locked="0"/>
    </xf>
    <xf numFmtId="0" fontId="0" fillId="0" borderId="90" xfId="0" applyBorder="1" applyProtection="1">
      <alignment/>
      <protection locked="0"/>
    </xf>
    <xf numFmtId="0" fontId="0" fillId="0" borderId="91" xfId="0" applyBorder="1" applyProtection="1">
      <alignment/>
      <protection locked="0"/>
    </xf>
    <xf numFmtId="0" fontId="22" fillId="4" borderId="0" xfId="0" applyFont="1" applyFill="1" applyAlignment="1">
      <alignment vertical="top" wrapText="1"/>
    </xf>
    <xf numFmtId="0" fontId="20" fillId="0" borderId="0" xfId="0" applyFont="1" applyAlignment="1">
      <alignment vertical="top" wrapText="1"/>
    </xf>
    <xf numFmtId="0" fontId="0" fillId="7" borderId="77" xfId="0" applyFill="1" applyBorder="1" applyAlignment="1">
      <alignment vertical="center"/>
    </xf>
    <xf numFmtId="0" fontId="0" fillId="7" borderId="82" xfId="0" applyFill="1" applyBorder="1" applyAlignment="1">
      <alignment vertical="center"/>
    </xf>
    <xf numFmtId="0" fontId="11"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31" xfId="0" applyFill="1" applyBorder="1" applyAlignment="1">
      <alignment horizontal="center" vertical="center" wrapText="1"/>
    </xf>
    <xf numFmtId="0" fontId="8" fillId="3" borderId="34" xfId="0" applyFont="1" applyFill="1" applyBorder="1">
      <alignment/>
    </xf>
    <xf numFmtId="0" fontId="11" fillId="8" borderId="62" xfId="0" applyFont="1" applyFill="1" applyBorder="1">
      <alignment/>
    </xf>
    <xf numFmtId="0" fontId="14" fillId="4" borderId="0" xfId="0" applyFont="1" applyFill="1" applyAlignment="1">
      <alignment horizontal="left" vertical="center"/>
    </xf>
    <xf numFmtId="0" fontId="13" fillId="3" borderId="81" xfId="0" applyFont="1" applyFill="1" applyBorder="1" applyAlignment="1">
      <alignment horizontal="left" vertical="center"/>
    </xf>
    <xf numFmtId="0" fontId="50" fillId="8" borderId="77" xfId="0" applyFont="1" applyFill="1" applyBorder="1" applyAlignment="1">
      <alignment horizontal="left" vertical="center"/>
    </xf>
    <xf numFmtId="0" fontId="50" fillId="8" borderId="82" xfId="0" applyFont="1" applyFill="1" applyBorder="1" applyAlignment="1">
      <alignment horizontal="left" vertical="center"/>
    </xf>
    <xf numFmtId="14" fontId="5" fillId="3" borderId="14" xfId="0" applyNumberFormat="1" applyFont="1" applyFill="1" applyBorder="1" applyAlignment="1">
      <alignment horizontal="center" vertical="center"/>
    </xf>
    <xf numFmtId="0" fontId="0" fillId="3" borderId="24" xfId="0" applyFill="1" applyBorder="1" applyAlignment="1">
      <alignment horizontal="center" vertical="center"/>
    </xf>
    <xf numFmtId="14" fontId="5" fillId="3" borderId="6" xfId="0" applyNumberFormat="1" applyFont="1" applyFill="1" applyBorder="1" applyAlignment="1" applyProtection="1">
      <alignment horizontal="center" vertical="center"/>
      <protection locked="0"/>
    </xf>
    <xf numFmtId="0" fontId="0" fillId="3" borderId="64" xfId="0" applyFont="1" applyFill="1" applyBorder="1" applyAlignment="1" applyProtection="1">
      <alignment horizontal="center" vertical="center"/>
      <protection locked="0"/>
    </xf>
    <xf numFmtId="0" fontId="8" fillId="4" borderId="4" xfId="0" applyFont="1" applyFill="1" applyBorder="1" applyAlignment="1">
      <alignment vertical="center" wrapText="1" shrinkToFit="1"/>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54" xfId="0" applyFont="1" applyBorder="1" applyAlignment="1">
      <alignment vertical="center"/>
    </xf>
    <xf numFmtId="0" fontId="28" fillId="10" borderId="0" xfId="0" applyFont="1" applyFill="1" applyAlignment="1">
      <alignment horizontal="center"/>
    </xf>
    <xf numFmtId="0" fontId="12" fillId="10" borderId="77" xfId="0" applyFont="1" applyFill="1" applyBorder="1" applyAlignment="1">
      <alignment horizontal="center"/>
    </xf>
    <xf numFmtId="0" fontId="23" fillId="3" borderId="39" xfId="0" applyFont="1" applyFill="1" applyBorder="1" applyAlignment="1" applyProtection="1">
      <alignment horizontal="right"/>
      <protection locked="0"/>
    </xf>
    <xf numFmtId="0" fontId="0" fillId="8" borderId="39" xfId="0" applyFill="1" applyBorder="1" applyProtection="1">
      <alignment/>
      <protection locked="0"/>
    </xf>
    <xf numFmtId="0" fontId="18" fillId="10" borderId="39" xfId="0" applyFont="1" applyFill="1" applyBorder="1">
      <alignment/>
    </xf>
    <xf numFmtId="0" fontId="10" fillId="10" borderId="0" xfId="0" applyFont="1" applyFill="1" applyAlignment="1">
      <alignment horizontal="center"/>
    </xf>
    <xf numFmtId="0" fontId="18" fillId="3" borderId="0" xfId="0" applyFont="1" applyFill="1" applyAlignment="1" applyProtection="1">
      <alignment horizontal="center"/>
      <protection locked="0"/>
    </xf>
    <xf numFmtId="0" fontId="5" fillId="10" borderId="0" xfId="0" applyFont="1" applyFill="1">
      <alignment/>
    </xf>
    <xf numFmtId="0" fontId="5" fillId="10" borderId="77" xfId="0" applyFont="1" applyFill="1" applyBorder="1">
      <alignment/>
    </xf>
    <xf numFmtId="0" fontId="8" fillId="4" borderId="0" xfId="0" applyFont="1" applyFill="1" applyAlignment="1">
      <alignment horizontal="center"/>
    </xf>
    <xf numFmtId="0" fontId="11" fillId="0" borderId="0" xfId="0" applyFont="1" applyAlignment="1">
      <alignment horizontal="center"/>
    </xf>
    <xf numFmtId="3" fontId="5" fillId="4" borderId="25" xfId="0" applyNumberFormat="1" applyFont="1" applyFill="1" applyBorder="1" applyAlignment="1">
      <alignment horizontal="center" vertical="center"/>
    </xf>
    <xf numFmtId="3" fontId="0" fillId="4" borderId="22" xfId="0" applyNumberFormat="1" applyFont="1" applyFill="1" applyBorder="1" applyAlignment="1">
      <alignment horizontal="center" vertical="center"/>
    </xf>
    <xf numFmtId="3" fontId="0" fillId="4" borderId="64" xfId="0" applyNumberFormat="1" applyFont="1" applyFill="1" applyBorder="1" applyAlignment="1">
      <alignment horizontal="center" vertical="center"/>
    </xf>
    <xf numFmtId="0" fontId="5" fillId="4" borderId="25" xfId="0" applyFont="1" applyFill="1" applyBorder="1" applyAlignment="1">
      <alignment vertical="center"/>
    </xf>
    <xf numFmtId="0" fontId="5" fillId="4" borderId="22" xfId="0" applyFont="1" applyFill="1" applyBorder="1" applyAlignment="1">
      <alignment vertical="center"/>
    </xf>
    <xf numFmtId="0" fontId="5" fillId="4" borderId="41" xfId="0" applyFont="1" applyFill="1" applyBorder="1" applyAlignment="1">
      <alignment vertical="center"/>
    </xf>
    <xf numFmtId="3" fontId="0" fillId="3" borderId="22" xfId="0" applyNumberFormat="1" applyFont="1" applyFill="1" applyBorder="1" applyAlignment="1" applyProtection="1">
      <alignment horizontal="center" vertical="center"/>
      <protection locked="0"/>
    </xf>
    <xf numFmtId="3" fontId="0" fillId="3" borderId="64" xfId="0" applyNumberFormat="1" applyFont="1" applyFill="1" applyBorder="1" applyAlignment="1" applyProtection="1">
      <alignment horizontal="center" vertical="center"/>
      <protection locked="0"/>
    </xf>
    <xf numFmtId="0" fontId="8" fillId="4" borderId="15" xfId="0" applyFont="1" applyFill="1" applyBorder="1" applyAlignment="1">
      <alignment vertical="center" wrapText="1"/>
    </xf>
    <xf numFmtId="3" fontId="0" fillId="3" borderId="22" xfId="0" applyNumberFormat="1" applyFont="1" applyFill="1" applyBorder="1" applyAlignment="1">
      <alignment horizontal="center" vertical="center"/>
    </xf>
    <xf numFmtId="3" fontId="0" fillId="3" borderId="64" xfId="0" applyNumberFormat="1" applyFont="1" applyFill="1" applyBorder="1" applyAlignment="1">
      <alignment horizontal="center" vertical="center"/>
    </xf>
    <xf numFmtId="0" fontId="5" fillId="3" borderId="3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0" fillId="0" borderId="53" xfId="0" applyBorder="1" applyAlignment="1">
      <alignment vertical="center"/>
    </xf>
    <xf numFmtId="0" fontId="7" fillId="4" borderId="0" xfId="0" applyFont="1" applyFill="1" applyAlignment="1">
      <alignment vertical="center" wrapText="1"/>
    </xf>
    <xf numFmtId="0" fontId="11" fillId="0" borderId="0" xfId="0" applyFont="1" applyAlignment="1">
      <alignment vertical="center" wrapText="1"/>
    </xf>
    <xf numFmtId="0" fontId="0" fillId="7" borderId="53" xfId="0" applyFill="1" applyBorder="1" applyAlignment="1">
      <alignment vertical="center" wrapText="1"/>
    </xf>
    <xf numFmtId="0" fontId="0" fillId="7" borderId="3" xfId="0" applyFill="1" applyBorder="1" applyAlignment="1">
      <alignment vertical="center"/>
    </xf>
    <xf numFmtId="0" fontId="0" fillId="7" borderId="21" xfId="0" applyFill="1" applyBorder="1" applyAlignment="1">
      <alignment vertical="center"/>
    </xf>
    <xf numFmtId="0" fontId="0" fillId="7" borderId="66" xfId="0" applyFill="1" applyBorder="1" applyAlignment="1">
      <alignment vertical="center"/>
    </xf>
    <xf numFmtId="0" fontId="8" fillId="4" borderId="32" xfId="0" applyFont="1" applyFill="1" applyBorder="1" applyAlignment="1">
      <alignment horizontal="center" vertical="center" wrapText="1" shrinkToFit="1"/>
    </xf>
    <xf numFmtId="0" fontId="0" fillId="0" borderId="21" xfId="0" applyBorder="1" applyAlignment="1">
      <alignment vertical="center" wrapText="1" shrinkToFit="1"/>
    </xf>
    <xf numFmtId="0" fontId="0" fillId="0" borderId="66" xfId="0" applyBorder="1" applyAlignment="1">
      <alignment vertical="center" wrapText="1" shrinkToFit="1"/>
    </xf>
    <xf numFmtId="0" fontId="7" fillId="4" borderId="0" xfId="0" applyFont="1" applyFill="1" applyAlignment="1">
      <alignment wrapText="1" shrinkToFit="1"/>
    </xf>
    <xf numFmtId="0" fontId="32" fillId="4" borderId="0" xfId="0" applyFont="1" applyFill="1">
      <alignment/>
    </xf>
    <xf numFmtId="0" fontId="33" fillId="0" borderId="0" xfId="0" applyFont="1">
      <alignment/>
    </xf>
    <xf numFmtId="0" fontId="33" fillId="0" borderId="31" xfId="0" applyFont="1" applyBorder="1">
      <alignment/>
    </xf>
    <xf numFmtId="0" fontId="6" fillId="4" borderId="0" xfId="0" applyFont="1" applyFill="1">
      <alignment/>
    </xf>
    <xf numFmtId="0" fontId="26" fillId="0" borderId="0" xfId="0" applyFont="1">
      <alignment/>
    </xf>
    <xf numFmtId="0" fontId="0" fillId="7" borderId="77" xfId="0" applyFill="1" applyBorder="1">
      <alignment/>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0" fontId="0" fillId="0" borderId="22" xfId="0" applyBorder="1" applyAlignment="1">
      <alignment vertical="center" wrapText="1" shrinkToFit="1"/>
    </xf>
    <xf numFmtId="0" fontId="0" fillId="0" borderId="64" xfId="0" applyBorder="1" applyAlignment="1">
      <alignment vertical="center" wrapText="1" shrinkToFit="1"/>
    </xf>
    <xf numFmtId="3" fontId="5" fillId="3" borderId="15" xfId="0" applyNumberFormat="1" applyFont="1" applyFill="1" applyBorder="1" applyAlignment="1" applyProtection="1">
      <alignment horizontal="center" vertical="center" wrapText="1"/>
      <protection locked="0"/>
    </xf>
    <xf numFmtId="3" fontId="0" fillId="8" borderId="19" xfId="0" applyNumberFormat="1" applyFont="1" applyFill="1" applyBorder="1" applyAlignment="1" applyProtection="1">
      <alignment horizontal="center" vertical="center" wrapText="1"/>
      <protection locked="0"/>
    </xf>
    <xf numFmtId="3" fontId="0" fillId="8" borderId="17" xfId="0" applyNumberFormat="1" applyFont="1" applyFill="1" applyBorder="1" applyAlignment="1" applyProtection="1">
      <alignment horizontal="center" vertical="center"/>
      <protection locked="0"/>
    </xf>
    <xf numFmtId="3" fontId="5" fillId="3" borderId="19" xfId="0" applyNumberFormat="1" applyFont="1" applyFill="1" applyBorder="1" applyAlignment="1" applyProtection="1">
      <alignment horizontal="center" vertical="center" wrapText="1"/>
      <protection locked="0"/>
    </xf>
    <xf numFmtId="3" fontId="0" fillId="3" borderId="17" xfId="0" applyNumberFormat="1" applyFont="1" applyFill="1" applyBorder="1" applyAlignment="1" applyProtection="1">
      <alignment horizontal="center" vertical="center"/>
      <protection locked="0"/>
    </xf>
    <xf numFmtId="0" fontId="8" fillId="4" borderId="0" xfId="0" applyFont="1" applyFill="1" applyAlignment="1">
      <alignment vertical="center" wrapText="1"/>
    </xf>
    <xf numFmtId="0" fontId="0" fillId="7" borderId="0" xfId="0" applyFill="1" applyAlignment="1">
      <alignment vertical="center" wrapText="1"/>
    </xf>
    <xf numFmtId="0" fontId="5" fillId="4" borderId="52" xfId="0" applyFont="1" applyFill="1" applyBorder="1" applyAlignment="1">
      <alignment vertical="center"/>
    </xf>
    <xf numFmtId="0" fontId="5" fillId="4" borderId="23" xfId="0" applyFont="1" applyFill="1" applyBorder="1" applyAlignment="1">
      <alignment vertical="center"/>
    </xf>
    <xf numFmtId="0" fontId="5" fillId="4" borderId="42" xfId="0" applyFont="1" applyFill="1" applyBorder="1" applyAlignment="1">
      <alignment vertical="center"/>
    </xf>
    <xf numFmtId="3" fontId="0" fillId="8" borderId="19" xfId="0" applyNumberFormat="1" applyFont="1" applyFill="1" applyBorder="1" applyAlignment="1" applyProtection="1">
      <alignment horizontal="center" vertical="center"/>
      <protection locked="0"/>
    </xf>
    <xf numFmtId="0" fontId="13" fillId="4" borderId="0" xfId="0" applyFont="1" applyFill="1" applyAlignment="1">
      <alignment vertical="center"/>
    </xf>
    <xf numFmtId="0" fontId="26" fillId="0" borderId="0" xfId="0" applyFont="1" applyAlignment="1">
      <alignment vertical="center"/>
    </xf>
    <xf numFmtId="0" fontId="7" fillId="4" borderId="0" xfId="0" applyFont="1" applyFill="1" applyAlignment="1">
      <alignment horizontal="left" vertical="center" wrapText="1"/>
    </xf>
    <xf numFmtId="0" fontId="3" fillId="0" borderId="0" xfId="0" applyFont="1" applyAlignment="1">
      <alignment horizontal="left" vertical="center"/>
    </xf>
    <xf numFmtId="0" fontId="8" fillId="4" borderId="39" xfId="0" applyFont="1" applyFill="1" applyBorder="1" applyAlignment="1">
      <alignment vertical="center" wrapText="1"/>
    </xf>
    <xf numFmtId="0" fontId="0" fillId="0" borderId="39" xfId="0" applyBorder="1" applyAlignment="1">
      <alignment vertical="center"/>
    </xf>
    <xf numFmtId="3" fontId="0" fillId="8" borderId="26" xfId="0" applyNumberFormat="1" applyFont="1" applyFill="1" applyBorder="1" applyAlignment="1" applyProtection="1">
      <alignment horizontal="center" vertical="center"/>
      <protection locked="0"/>
    </xf>
    <xf numFmtId="3" fontId="0" fillId="0" borderId="26" xfId="0" applyNumberFormat="1" applyBorder="1" applyAlignment="1" applyProtection="1">
      <alignment horizontal="center" vertical="center"/>
      <protection locked="0"/>
    </xf>
    <xf numFmtId="0" fontId="3" fillId="7" borderId="38" xfId="0" applyFont="1" applyFill="1" applyBorder="1" applyAlignment="1">
      <alignment horizontal="left" vertical="center"/>
    </xf>
    <xf numFmtId="0" fontId="0" fillId="0" borderId="17" xfId="0" applyBorder="1" applyAlignment="1">
      <alignment horizontal="left" vertical="center"/>
    </xf>
    <xf numFmtId="3" fontId="0" fillId="8" borderId="38" xfId="0" applyNumberFormat="1" applyFont="1" applyFill="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11" fillId="7" borderId="39" xfId="0" applyFont="1" applyFill="1" applyBorder="1" applyAlignment="1">
      <alignment horizontal="center" vertical="center"/>
    </xf>
    <xf numFmtId="0" fontId="0" fillId="0" borderId="0" xfId="0" applyFont="1" applyAlignment="1">
      <alignment horizontal="left" vertical="center"/>
    </xf>
    <xf numFmtId="0" fontId="3" fillId="7" borderId="26" xfId="0" applyFont="1" applyFill="1" applyBorder="1" applyAlignment="1">
      <alignment horizontal="left" vertical="center"/>
    </xf>
    <xf numFmtId="0" fontId="0" fillId="0" borderId="35" xfId="0" applyBorder="1" applyAlignment="1">
      <alignment horizontal="left" vertical="center"/>
    </xf>
    <xf numFmtId="0" fontId="5" fillId="3" borderId="27" xfId="0" applyFont="1" applyFill="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11" fillId="7" borderId="77" xfId="0" applyFont="1" applyFill="1" applyBorder="1" applyAlignment="1">
      <alignment horizontal="center" vertical="center" wrapText="1"/>
    </xf>
    <xf numFmtId="0" fontId="0" fillId="0" borderId="39" xfId="0" applyBorder="1" applyAlignment="1">
      <alignment vertical="center" wrapText="1"/>
    </xf>
    <xf numFmtId="0" fontId="5" fillId="3" borderId="15" xfId="0"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0" xfId="0" applyAlignment="1">
      <alignment horizontal="left" vertical="center"/>
    </xf>
    <xf numFmtId="49" fontId="3" fillId="4" borderId="0" xfId="0" applyNumberFormat="1" applyFont="1" applyFill="1" applyAlignment="1">
      <alignment horizontal="center"/>
    </xf>
    <xf numFmtId="0" fontId="21" fillId="4" borderId="0" xfId="0" applyFont="1" applyFill="1" applyAlignment="1">
      <alignment horizontal="center"/>
    </xf>
    <xf numFmtId="49" fontId="19" fillId="4" borderId="0" xfId="0" applyNumberFormat="1" applyFont="1" applyFill="1" applyAlignment="1">
      <alignment horizontal="left"/>
    </xf>
    <xf numFmtId="0" fontId="5" fillId="3" borderId="9" xfId="0" applyFont="1" applyFill="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8" fillId="4" borderId="10" xfId="0" applyFont="1" applyFill="1" applyBorder="1" applyAlignment="1">
      <alignment horizontal="left" vertical="center" wrapText="1"/>
    </xf>
    <xf numFmtId="0" fontId="0" fillId="0" borderId="2" xfId="0" applyBorder="1" applyAlignment="1">
      <alignment vertical="center" wrapText="1"/>
    </xf>
    <xf numFmtId="0" fontId="3" fillId="7" borderId="8"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7" xfId="0" applyBorder="1" applyAlignment="1">
      <alignment horizontal="left" vertical="center"/>
    </xf>
    <xf numFmtId="3" fontId="0" fillId="8" borderId="2" xfId="0" applyNumberFormat="1" applyFont="1" applyFill="1" applyBorder="1" applyAlignment="1">
      <alignment horizontal="center" vertical="center"/>
    </xf>
    <xf numFmtId="3" fontId="0" fillId="0" borderId="2" xfId="0" applyNumberFormat="1" applyBorder="1" applyAlignment="1">
      <alignment horizontal="center" vertical="center"/>
    </xf>
    <xf numFmtId="3" fontId="0" fillId="8" borderId="8" xfId="0" applyNumberFormat="1" applyFont="1" applyFill="1" applyBorder="1" applyAlignment="1" applyProtection="1">
      <alignment horizontal="center" vertical="center"/>
      <protection locked="0"/>
    </xf>
    <xf numFmtId="3" fontId="0" fillId="0" borderId="8" xfId="0" applyNumberFormat="1" applyBorder="1" applyAlignment="1" applyProtection="1">
      <alignment horizontal="center" vertical="center"/>
      <protection locked="0"/>
    </xf>
    <xf numFmtId="0" fontId="0" fillId="0" borderId="23" xfId="0" applyBorder="1" applyAlignment="1">
      <alignment vertical="center" wrapText="1" shrinkToFit="1"/>
    </xf>
    <xf numFmtId="0" fontId="0" fillId="0" borderId="54"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54" xfId="0" applyNumberFormat="1" applyFont="1" applyFill="1" applyBorder="1" applyAlignment="1">
      <alignment horizontal="center" vertical="center"/>
    </xf>
    <xf numFmtId="0" fontId="5" fillId="3" borderId="52" xfId="0" applyFont="1" applyFill="1" applyBorder="1" applyAlignment="1" applyProtection="1">
      <alignment horizontal="center"/>
      <protection locked="0"/>
    </xf>
    <xf numFmtId="0" fontId="0" fillId="8" borderId="54" xfId="0" applyFill="1" applyBorder="1" applyAlignment="1" applyProtection="1">
      <alignment horizontal="center"/>
      <protection locked="0"/>
    </xf>
    <xf numFmtId="0" fontId="28" fillId="4" borderId="0" xfId="0" applyFont="1" applyFill="1" applyAlignment="1">
      <alignment horizontal="left" vertical="center"/>
    </xf>
    <xf numFmtId="0" fontId="21" fillId="0" borderId="0" xfId="0" applyFont="1" applyAlignment="1">
      <alignment vertical="center"/>
    </xf>
    <xf numFmtId="49" fontId="0" fillId="8" borderId="8" xfId="0" applyNumberFormat="1" applyFont="1" applyFill="1" applyBorder="1" applyAlignment="1" applyProtection="1">
      <alignment horizontal="center"/>
      <protection locked="0"/>
    </xf>
    <xf numFmtId="0" fontId="11" fillId="0" borderId="8" xfId="0" applyFont="1" applyBorder="1" applyAlignment="1">
      <alignment horizontal="center" vertical="center"/>
    </xf>
    <xf numFmtId="0" fontId="5" fillId="3" borderId="25" xfId="0" applyFont="1" applyFill="1" applyBorder="1" applyAlignment="1" applyProtection="1">
      <alignment horizontal="center"/>
      <protection locked="0"/>
    </xf>
    <xf numFmtId="0" fontId="0" fillId="8" borderId="64" xfId="0" applyFill="1" applyBorder="1" applyAlignment="1" applyProtection="1">
      <alignment horizontal="center"/>
      <protection locked="0"/>
    </xf>
    <xf numFmtId="0" fontId="8" fillId="4" borderId="81" xfId="0" applyFont="1" applyFill="1" applyBorder="1" applyAlignment="1">
      <alignment horizontal="left"/>
    </xf>
    <xf numFmtId="0" fontId="11" fillId="0" borderId="77" xfId="0" applyFont="1" applyBorder="1" applyAlignment="1">
      <alignment horizontal="left"/>
    </xf>
    <xf numFmtId="0" fontId="11" fillId="0" borderId="82" xfId="0" applyFont="1" applyBorder="1" applyAlignment="1">
      <alignment horizontal="left"/>
    </xf>
    <xf numFmtId="0" fontId="28" fillId="4" borderId="0" xfId="0" applyFont="1" applyFill="1" applyAlignment="1">
      <alignment horizontal="left"/>
    </xf>
    <xf numFmtId="0" fontId="21" fillId="0" borderId="0" xfId="0" applyFont="1" applyAlignment="1">
      <alignment horizontal="left"/>
    </xf>
    <xf numFmtId="0" fontId="0" fillId="8" borderId="8" xfId="0" applyFill="1" applyBorder="1" applyAlignment="1" applyProtection="1">
      <alignment horizontal="left"/>
      <protection locked="0"/>
    </xf>
    <xf numFmtId="3" fontId="0" fillId="8" borderId="8"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7" xfId="0" applyNumberFormat="1" applyFill="1" applyBorder="1" applyAlignment="1" applyProtection="1">
      <alignment horizontal="center"/>
      <protection locked="0"/>
    </xf>
    <xf numFmtId="0" fontId="28" fillId="4" borderId="0" xfId="0" applyFont="1" applyFill="1">
      <alignment/>
    </xf>
    <xf numFmtId="0" fontId="21" fillId="0" borderId="0" xfId="0" applyFont="1">
      <alignment/>
    </xf>
    <xf numFmtId="0" fontId="8" fillId="4" borderId="3" xfId="0" applyFont="1" applyFill="1" applyBorder="1">
      <alignment/>
    </xf>
    <xf numFmtId="0" fontId="11" fillId="0" borderId="21" xfId="0" applyFont="1" applyBorder="1">
      <alignment/>
    </xf>
    <xf numFmtId="0" fontId="11" fillId="0" borderId="5" xfId="0" applyFont="1" applyBorder="1">
      <alignment/>
    </xf>
    <xf numFmtId="0" fontId="8" fillId="4" borderId="8" xfId="0" applyFont="1" applyFill="1" applyBorder="1" applyAlignment="1">
      <alignment horizontal="center" vertical="center"/>
    </xf>
    <xf numFmtId="0" fontId="11" fillId="0" borderId="8" xfId="0" applyFont="1" applyBorder="1" applyAlignment="1">
      <alignment horizontal="center" vertical="center"/>
    </xf>
    <xf numFmtId="0" fontId="30" fillId="7" borderId="77" xfId="0" applyFont="1" applyFill="1" applyBorder="1">
      <alignment/>
    </xf>
    <xf numFmtId="0" fontId="30" fillId="7" borderId="0" xfId="0" applyFont="1" applyFill="1">
      <alignment/>
    </xf>
    <xf numFmtId="0" fontId="8" fillId="4" borderId="71" xfId="0" applyFont="1" applyFill="1" applyBorder="1" applyAlignment="1">
      <alignment vertical="center" wrapText="1"/>
    </xf>
    <xf numFmtId="0" fontId="11" fillId="0" borderId="11" xfId="0" applyFont="1" applyBorder="1" applyAlignment="1">
      <alignment vertical="center" wrapText="1"/>
    </xf>
    <xf numFmtId="0" fontId="0" fillId="0" borderId="92" xfId="0" applyBorder="1">
      <alignment/>
    </xf>
    <xf numFmtId="0" fontId="0" fillId="0" borderId="30" xfId="0" applyBorder="1">
      <alignment/>
    </xf>
    <xf numFmtId="0" fontId="11" fillId="7" borderId="8" xfId="0" applyFont="1" applyFill="1" applyBorder="1" applyAlignment="1">
      <alignment horizontal="center"/>
    </xf>
    <xf numFmtId="49" fontId="0" fillId="8" borderId="2" xfId="0" applyNumberFormat="1" applyFont="1" applyFill="1" applyBorder="1" applyAlignment="1" applyProtection="1">
      <alignment horizontal="center"/>
      <protection locked="0"/>
    </xf>
    <xf numFmtId="0" fontId="11" fillId="7" borderId="32" xfId="0" applyFont="1" applyFill="1" applyBorder="1" applyAlignment="1">
      <alignment vertical="center" wrapText="1" shrinkToFit="1"/>
    </xf>
    <xf numFmtId="0" fontId="11" fillId="7" borderId="21" xfId="0" applyFont="1" applyFill="1" applyBorder="1" applyAlignment="1">
      <alignment vertical="center" wrapText="1" shrinkToFit="1"/>
    </xf>
    <xf numFmtId="0" fontId="11" fillId="7" borderId="66" xfId="0" applyFont="1" applyFill="1" applyBorder="1" applyAlignment="1">
      <alignment vertical="center" wrapText="1" shrinkToFit="1"/>
    </xf>
    <xf numFmtId="0" fontId="11" fillId="7" borderId="32" xfId="0" applyFont="1" applyFill="1" applyBorder="1" applyAlignment="1">
      <alignment horizontal="center" vertical="center"/>
    </xf>
    <xf numFmtId="0" fontId="11" fillId="7" borderId="5" xfId="0" applyFont="1" applyFill="1" applyBorder="1" applyAlignment="1">
      <alignment horizontal="center" vertical="center"/>
    </xf>
    <xf numFmtId="0" fontId="3" fillId="0" borderId="0" xfId="0" applyFont="1" applyAlignment="1">
      <alignment horizontal="left"/>
    </xf>
    <xf numFmtId="0" fontId="8" fillId="4" borderId="39" xfId="0" applyFont="1" applyFill="1" applyBorder="1" applyAlignment="1">
      <alignment wrapText="1"/>
    </xf>
    <xf numFmtId="0" fontId="21" fillId="7" borderId="0" xfId="0" applyFont="1" applyFill="1" applyAlignment="1">
      <alignment vertical="top"/>
    </xf>
    <xf numFmtId="0" fontId="0" fillId="7" borderId="0" xfId="0" applyFont="1" applyFill="1" applyAlignment="1">
      <alignment vertical="top"/>
    </xf>
    <xf numFmtId="0" fontId="27" fillId="7" borderId="0" xfId="0" applyFont="1" applyFill="1">
      <alignment/>
    </xf>
    <xf numFmtId="0" fontId="0" fillId="7" borderId="0" xfId="0" applyFill="1">
      <alignment/>
    </xf>
    <xf numFmtId="3" fontId="0" fillId="0" borderId="38" xfId="0" applyNumberFormat="1" applyBorder="1" applyAlignment="1" applyProtection="1">
      <alignment horizontal="center" vertical="center"/>
      <protection locked="0"/>
    </xf>
    <xf numFmtId="3" fontId="0" fillId="0" borderId="17" xfId="0" applyNumberFormat="1" applyBorder="1" applyAlignment="1" applyProtection="1">
      <alignment horizontal="center" vertical="center"/>
      <protection locked="0"/>
    </xf>
    <xf numFmtId="0" fontId="0" fillId="7" borderId="18" xfId="0" applyFill="1" applyBorder="1">
      <alignment/>
    </xf>
    <xf numFmtId="0" fontId="8" fillId="7" borderId="22" xfId="0" applyFont="1" applyFill="1" applyBorder="1" applyAlignment="1">
      <alignment vertical="center"/>
    </xf>
    <xf numFmtId="0" fontId="8" fillId="7" borderId="23" xfId="0" applyFont="1" applyFill="1" applyBorder="1" applyAlignment="1">
      <alignment vertical="center"/>
    </xf>
    <xf numFmtId="0" fontId="0" fillId="7" borderId="3" xfId="0" applyFill="1" applyBorder="1">
      <alignment/>
    </xf>
    <xf numFmtId="0" fontId="0" fillId="0" borderId="66" xfId="0" applyBorder="1">
      <alignment/>
    </xf>
    <xf numFmtId="0" fontId="11" fillId="7" borderId="39" xfId="0" applyFont="1" applyFill="1" applyBorder="1" applyAlignment="1">
      <alignment wrapText="1" shrinkToFit="1"/>
    </xf>
    <xf numFmtId="0" fontId="0" fillId="7" borderId="39" xfId="0" applyFill="1" applyBorder="1" applyAlignment="1">
      <alignment wrapText="1" shrinkToFit="1"/>
    </xf>
    <xf numFmtId="0" fontId="0" fillId="8" borderId="38" xfId="0" applyFont="1" applyFill="1" applyBorder="1" applyAlignment="1" applyProtection="1">
      <alignment horizontal="center"/>
      <protection locked="0"/>
    </xf>
    <xf numFmtId="0" fontId="0" fillId="8" borderId="53" xfId="0" applyFont="1" applyFill="1" applyBorder="1" applyAlignment="1" applyProtection="1">
      <alignment horizontal="center"/>
      <protection locked="0"/>
    </xf>
    <xf numFmtId="14" fontId="5" fillId="3" borderId="55" xfId="0" applyNumberFormat="1" applyFont="1" applyFill="1" applyBorder="1" applyAlignment="1" applyProtection="1">
      <alignment horizontal="center" wrapText="1"/>
      <protection locked="0"/>
    </xf>
    <xf numFmtId="0" fontId="0" fillId="8" borderId="16" xfId="0" applyFont="1" applyFill="1" applyBorder="1" applyAlignment="1" applyProtection="1">
      <alignment horizontal="center"/>
      <protection locked="0"/>
    </xf>
    <xf numFmtId="0" fontId="8" fillId="4" borderId="3" xfId="0" applyFont="1" applyFill="1" applyBorder="1" applyAlignment="1">
      <alignment horizontal="center" vertical="center"/>
    </xf>
    <xf numFmtId="0" fontId="8" fillId="4" borderId="6" xfId="0" applyFont="1" applyFill="1" applyBorder="1" applyAlignment="1">
      <alignment horizontal="center"/>
    </xf>
    <xf numFmtId="0" fontId="8" fillId="4" borderId="66" xfId="0" applyFont="1" applyFill="1" applyBorder="1" applyAlignment="1">
      <alignment horizontal="center" vertical="center"/>
    </xf>
    <xf numFmtId="0" fontId="8" fillId="4" borderId="64" xfId="0" applyFont="1" applyFill="1" applyBorder="1" applyAlignment="1">
      <alignment horizontal="center"/>
    </xf>
    <xf numFmtId="0" fontId="8" fillId="4" borderId="4" xfId="0" applyFont="1" applyFill="1" applyBorder="1" applyAlignment="1">
      <alignment vertical="center"/>
    </xf>
    <xf numFmtId="0" fontId="0" fillId="0" borderId="23" xfId="0" applyBorder="1" applyAlignment="1">
      <alignment vertical="center"/>
    </xf>
    <xf numFmtId="0" fontId="5" fillId="3" borderId="25" xfId="0" applyFont="1" applyFill="1" applyBorder="1" applyAlignment="1" applyProtection="1">
      <alignment vertical="center"/>
      <protection locked="0"/>
    </xf>
    <xf numFmtId="0" fontId="8" fillId="4" borderId="77" xfId="0" applyFont="1" applyFill="1" applyBorder="1">
      <alignment/>
    </xf>
    <xf numFmtId="0" fontId="0" fillId="0" borderId="19" xfId="0" applyBorder="1" applyAlignment="1">
      <alignment vertical="center" wrapText="1"/>
    </xf>
    <xf numFmtId="0" fontId="0" fillId="0" borderId="38"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4" borderId="18" xfId="0" applyFill="1" applyBorder="1">
      <alignment/>
    </xf>
    <xf numFmtId="0" fontId="0" fillId="4" borderId="0" xfId="0" applyFill="1">
      <alignment/>
    </xf>
    <xf numFmtId="3" fontId="5" fillId="3" borderId="25" xfId="0" applyNumberFormat="1" applyFont="1" applyFill="1" applyBorder="1" applyAlignment="1" applyProtection="1">
      <alignment vertical="center"/>
      <protection locked="0"/>
    </xf>
    <xf numFmtId="3" fontId="0" fillId="0" borderId="64" xfId="0" applyNumberFormat="1" applyBorder="1" applyAlignment="1" applyProtection="1">
      <alignment vertical="center"/>
      <protection locked="0"/>
    </xf>
    <xf numFmtId="3" fontId="5" fillId="3" borderId="25" xfId="0" applyNumberFormat="1" applyFont="1" applyFill="1" applyBorder="1" applyAlignment="1">
      <alignment vertical="center"/>
    </xf>
    <xf numFmtId="3" fontId="0" fillId="0" borderId="64" xfId="0" applyNumberFormat="1" applyBorder="1" applyAlignment="1">
      <alignment vertical="center"/>
    </xf>
    <xf numFmtId="3" fontId="5" fillId="3" borderId="52" xfId="0" applyNumberFormat="1" applyFont="1" applyFill="1" applyBorder="1" applyAlignment="1">
      <alignment horizontal="right" vertical="center"/>
    </xf>
    <xf numFmtId="3" fontId="0" fillId="0" borderId="54" xfId="0" applyNumberFormat="1" applyBorder="1" applyAlignment="1">
      <alignment horizontal="right" vertical="center"/>
    </xf>
    <xf numFmtId="0" fontId="5" fillId="4" borderId="52" xfId="0" applyFont="1" applyFill="1" applyBorder="1">
      <alignment/>
    </xf>
    <xf numFmtId="0" fontId="8" fillId="4" borderId="39" xfId="0" applyFont="1" applyFill="1" applyBorder="1">
      <alignment/>
    </xf>
    <xf numFmtId="0" fontId="0" fillId="7" borderId="66" xfId="0" applyFill="1" applyBorder="1">
      <alignment/>
    </xf>
    <xf numFmtId="0" fontId="8" fillId="4" borderId="23" xfId="0" applyFont="1" applyFill="1" applyBorder="1" applyAlignment="1">
      <alignment vertical="center"/>
    </xf>
    <xf numFmtId="0" fontId="5" fillId="4" borderId="25" xfId="0" applyFont="1" applyFill="1" applyBorder="1">
      <alignment/>
    </xf>
    <xf numFmtId="0" fontId="0" fillId="7" borderId="66" xfId="0" applyFill="1" applyBorder="1" applyAlignment="1">
      <alignment horizontal="center"/>
    </xf>
    <xf numFmtId="0" fontId="0" fillId="7" borderId="5" xfId="0" applyFill="1" applyBorder="1" applyAlignment="1">
      <alignment horizontal="center"/>
    </xf>
    <xf numFmtId="0" fontId="8" fillId="4" borderId="32" xfId="0" applyFont="1" applyFill="1" applyBorder="1" applyAlignment="1">
      <alignment horizontal="center" vertical="center" wrapText="1"/>
    </xf>
    <xf numFmtId="0" fontId="0" fillId="0" borderId="64" xfId="0" applyBorder="1" applyAlignment="1">
      <alignment horizontal="center"/>
    </xf>
    <xf numFmtId="0" fontId="8" fillId="4" borderId="55" xfId="0" applyFont="1" applyFill="1" applyBorder="1" applyAlignment="1">
      <alignment horizontal="left" vertical="center"/>
    </xf>
    <xf numFmtId="0" fontId="0" fillId="0" borderId="16" xfId="0" applyBorder="1" applyAlignment="1">
      <alignment horizontal="left" vertical="center"/>
    </xf>
    <xf numFmtId="3" fontId="5" fillId="3" borderId="25" xfId="0" applyNumberFormat="1" applyFont="1" applyFill="1" applyBorder="1" applyAlignment="1" applyProtection="1">
      <alignment horizontal="center" vertical="center"/>
      <protection locked="0"/>
    </xf>
    <xf numFmtId="3" fontId="0" fillId="8" borderId="64" xfId="0" applyNumberFormat="1" applyFill="1" applyBorder="1" applyAlignment="1" applyProtection="1">
      <alignment horizontal="center" vertical="center"/>
      <protection locked="0"/>
    </xf>
    <xf numFmtId="0" fontId="8" fillId="4" borderId="25" xfId="0" applyFont="1" applyFill="1" applyBorder="1">
      <alignment/>
    </xf>
    <xf numFmtId="0" fontId="0" fillId="0" borderId="41" xfId="0" applyBorder="1">
      <alignment/>
    </xf>
    <xf numFmtId="3" fontId="0" fillId="8" borderId="64" xfId="0" applyNumberFormat="1" applyFill="1" applyBorder="1" applyAlignment="1">
      <alignment horizontal="center" vertical="center"/>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8" fillId="4" borderId="54" xfId="0" applyFont="1" applyFill="1" applyBorder="1" applyAlignment="1">
      <alignment vertical="center" wrapText="1"/>
    </xf>
    <xf numFmtId="0" fontId="8" fillId="4" borderId="0" xfId="0" applyFont="1" applyFill="1" applyAlignment="1">
      <alignment horizontal="right" vertical="center"/>
    </xf>
    <xf numFmtId="0" fontId="6" fillId="4" borderId="0" xfId="0" applyFont="1" applyFill="1" applyAlignment="1">
      <alignment vertical="center" wrapText="1" shrinkToFit="1"/>
    </xf>
    <xf numFmtId="0" fontId="0" fillId="0" borderId="0" xfId="0" applyAlignment="1">
      <alignment vertical="center" wrapText="1" shrinkToFit="1"/>
    </xf>
    <xf numFmtId="0" fontId="31" fillId="7" borderId="77" xfId="0" applyFont="1" applyFill="1" applyBorder="1">
      <alignment/>
    </xf>
    <xf numFmtId="0" fontId="19" fillId="7" borderId="0" xfId="0" applyFont="1" applyFill="1" applyAlignment="1">
      <alignment vertical="top" wrapText="1"/>
    </xf>
    <xf numFmtId="0" fontId="0" fillId="7" borderId="0" xfId="0" applyFill="1" applyAlignment="1">
      <alignment vertical="top" wrapText="1"/>
    </xf>
    <xf numFmtId="0" fontId="21" fillId="7" borderId="0" xfId="0" applyFont="1" applyFill="1" applyAlignment="1">
      <alignment horizontal="center" wrapText="1"/>
    </xf>
    <xf numFmtId="0" fontId="21" fillId="0" borderId="0" xfId="0" applyFont="1" applyAlignment="1">
      <alignment horizontal="center" wrapText="1"/>
    </xf>
    <xf numFmtId="0" fontId="11" fillId="7" borderId="55" xfId="0" applyFont="1" applyFill="1" applyBorder="1" applyAlignment="1">
      <alignment horizontal="left" vertical="center"/>
    </xf>
    <xf numFmtId="0" fontId="11" fillId="7" borderId="16" xfId="0" applyFont="1" applyFill="1" applyBorder="1" applyAlignment="1">
      <alignment horizontal="left" vertical="center"/>
    </xf>
    <xf numFmtId="0" fontId="8" fillId="4" borderId="22" xfId="0" applyFont="1" applyFill="1" applyBorder="1" applyAlignment="1">
      <alignment vertical="center"/>
    </xf>
    <xf numFmtId="0" fontId="8" fillId="4" borderId="64" xfId="0" applyFont="1" applyFill="1" applyBorder="1" applyAlignment="1">
      <alignment vertical="center"/>
    </xf>
    <xf numFmtId="0" fontId="8" fillId="4" borderId="0" xfId="0" applyFont="1" applyFill="1" applyAlignment="1">
      <alignment horizontal="left"/>
    </xf>
    <xf numFmtId="3" fontId="0" fillId="8" borderId="54" xfId="0" applyNumberFormat="1" applyFill="1" applyBorder="1" applyAlignment="1">
      <alignment horizontal="center" vertical="center"/>
    </xf>
    <xf numFmtId="0" fontId="8" fillId="4" borderId="52" xfId="0" applyFont="1" applyFill="1" applyBorder="1">
      <alignment/>
    </xf>
    <xf numFmtId="0" fontId="0" fillId="0" borderId="0" xfId="0" applyAlignment="1">
      <alignment horizontal="left"/>
    </xf>
    <xf numFmtId="0" fontId="8" fillId="4" borderId="55" xfId="0" applyFont="1" applyFill="1" applyBorder="1" applyAlignment="1">
      <alignment vertical="center" wrapText="1"/>
    </xf>
    <xf numFmtId="0" fontId="0" fillId="0" borderId="16" xfId="0" applyBorder="1" applyAlignment="1">
      <alignment vertical="center" wrapText="1"/>
    </xf>
    <xf numFmtId="0" fontId="8" fillId="4" borderId="16" xfId="0" applyFont="1" applyFill="1" applyBorder="1" applyAlignment="1">
      <alignment vertical="center" wrapText="1"/>
    </xf>
    <xf numFmtId="3" fontId="0" fillId="0" borderId="38" xfId="0" applyNumberFormat="1" applyFont="1" applyBorder="1" applyAlignment="1" applyProtection="1">
      <alignment horizontal="center" vertical="center"/>
      <protection locked="0"/>
    </xf>
    <xf numFmtId="3" fontId="0" fillId="0" borderId="19" xfId="0" applyNumberFormat="1" applyFont="1" applyBorder="1" applyAlignment="1" applyProtection="1">
      <alignment horizontal="center" vertical="center"/>
      <protection locked="0"/>
    </xf>
    <xf numFmtId="3" fontId="0" fillId="0" borderId="53" xfId="0" applyNumberFormat="1" applyFont="1" applyBorder="1" applyAlignment="1" applyProtection="1">
      <alignment horizontal="center" vertical="center"/>
      <protection locked="0"/>
    </xf>
    <xf numFmtId="3" fontId="0" fillId="0" borderId="17" xfId="0" applyNumberFormat="1" applyFont="1" applyBorder="1" applyAlignment="1" applyProtection="1">
      <alignment horizontal="center" vertical="center"/>
      <protection locked="0"/>
    </xf>
    <xf numFmtId="0" fontId="8" fillId="7" borderId="22" xfId="0" applyFont="1" applyFill="1" applyBorder="1" applyAlignment="1">
      <alignment horizontal="left" vertical="center" wrapText="1"/>
    </xf>
    <xf numFmtId="0" fontId="8" fillId="7" borderId="64" xfId="0" applyFont="1" applyFill="1" applyBorder="1" applyAlignment="1">
      <alignment horizontal="left" vertical="center" wrapText="1"/>
    </xf>
    <xf numFmtId="49" fontId="3" fillId="4" borderId="0" xfId="0" applyNumberFormat="1" applyFont="1" applyFill="1" applyAlignment="1">
      <alignment horizontal="center"/>
    </xf>
    <xf numFmtId="49" fontId="0" fillId="4" borderId="0" xfId="0" applyNumberFormat="1" applyFont="1" applyFill="1" applyAlignment="1">
      <alignment horizontal="center"/>
    </xf>
    <xf numFmtId="0" fontId="8" fillId="7" borderId="24" xfId="0" applyFont="1" applyFill="1" applyBorder="1" applyAlignment="1">
      <alignment horizontal="left" vertical="center" wrapText="1"/>
    </xf>
    <xf numFmtId="0" fontId="8" fillId="7" borderId="75" xfId="0" applyFont="1" applyFill="1" applyBorder="1" applyAlignment="1">
      <alignment horizontal="left" vertical="center" wrapText="1"/>
    </xf>
    <xf numFmtId="49" fontId="19" fillId="4" borderId="0" xfId="0" applyNumberFormat="1" applyFont="1" applyFill="1" applyAlignment="1">
      <alignment horizontal="left"/>
    </xf>
    <xf numFmtId="2" fontId="21" fillId="4" borderId="0" xfId="0" applyNumberFormat="1" applyFont="1" applyFill="1" applyAlignment="1">
      <alignment horizontal="center"/>
    </xf>
    <xf numFmtId="0" fontId="8" fillId="4" borderId="0" xfId="0" applyFont="1" applyFill="1" applyAlignment="1">
      <alignment horizontal="left" vertical="center" wrapText="1"/>
    </xf>
    <xf numFmtId="0" fontId="7" fillId="7" borderId="19"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3" fillId="7" borderId="0" xfId="0" applyFont="1" applyFill="1" applyAlignment="1">
      <alignment vertical="center" wrapText="1" shrinkToFit="1"/>
    </xf>
    <xf numFmtId="0" fontId="6" fillId="4" borderId="0" xfId="0" applyFont="1" applyFill="1" applyAlignment="1">
      <alignment horizontal="left" vertical="center"/>
    </xf>
    <xf numFmtId="0" fontId="8" fillId="7" borderId="22" xfId="0" applyFont="1" applyFill="1" applyBorder="1" applyAlignment="1">
      <alignment horizontal="left" vertical="center" wrapText="1"/>
    </xf>
    <xf numFmtId="0" fontId="8" fillId="7" borderId="64" xfId="0" applyFont="1" applyFill="1" applyBorder="1" applyAlignment="1">
      <alignment horizontal="left" vertical="center" wrapText="1"/>
    </xf>
    <xf numFmtId="0" fontId="0" fillId="17" borderId="34" xfId="0" applyFill="1" applyBorder="1" applyAlignment="1">
      <alignment vertical="center"/>
    </xf>
    <xf numFmtId="0" fontId="0" fillId="17" borderId="62" xfId="0" applyFill="1" applyBorder="1" applyAlignment="1">
      <alignment vertical="center"/>
    </xf>
    <xf numFmtId="0" fontId="0" fillId="17" borderId="76" xfId="0" applyFill="1" applyBorder="1" applyAlignment="1">
      <alignment vertical="center"/>
    </xf>
    <xf numFmtId="0" fontId="0" fillId="7" borderId="33" xfId="0" applyFill="1" applyBorder="1" applyAlignment="1">
      <alignment vertical="center"/>
    </xf>
    <xf numFmtId="0" fontId="8" fillId="4" borderId="39" xfId="0" applyFont="1" applyFill="1" applyBorder="1" applyAlignment="1">
      <alignment horizontal="left" vertical="center" wrapText="1"/>
    </xf>
    <xf numFmtId="0" fontId="0" fillId="7" borderId="39" xfId="0" applyFill="1" applyBorder="1" applyAlignment="1">
      <alignment vertical="center"/>
    </xf>
    <xf numFmtId="0" fontId="6" fillId="4" borderId="81" xfId="0" applyFont="1" applyFill="1" applyBorder="1" applyAlignment="1">
      <alignment horizontal="left" vertical="center"/>
    </xf>
    <xf numFmtId="0" fontId="0" fillId="0" borderId="34" xfId="0" applyBorder="1">
      <alignment/>
    </xf>
    <xf numFmtId="0" fontId="0" fillId="0" borderId="62" xfId="0" applyBorder="1">
      <alignment/>
    </xf>
    <xf numFmtId="0" fontId="0" fillId="0" borderId="5" xfId="0" applyBorder="1" applyAlignment="1">
      <alignment vertical="center"/>
    </xf>
    <xf numFmtId="0" fontId="8" fillId="4" borderId="0" xfId="0" applyFont="1" applyFill="1" applyAlignment="1">
      <alignment wrapText="1" shrinkToFit="1"/>
    </xf>
    <xf numFmtId="0" fontId="0" fillId="0" borderId="0" xfId="0" applyFont="1" applyAlignment="1">
      <alignment vertical="center" wrapText="1"/>
    </xf>
    <xf numFmtId="0" fontId="8" fillId="7" borderId="22" xfId="0" applyFont="1" applyFill="1" applyBorder="1" applyAlignment="1">
      <alignment horizontal="left" vertical="center" wrapText="1"/>
    </xf>
    <xf numFmtId="0" fontId="8" fillId="7" borderId="64" xfId="0" applyFont="1" applyFill="1" applyBorder="1" applyAlignment="1">
      <alignment horizontal="left" vertical="center" wrapText="1"/>
    </xf>
    <xf numFmtId="0" fontId="8" fillId="7" borderId="22" xfId="0" applyFont="1" applyFill="1" applyBorder="1" applyAlignment="1">
      <alignment horizontal="left" vertical="center" wrapText="1"/>
    </xf>
    <xf numFmtId="49" fontId="19" fillId="4" borderId="0" xfId="0" applyNumberFormat="1" applyFont="1" applyFill="1" applyAlignment="1">
      <alignment horizontal="left"/>
    </xf>
    <xf numFmtId="0" fontId="18" fillId="4" borderId="0" xfId="0" applyFont="1" applyFill="1" applyAlignment="1">
      <alignment horizontal="center" vertical="center" wrapText="1"/>
    </xf>
    <xf numFmtId="0" fontId="4" fillId="7" borderId="0" xfId="0" applyFont="1" applyFill="1" applyAlignment="1">
      <alignment horizontal="center" vertical="center"/>
    </xf>
    <xf numFmtId="0" fontId="7" fillId="4" borderId="77" xfId="0" applyFont="1" applyFill="1" applyBorder="1" applyAlignment="1">
      <alignment horizontal="left" vertical="center" wrapText="1"/>
    </xf>
    <xf numFmtId="0" fontId="38" fillId="7" borderId="77" xfId="0" applyFont="1" applyFill="1" applyBorder="1" applyAlignment="1">
      <alignment horizontal="left" vertical="center"/>
    </xf>
    <xf numFmtId="0" fontId="8" fillId="4" borderId="0" xfId="0" applyFont="1" applyFill="1" applyAlignment="1">
      <alignment horizontal="center"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5" fillId="4" borderId="81" xfId="0" applyFont="1" applyFill="1" applyBorder="1">
      <alignment/>
    </xf>
    <xf numFmtId="0" fontId="0" fillId="0" borderId="78" xfId="0" applyBorder="1">
      <alignment/>
    </xf>
    <xf numFmtId="0" fontId="8" fillId="4" borderId="32" xfId="0" applyFont="1" applyFill="1" applyBorder="1" applyAlignment="1">
      <alignment horizontal="center"/>
    </xf>
    <xf numFmtId="0" fontId="0" fillId="0" borderId="5" xfId="0" applyBorder="1" applyAlignment="1">
      <alignment horizontal="center"/>
    </xf>
    <xf numFmtId="0" fontId="17" fillId="4" borderId="0" xfId="0" applyFont="1" applyFill="1" applyAlignment="1">
      <alignment horizontal="center" vertical="center" wrapText="1"/>
    </xf>
    <xf numFmtId="0" fontId="49" fillId="0" borderId="0" xfId="0" applyFont="1" applyAlignment="1">
      <alignment horizontal="center" vertical="center" wrapText="1"/>
    </xf>
    <xf numFmtId="0" fontId="47" fillId="7" borderId="0" xfId="0" applyFont="1" applyFill="1" applyAlignment="1">
      <alignment horizontal="center" vertical="center" wrapText="1" shrinkToFit="1"/>
    </xf>
    <xf numFmtId="0" fontId="47" fillId="0" borderId="0" xfId="0" applyFont="1" applyAlignment="1">
      <alignment horizontal="center" vertical="center" wrapText="1" shrinkToFit="1"/>
    </xf>
    <xf numFmtId="0" fontId="10" fillId="4" borderId="0" xfId="0" applyFont="1" applyFill="1" applyAlignment="1">
      <alignment horizontal="center" vertical="center"/>
    </xf>
    <xf numFmtId="0" fontId="47" fillId="0" borderId="0" xfId="0" applyFont="1" applyAlignment="1">
      <alignment horizontal="center" vertical="center"/>
    </xf>
    <xf numFmtId="0" fontId="10" fillId="4" borderId="0" xfId="0" applyFont="1" applyFill="1" applyAlignment="1">
      <alignment horizontal="center" vertical="center" wrapText="1"/>
    </xf>
    <xf numFmtId="0" fontId="47" fillId="7" borderId="0" xfId="0" applyFont="1" applyFill="1" applyAlignment="1">
      <alignment horizontal="center" vertical="center"/>
    </xf>
    <xf numFmtId="0" fontId="19" fillId="8" borderId="0" xfId="0" applyFont="1" applyFill="1" applyAlignment="1">
      <alignment horizontal="left"/>
    </xf>
    <xf numFmtId="49" fontId="3" fillId="8" borderId="0" xfId="0" applyNumberFormat="1" applyFont="1" applyFill="1" applyAlignment="1">
      <alignment horizontal="center"/>
    </xf>
    <xf numFmtId="0" fontId="21" fillId="8" borderId="0" xfId="0" applyFont="1" applyFill="1" applyAlignment="1">
      <alignment horizontal="center"/>
    </xf>
    <xf numFmtId="0" fontId="45" fillId="0" borderId="0" xfId="0" applyFont="1">
      <alignment/>
    </xf>
    <xf numFmtId="0" fontId="8"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3"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vertical="center"/>
    </xf>
    <xf numFmtId="0" fontId="46" fillId="8" borderId="0" xfId="0" applyFont="1" applyFill="1" applyAlignment="1">
      <alignment horizontal="center"/>
    </xf>
    <xf numFmtId="0" fontId="47" fillId="8" borderId="0" xfId="0" applyFont="1" applyFill="1">
      <alignment/>
    </xf>
    <xf numFmtId="0" fontId="47" fillId="8" borderId="31" xfId="0" applyFont="1" applyFill="1" applyBorder="1">
      <alignment/>
    </xf>
    <xf numFmtId="0" fontId="11" fillId="8" borderId="0" xfId="0" applyFont="1" applyFill="1" applyAlignment="1">
      <alignment vertical="top"/>
    </xf>
    <xf numFmtId="0" fontId="5" fillId="3" borderId="2" xfId="0" applyFont="1" applyFill="1" applyBorder="1" applyAlignment="1">
      <alignment horizontal="left" vertical="center"/>
    </xf>
    <xf numFmtId="0" fontId="0" fillId="8" borderId="2" xfId="0" applyFill="1" applyBorder="1" applyAlignment="1">
      <alignment horizontal="left" vertical="center"/>
    </xf>
    <xf numFmtId="0" fontId="8" fillId="3"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47" fillId="8" borderId="0" xfId="0" applyFont="1" applyFill="1" applyAlignment="1">
      <alignment horizontal="center"/>
    </xf>
    <xf numFmtId="0" fontId="48" fillId="8" borderId="0" xfId="0" applyFont="1" applyFill="1" applyAlignment="1">
      <alignment horizontal="center"/>
    </xf>
    <xf numFmtId="0" fontId="8" fillId="3" borderId="9" xfId="0" applyFont="1" applyFill="1" applyBorder="1" applyAlignment="1">
      <alignment horizontal="center" vertical="center" textRotation="90"/>
    </xf>
    <xf numFmtId="0" fontId="0" fillId="8" borderId="25" xfId="0" applyFill="1" applyBorder="1" applyAlignment="1">
      <alignment horizontal="center" vertical="center"/>
    </xf>
    <xf numFmtId="0" fontId="0" fillId="8" borderId="64" xfId="0" applyFill="1" applyBorder="1">
      <alignment/>
    </xf>
    <xf numFmtId="0" fontId="0" fillId="8" borderId="36" xfId="0" applyFill="1" applyBorder="1">
      <alignment/>
    </xf>
    <xf numFmtId="0" fontId="46" fillId="8" borderId="0" xfId="0" applyFont="1" applyFill="1" applyAlignment="1">
      <alignment horizontal="center" vertical="center"/>
    </xf>
    <xf numFmtId="0" fontId="45" fillId="8" borderId="0" xfId="0" applyFont="1" applyFill="1">
      <alignment/>
    </xf>
    <xf numFmtId="0" fontId="19" fillId="8" borderId="0" xfId="0" applyFont="1" applyFill="1">
      <alignment/>
    </xf>
    <xf numFmtId="0" fontId="48" fillId="8" borderId="0" xfId="0" applyFont="1" applyFill="1" applyAlignment="1">
      <alignment horizontal="right" vertical="center"/>
    </xf>
    <xf numFmtId="0" fontId="48" fillId="8" borderId="36" xfId="0" applyFont="1" applyFill="1" applyBorder="1" applyAlignment="1">
      <alignment horizontal="right" vertical="center"/>
    </xf>
    <xf numFmtId="0" fontId="0" fillId="8" borderId="77" xfId="0" applyFill="1" applyBorder="1">
      <alignment/>
    </xf>
    <xf numFmtId="0" fontId="38" fillId="8" borderId="0" xfId="0" applyFont="1" applyFill="1" applyAlignment="1">
      <alignment vertical="center"/>
    </xf>
    <xf numFmtId="0" fontId="38" fillId="8" borderId="0" xfId="0" applyFont="1" applyFill="1" applyAlignment="1">
      <alignment vertical="center" wrapText="1"/>
    </xf>
    <xf numFmtId="0" fontId="6" fillId="4" borderId="77" xfId="15" applyFont="1" applyFill="1" applyBorder="1" applyAlignment="1">
      <alignment horizontal="center"/>
      <protection/>
    </xf>
    <xf numFmtId="0" fontId="0" fillId="0" borderId="77" xfId="15" applyBorder="1" applyAlignment="1">
      <alignment horizontal="center"/>
      <protection/>
    </xf>
    <xf numFmtId="0" fontId="6" fillId="4" borderId="0" xfId="15" applyFont="1" applyFill="1" applyAlignment="1">
      <alignment horizontal="center"/>
      <protection/>
    </xf>
    <xf numFmtId="0" fontId="5" fillId="3" borderId="8" xfId="15" applyFont="1" applyFill="1" applyBorder="1" applyAlignment="1" applyProtection="1">
      <alignment vertical="center"/>
      <protection locked="0"/>
    </xf>
    <xf numFmtId="0" fontId="0" fillId="0" borderId="8" xfId="15" applyBorder="1" applyAlignment="1" applyProtection="1">
      <alignment vertical="center"/>
      <protection locked="0"/>
    </xf>
    <xf numFmtId="49" fontId="5" fillId="3" borderId="8" xfId="15" applyNumberFormat="1" applyFont="1" applyFill="1" applyBorder="1" applyAlignment="1" applyProtection="1">
      <alignment horizontal="center" vertical="center"/>
      <protection locked="0"/>
    </xf>
    <xf numFmtId="0" fontId="5" fillId="4" borderId="2" xfId="15" applyFont="1" applyFill="1" applyBorder="1" applyAlignment="1">
      <alignment vertical="center"/>
      <protection/>
    </xf>
    <xf numFmtId="0" fontId="0" fillId="7" borderId="2" xfId="15" applyFill="1" applyBorder="1" applyAlignment="1">
      <alignment vertical="center"/>
      <protection/>
    </xf>
    <xf numFmtId="49" fontId="5" fillId="4" borderId="2" xfId="15" applyNumberFormat="1" applyFont="1" applyFill="1" applyBorder="1" applyAlignment="1">
      <alignment horizontal="center" vertical="center"/>
      <protection/>
    </xf>
    <xf numFmtId="0" fontId="0" fillId="0" borderId="8" xfId="15" applyBorder="1" applyAlignment="1" applyProtection="1">
      <alignment horizontal="center" vertical="center"/>
      <protection locked="0"/>
    </xf>
    <xf numFmtId="0" fontId="6" fillId="4" borderId="0" xfId="15" applyFont="1" applyFill="1" applyAlignment="1">
      <alignment horizontal="center" vertical="center"/>
      <protection/>
    </xf>
    <xf numFmtId="0" fontId="0" fillId="0" borderId="0" xfId="15" applyAlignment="1">
      <alignment horizontal="center" vertical="center"/>
      <protection/>
    </xf>
    <xf numFmtId="0" fontId="8" fillId="4" borderId="71" xfId="15" applyFont="1" applyFill="1" applyBorder="1" applyAlignment="1">
      <alignment horizontal="center" vertical="center"/>
      <protection/>
    </xf>
    <xf numFmtId="0" fontId="8" fillId="4" borderId="80" xfId="15" applyFont="1" applyFill="1" applyBorder="1" applyAlignment="1">
      <alignment horizontal="center" vertical="center"/>
      <protection/>
    </xf>
    <xf numFmtId="0" fontId="0" fillId="0" borderId="29" xfId="15" applyBorder="1" applyAlignment="1">
      <alignment horizontal="center" vertical="center"/>
      <protection/>
    </xf>
    <xf numFmtId="0" fontId="8" fillId="4" borderId="79" xfId="15" applyFont="1" applyFill="1" applyBorder="1" applyAlignment="1">
      <alignment horizontal="center" vertical="center"/>
      <protection/>
    </xf>
    <xf numFmtId="0" fontId="0" fillId="0" borderId="78" xfId="15" applyBorder="1" applyAlignment="1">
      <alignment horizontal="center" vertical="center"/>
      <protection/>
    </xf>
    <xf numFmtId="0" fontId="0" fillId="0" borderId="56" xfId="15" applyBorder="1" applyAlignment="1">
      <alignment horizontal="center" vertical="center"/>
      <protection/>
    </xf>
    <xf numFmtId="0" fontId="0" fillId="0" borderId="76" xfId="15" applyBorder="1" applyAlignment="1">
      <alignment horizontal="center" vertical="center"/>
      <protection/>
    </xf>
    <xf numFmtId="0" fontId="8" fillId="4" borderId="78" xfId="15" applyFont="1" applyFill="1" applyBorder="1" applyAlignment="1">
      <alignment horizontal="center" vertical="center"/>
      <protection/>
    </xf>
    <xf numFmtId="0" fontId="11" fillId="7" borderId="32" xfId="15" applyFont="1" applyFill="1" applyBorder="1" applyAlignment="1">
      <alignment horizontal="center" vertical="center" wrapText="1"/>
      <protection/>
    </xf>
    <xf numFmtId="0" fontId="0" fillId="0" borderId="66" xfId="15" applyBorder="1" applyAlignment="1">
      <alignment horizontal="center" vertical="center" wrapText="1"/>
      <protection/>
    </xf>
    <xf numFmtId="0" fontId="0" fillId="0" borderId="5" xfId="15" applyBorder="1" applyAlignment="1">
      <alignment horizontal="center" vertical="center" wrapText="1"/>
      <protection/>
    </xf>
    <xf numFmtId="0" fontId="8" fillId="4" borderId="8" xfId="15" applyFont="1" applyFill="1" applyBorder="1" applyAlignment="1">
      <alignment horizontal="center" vertical="center"/>
      <protection/>
    </xf>
    <xf numFmtId="0" fontId="0" fillId="0" borderId="8" xfId="15" applyBorder="1" applyAlignment="1">
      <alignment horizontal="center" vertical="center"/>
      <protection/>
    </xf>
    <xf numFmtId="0" fontId="11" fillId="7" borderId="25" xfId="15" applyFont="1" applyFill="1" applyBorder="1" applyAlignment="1">
      <alignment horizontal="center" vertical="center"/>
      <protection/>
    </xf>
    <xf numFmtId="0" fontId="0" fillId="0" borderId="64" xfId="15" applyBorder="1" applyAlignment="1">
      <alignment horizontal="center" vertical="center"/>
      <protection/>
    </xf>
    <xf numFmtId="0" fontId="0" fillId="0" borderId="41" xfId="15" applyBorder="1" applyAlignment="1">
      <alignment horizontal="center" vertical="center"/>
      <protection/>
    </xf>
    <xf numFmtId="0" fontId="73" fillId="15" borderId="6" xfId="16" applyFont="1" applyFill="1" applyBorder="1" applyAlignment="1" applyProtection="1">
      <alignment horizontal="left" vertical="center"/>
      <protection locked="0"/>
    </xf>
    <xf numFmtId="0" fontId="73" fillId="15" borderId="22" xfId="16" applyFont="1" applyFill="1" applyBorder="1" applyAlignment="1" applyProtection="1">
      <alignment horizontal="left" vertical="center"/>
      <protection locked="0"/>
    </xf>
    <xf numFmtId="0" fontId="73" fillId="15" borderId="64" xfId="16" applyFont="1" applyFill="1" applyBorder="1" applyAlignment="1" applyProtection="1">
      <alignment horizontal="left" vertical="center"/>
      <protection locked="0"/>
    </xf>
    <xf numFmtId="0" fontId="62" fillId="15" borderId="14" xfId="16" applyFont="1" applyFill="1" applyBorder="1" applyAlignment="1">
      <alignment horizontal="left" vertical="center"/>
      <protection/>
    </xf>
    <xf numFmtId="0" fontId="62" fillId="15" borderId="24" xfId="16" applyFont="1" applyFill="1" applyBorder="1" applyAlignment="1">
      <alignment horizontal="left" vertical="center"/>
      <protection/>
    </xf>
    <xf numFmtId="0" fontId="0" fillId="0" borderId="24" xfId="0" applyBorder="1" applyAlignment="1">
      <alignment vertical="center"/>
    </xf>
    <xf numFmtId="0" fontId="62" fillId="15" borderId="0" xfId="16" applyFont="1" applyFill="1" applyAlignment="1">
      <alignment horizontal="left" vertical="center"/>
      <protection/>
    </xf>
    <xf numFmtId="0" fontId="0" fillId="0" borderId="31" xfId="0" applyBorder="1" applyAlignment="1">
      <alignment vertical="center"/>
    </xf>
    <xf numFmtId="0" fontId="73" fillId="15" borderId="25" xfId="16" applyFont="1" applyFill="1" applyBorder="1" applyAlignment="1" applyProtection="1">
      <alignment horizontal="left" vertical="center"/>
      <protection locked="0"/>
    </xf>
    <xf numFmtId="0" fontId="44" fillId="0" borderId="22" xfId="0" applyFont="1" applyBorder="1" applyAlignment="1" applyProtection="1">
      <alignment vertical="center"/>
      <protection locked="0"/>
    </xf>
    <xf numFmtId="0" fontId="44" fillId="0" borderId="41" xfId="0" applyFont="1" applyBorder="1" applyAlignment="1" applyProtection="1">
      <alignment vertical="center"/>
      <protection locked="0"/>
    </xf>
    <xf numFmtId="0" fontId="62" fillId="15" borderId="0" xfId="16" applyFont="1" applyFill="1" applyAlignment="1">
      <alignment horizontal="left" vertical="center" wrapText="1"/>
      <protection/>
    </xf>
    <xf numFmtId="0" fontId="62" fillId="15" borderId="39" xfId="16" applyFont="1" applyFill="1" applyBorder="1" applyAlignment="1">
      <alignment horizontal="left" vertical="center" wrapText="1"/>
      <protection/>
    </xf>
    <xf numFmtId="0" fontId="0" fillId="0" borderId="39" xfId="0" applyBorder="1" applyAlignment="1">
      <alignment horizontal="left" vertical="center" wrapText="1"/>
    </xf>
    <xf numFmtId="0" fontId="73" fillId="15" borderId="6" xfId="16" applyFont="1" applyFill="1" applyBorder="1" applyAlignment="1">
      <alignment horizontal="left" vertical="center"/>
      <protection/>
    </xf>
    <xf numFmtId="0" fontId="73" fillId="15" borderId="22" xfId="16" applyFont="1" applyFill="1" applyBorder="1" applyAlignment="1">
      <alignment horizontal="left" vertical="center"/>
      <protection/>
    </xf>
    <xf numFmtId="0" fontId="44" fillId="0" borderId="22" xfId="0" applyFont="1" applyBorder="1" applyAlignment="1">
      <alignment vertical="center"/>
    </xf>
    <xf numFmtId="0" fontId="44" fillId="0" borderId="64" xfId="0" applyFont="1" applyBorder="1" applyAlignment="1">
      <alignment vertical="center"/>
    </xf>
    <xf numFmtId="0" fontId="62" fillId="15" borderId="81" xfId="16" applyFont="1" applyFill="1" applyBorder="1" applyAlignment="1">
      <alignment horizontal="left" vertical="center"/>
      <protection/>
    </xf>
    <xf numFmtId="0" fontId="62" fillId="15" borderId="77" xfId="16" applyFont="1" applyFill="1" applyBorder="1" applyAlignment="1">
      <alignment horizontal="left" vertical="center"/>
      <protection/>
    </xf>
    <xf numFmtId="2" fontId="73" fillId="15" borderId="25" xfId="16" applyNumberFormat="1" applyFont="1" applyFill="1" applyBorder="1" applyAlignment="1">
      <alignment horizontal="left" vertical="center"/>
      <protection/>
    </xf>
    <xf numFmtId="0" fontId="0" fillId="0" borderId="41" xfId="0" applyBorder="1" applyAlignment="1">
      <alignment horizontal="left" vertical="center"/>
    </xf>
    <xf numFmtId="2" fontId="62" fillId="15" borderId="21" xfId="16" applyNumberFormat="1" applyFont="1" applyFill="1" applyBorder="1" applyAlignment="1">
      <alignment horizontal="left" vertical="center"/>
      <protection/>
    </xf>
    <xf numFmtId="2" fontId="62" fillId="15" borderId="5" xfId="16" applyNumberFormat="1" applyFont="1" applyFill="1" applyBorder="1" applyAlignment="1">
      <alignment horizontal="left" vertical="center"/>
      <protection/>
    </xf>
    <xf numFmtId="0" fontId="62" fillId="15" borderId="0" xfId="16" applyFont="1" applyFill="1" applyAlignment="1">
      <alignment horizontal="center"/>
      <protection/>
    </xf>
    <xf numFmtId="0" fontId="71" fillId="15" borderId="0" xfId="16" applyFont="1" applyFill="1" applyAlignment="1">
      <alignment horizontal="center" vertical="center"/>
      <protection/>
    </xf>
    <xf numFmtId="0" fontId="72" fillId="15" borderId="0" xfId="16" applyFont="1" applyFill="1" applyAlignment="1">
      <alignment horizontal="center" vertical="center"/>
      <protection/>
    </xf>
    <xf numFmtId="0" fontId="62" fillId="15" borderId="0" xfId="16" applyFont="1" applyFill="1" applyAlignment="1">
      <alignment horizontal="left"/>
      <protection/>
    </xf>
    <xf numFmtId="0" fontId="62" fillId="15" borderId="18" xfId="16" applyFont="1" applyFill="1" applyBorder="1" applyAlignment="1">
      <alignment horizontal="left" vertical="center"/>
      <protection/>
    </xf>
    <xf numFmtId="0" fontId="62" fillId="15" borderId="31" xfId="16" applyFont="1" applyFill="1" applyBorder="1" applyAlignment="1">
      <alignment horizontal="left" vertical="center"/>
      <protection/>
    </xf>
    <xf numFmtId="49" fontId="73" fillId="15" borderId="6" xfId="16" applyNumberFormat="1" applyFont="1" applyFill="1" applyBorder="1" applyAlignment="1" applyProtection="1">
      <alignment horizontal="left" vertical="center"/>
      <protection locked="0"/>
    </xf>
    <xf numFmtId="49" fontId="73" fillId="15" borderId="22" xfId="16" applyNumberFormat="1" applyFont="1" applyFill="1" applyBorder="1" applyAlignment="1" applyProtection="1">
      <alignment horizontal="left" vertical="center"/>
      <protection locked="0"/>
    </xf>
    <xf numFmtId="49" fontId="73" fillId="15" borderId="41" xfId="16" applyNumberFormat="1" applyFont="1" applyFill="1" applyBorder="1" applyAlignment="1" applyProtection="1">
      <alignment horizontal="left" vertical="center"/>
      <protection locked="0"/>
    </xf>
    <xf numFmtId="0" fontId="62" fillId="15" borderId="0" xfId="16" applyFont="1" applyFill="1" applyAlignment="1">
      <alignment horizontal="center" vertical="center"/>
      <protection/>
    </xf>
    <xf numFmtId="49" fontId="74" fillId="15" borderId="6" xfId="16" applyNumberFormat="1" applyFont="1" applyFill="1" applyBorder="1" applyAlignment="1" applyProtection="1">
      <alignment horizontal="left" vertical="center"/>
      <protection locked="0"/>
    </xf>
    <xf numFmtId="49" fontId="74" fillId="15" borderId="22" xfId="16" applyNumberFormat="1" applyFont="1" applyFill="1" applyBorder="1" applyAlignment="1" applyProtection="1">
      <alignment horizontal="left" vertical="center"/>
      <protection locked="0"/>
    </xf>
    <xf numFmtId="49" fontId="74" fillId="15" borderId="41" xfId="16" applyNumberFormat="1" applyFont="1" applyFill="1" applyBorder="1" applyAlignment="1" applyProtection="1">
      <alignment horizontal="left" vertical="center"/>
      <protection locked="0"/>
    </xf>
    <xf numFmtId="0" fontId="0" fillId="0" borderId="82" xfId="0" applyBorder="1" applyAlignment="1">
      <alignment vertical="center"/>
    </xf>
    <xf numFmtId="0" fontId="62" fillId="15" borderId="4" xfId="16" applyFont="1" applyFill="1" applyBorder="1" applyAlignment="1">
      <alignment horizontal="left" vertical="center"/>
      <protection/>
    </xf>
    <xf numFmtId="0" fontId="62" fillId="15" borderId="23" xfId="16" applyFont="1" applyFill="1" applyBorder="1" applyAlignment="1">
      <alignment horizontal="left" vertical="center"/>
      <protection/>
    </xf>
    <xf numFmtId="0" fontId="0" fillId="0" borderId="42" xfId="0" applyBorder="1" applyAlignment="1">
      <alignment vertical="center"/>
    </xf>
    <xf numFmtId="0" fontId="73" fillId="15" borderId="18" xfId="16" applyFont="1" applyFill="1" applyBorder="1" applyAlignment="1">
      <alignment horizontal="center" vertical="center"/>
      <protection/>
    </xf>
    <xf numFmtId="0" fontId="73" fillId="15" borderId="0" xfId="16" applyFont="1" applyFill="1" applyAlignment="1">
      <alignment horizontal="center" vertical="center"/>
      <protection/>
    </xf>
    <xf numFmtId="14" fontId="73" fillId="15" borderId="25" xfId="16" applyNumberFormat="1" applyFont="1" applyFill="1" applyBorder="1" applyAlignment="1" applyProtection="1">
      <alignment horizontal="center" vertical="center"/>
      <protection locked="0"/>
    </xf>
    <xf numFmtId="14" fontId="73" fillId="15" borderId="64" xfId="16" applyNumberFormat="1" applyFont="1" applyFill="1" applyBorder="1" applyAlignment="1" applyProtection="1">
      <alignment horizontal="center" vertical="center"/>
      <protection locked="0"/>
    </xf>
    <xf numFmtId="0" fontId="74" fillId="15" borderId="0" xfId="16" applyFont="1" applyFill="1" applyAlignment="1">
      <alignment horizontal="left" vertical="center"/>
      <protection/>
    </xf>
    <xf numFmtId="49" fontId="73" fillId="15" borderId="25" xfId="16" applyNumberFormat="1" applyFont="1" applyFill="1" applyBorder="1" applyAlignment="1" applyProtection="1">
      <alignment horizontal="center" vertical="center"/>
      <protection locked="0"/>
    </xf>
    <xf numFmtId="49" fontId="73" fillId="15" borderId="64" xfId="16" applyNumberFormat="1" applyFont="1" applyFill="1" applyBorder="1" applyAlignment="1" applyProtection="1">
      <alignment horizontal="center" vertical="center"/>
      <protection locked="0"/>
    </xf>
    <xf numFmtId="166" fontId="73" fillId="15" borderId="25" xfId="16" applyNumberFormat="1" applyFont="1" applyFill="1" applyBorder="1" applyAlignment="1" applyProtection="1">
      <alignment horizontal="center" vertical="center"/>
      <protection locked="0"/>
    </xf>
    <xf numFmtId="166" fontId="73" fillId="15" borderId="64" xfId="16" applyNumberFormat="1" applyFont="1" applyFill="1" applyBorder="1" applyAlignment="1" applyProtection="1">
      <alignment horizontal="center" vertical="center"/>
      <protection locked="0"/>
    </xf>
    <xf numFmtId="49" fontId="73" fillId="15" borderId="83" xfId="16" applyNumberFormat="1" applyFont="1" applyFill="1" applyBorder="1" applyAlignment="1">
      <alignment horizontal="left" vertical="center"/>
      <protection/>
    </xf>
    <xf numFmtId="49" fontId="73" fillId="15" borderId="39" xfId="16" applyNumberFormat="1" applyFont="1" applyFill="1" applyBorder="1" applyAlignment="1">
      <alignment horizontal="left" vertical="center"/>
      <protection/>
    </xf>
    <xf numFmtId="0" fontId="0" fillId="0" borderId="84" xfId="0" applyBorder="1" applyAlignment="1">
      <alignment vertical="center"/>
    </xf>
    <xf numFmtId="0" fontId="75" fillId="21" borderId="0" xfId="16" applyFont="1" applyFill="1" applyAlignment="1">
      <alignment horizontal="justify" vertical="center" wrapText="1"/>
      <protection/>
    </xf>
    <xf numFmtId="0" fontId="75" fillId="15" borderId="0" xfId="16" applyFont="1" applyFill="1" applyAlignment="1">
      <alignment wrapText="1"/>
      <protection/>
    </xf>
    <xf numFmtId="0" fontId="11" fillId="0" borderId="0" xfId="0" applyFont="1" applyAlignment="1">
      <alignment wrapText="1"/>
    </xf>
    <xf numFmtId="0" fontId="74" fillId="15" borderId="0" xfId="16" applyFont="1" applyFill="1" applyAlignment="1">
      <alignment vertical="center"/>
      <protection/>
    </xf>
    <xf numFmtId="0" fontId="75" fillId="15" borderId="74" xfId="16" applyFont="1" applyFill="1" applyBorder="1" applyAlignment="1" applyProtection="1">
      <alignment horizontal="center"/>
      <protection locked="0"/>
    </xf>
    <xf numFmtId="0" fontId="75" fillId="15" borderId="24" xfId="16" applyFont="1" applyFill="1" applyBorder="1" applyAlignment="1" applyProtection="1">
      <alignment horizontal="center"/>
      <protection locked="0"/>
    </xf>
    <xf numFmtId="0" fontId="75" fillId="15" borderId="75" xfId="16" applyFont="1" applyFill="1" applyBorder="1" applyAlignment="1" applyProtection="1">
      <alignment horizontal="center"/>
      <protection locked="0"/>
    </xf>
    <xf numFmtId="0" fontId="75" fillId="15" borderId="33" xfId="16" applyFont="1" applyFill="1" applyBorder="1" applyAlignment="1" applyProtection="1">
      <alignment horizontal="center"/>
      <protection locked="0"/>
    </xf>
    <xf numFmtId="0" fontId="75" fillId="15" borderId="0" xfId="16" applyFont="1" applyFill="1" applyAlignment="1" applyProtection="1">
      <alignment horizontal="center"/>
      <protection locked="0"/>
    </xf>
    <xf numFmtId="0" fontId="75" fillId="15" borderId="36" xfId="16" applyFont="1" applyFill="1" applyBorder="1" applyAlignment="1" applyProtection="1">
      <alignment horizontal="center"/>
      <protection locked="0"/>
    </xf>
    <xf numFmtId="0" fontId="75" fillId="15" borderId="56" xfId="16" applyFont="1" applyFill="1" applyBorder="1" applyAlignment="1" applyProtection="1">
      <alignment horizontal="center"/>
      <protection locked="0"/>
    </xf>
    <xf numFmtId="0" fontId="75" fillId="15" borderId="62" xfId="16" applyFont="1" applyFill="1" applyBorder="1" applyAlignment="1" applyProtection="1">
      <alignment horizontal="center"/>
      <protection locked="0"/>
    </xf>
    <xf numFmtId="0" fontId="75" fillId="15" borderId="76" xfId="16" applyFont="1" applyFill="1" applyBorder="1" applyAlignment="1" applyProtection="1">
      <alignment horizontal="center"/>
      <protection locked="0"/>
    </xf>
    <xf numFmtId="0" fontId="62" fillId="15" borderId="24" xfId="16" applyFont="1" applyFill="1" applyBorder="1" applyAlignment="1">
      <alignment horizontal="center"/>
      <protection/>
    </xf>
    <xf numFmtId="0" fontId="4" fillId="21" borderId="0" xfId="16" applyFont="1" applyFill="1" applyAlignment="1">
      <alignment horizontal="center" vertical="center"/>
      <protection/>
    </xf>
    <xf numFmtId="0" fontId="75" fillId="15" borderId="0" xfId="16" applyFont="1" applyFill="1" applyAlignment="1">
      <alignment horizontal="left"/>
      <protection/>
    </xf>
    <xf numFmtId="0" fontId="62" fillId="15" borderId="45" xfId="16" applyFont="1" applyFill="1" applyBorder="1" applyAlignment="1">
      <alignment horizontal="center"/>
      <protection/>
    </xf>
    <xf numFmtId="0" fontId="62" fillId="15" borderId="62" xfId="16" applyFont="1" applyFill="1" applyBorder="1" applyAlignment="1">
      <alignment horizontal="center" vertical="center"/>
      <protection/>
    </xf>
    <xf numFmtId="0" fontId="0" fillId="0" borderId="62" xfId="0" applyBorder="1" applyAlignment="1">
      <alignment horizontal="center" vertical="center"/>
    </xf>
    <xf numFmtId="0" fontId="73" fillId="15" borderId="63" xfId="16" applyFont="1" applyFill="1" applyBorder="1" applyAlignment="1" applyProtection="1">
      <alignment horizontal="center" vertical="center"/>
      <protection locked="0"/>
    </xf>
    <xf numFmtId="0" fontId="2" fillId="15" borderId="0" xfId="16" applyFill="1" applyAlignment="1">
      <alignment horizontal="center"/>
      <protection/>
    </xf>
    <xf numFmtId="0" fontId="74" fillId="15" borderId="0" xfId="16" applyFont="1" applyFill="1" applyAlignment="1">
      <alignment horizontal="center" vertical="center"/>
      <protection/>
    </xf>
    <xf numFmtId="0" fontId="73" fillId="15" borderId="0" xfId="16" applyFont="1" applyFill="1" applyAlignment="1" applyProtection="1">
      <alignment horizontal="center" vertical="center"/>
      <protection locked="0"/>
    </xf>
    <xf numFmtId="0" fontId="2" fillId="15" borderId="0" xfId="16" applyFill="1" applyAlignment="1">
      <alignment horizontal="center" vertical="center"/>
      <protection/>
    </xf>
    <xf numFmtId="168" fontId="12" fillId="4" borderId="0" xfId="0" applyNumberFormat="1" applyFont="1" applyFill="1" applyAlignment="1">
      <alignment horizontal="left" vertical="top" wrapText="1"/>
    </xf>
    <xf numFmtId="0" fontId="21" fillId="0" borderId="0" xfId="0" applyFont="1" applyAlignment="1">
      <alignment horizontal="left" vertical="top" wrapText="1"/>
    </xf>
    <xf numFmtId="0" fontId="12" fillId="7" borderId="0" xfId="0" applyFont="1" applyFill="1" applyAlignment="1">
      <alignment horizontal="center" wrapText="1"/>
    </xf>
    <xf numFmtId="0" fontId="0" fillId="0" borderId="0" xfId="0" applyAlignment="1">
      <alignment horizontal="center" wrapText="1"/>
    </xf>
    <xf numFmtId="0" fontId="32" fillId="4" borderId="0" xfId="0" applyFont="1" applyFill="1" applyAlignment="1">
      <alignment horizontal="center" vertical="center"/>
    </xf>
    <xf numFmtId="0" fontId="5" fillId="4" borderId="0" xfId="0" applyFont="1" applyFill="1" applyAlignment="1">
      <alignment vertical="center"/>
    </xf>
    <xf numFmtId="0" fontId="12" fillId="4" borderId="77" xfId="0" applyFont="1" applyFill="1" applyBorder="1" applyAlignment="1">
      <alignment vertical="top" wrapText="1"/>
    </xf>
    <xf numFmtId="0" fontId="12" fillId="4" borderId="0" xfId="0" applyFont="1" applyFill="1" applyAlignment="1">
      <alignment vertical="top" wrapText="1"/>
    </xf>
    <xf numFmtId="43" fontId="15" fillId="3" borderId="0" xfId="18" applyFont="1" applyFill="1">
      <alignment/>
    </xf>
    <xf numFmtId="0" fontId="0" fillId="3" borderId="0" xfId="0" applyFill="1" applyProtection="1">
      <alignment/>
      <protection/>
    </xf>
  </cellXfs>
  <cellStyles count="19">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 name="Čárka" xfId="18" builtinId="3"/>
  </cellStyles>
  <dxfs count="91">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178" formatCode="#,##0.0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7">
              <xs:complexType>
                <xs:sequence>
                  <xs:element maxOccurs="1" minOccurs="1" name="VetaD">
                    <xs:complexType>
                      <xs:attribute name="kc_csprij" use="optional">
                        <xs:annotation>
                          <xs:documentation>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p15_1e1" use="optional">
                        <xs:simpleType>
                          <xs:restriction base="xs:decimal">
                            <xs:totalDigits value="14"/>
                            <xs:fractionDigits value="0"/>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rok" use="required">
                        <xs:annotation>
                          <xs:documentation>Uveďte rok, za který je DAP podáváno.&lt;br /&gt;Položka obsahuje kritické kontroly: rok může nabývat pouze hodnoty 2021 a 2022; nelze vložit DAP na rok vyšší než je rok z data úmrtí poplatníka.</xs:documentation>
                        </xs:annotation>
                        <xs:simpleType>
                          <xs:restriction base="xs:decimal">
                            <xs:totalDigits value="4"/>
                            <xs:fractionDigits value="0"/>
                          </xs:restriction>
                        </xs:simpleType>
                      </xs:attribute>
                      <xs:attribute name="pln_moc" use="required">
                        <xs:annotation>
                          <xs:documentation>Uveďte, zda DAP podal daňový poradce na základě plné moci.</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fixed="DP7" name="dokument" use="required"/>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manztpp" use="optional">
                        <xs:simpleType>
                          <xs:restriction base="xs:decimal">
                            <xs:totalDigits value="14"/>
                            <xs:fractionDigits value="0"/>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manz_jmeno"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da_slevy" use="optional">
                        <xs:simpleType>
                          <xs:restriction base="xs:decimal">
                            <xs:totalDigits value="14"/>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manz_prijmeni" use="optional">
                        <xs:simpleType>
                          <xs:restriction base="xs:string">
                            <xs:minLength value="0"/>
                            <xs:maxLength value="36"/>
                          </xs:restriction>
                        </xs:simpleType>
                      </xs:attribute>
                      <xs:attribute name="kc_pzdp" use="optional">
                        <xs:simpleType>
                          <xs:restriction base="xs:decimal">
                            <xs:totalDigits value="14"/>
                            <xs:fractionDigits value="0"/>
                          </xs:restriction>
                        </xs:simpleType>
                      </xs:attribute>
                      <xs:attribute name="kc_op15_1d" use="optional">
                        <xs:simpleType>
                          <xs:restriction base="xs:decimal">
                            <xs:totalDigits value="14"/>
                            <xs:fractionDigits value="0"/>
                          </xs:restriction>
                        </xs:simpleType>
                      </xs:attribute>
                      <xs:attribute name="kc_zbyvpred" use="optional">
                        <xs:annotation>
                          <xs:documentation>Zbývá doplatit (ř. 77 - ř. 77a - ř. 84 - ř. 85 - ř. 86 - ř. 87 - ř. 87a - ř. 88 + ř. 89 - ř. 90): (+) zbývá doplatit, (-) zaplaceno více&lt;br&gt;&amp;nbsp&lt;br&gt;Kladná částka znamená, že zbývá na dani doplatit vypočtenou částku. Záporná částka znamená, že bylo zaplaceno více. Pokud daň na ř. 77 nepřesáhla 200 Kč, postupuje se dle § 38b zákona. Vypočtená hodnota představuje celkovou částku, nikoli dílčí částku z dodatečného daňového přiznání.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op15_1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uhrn_slevy35ba"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kc_pausal" use="optional">
                        <xs:annotation>
                          <xs:documentation>Uveďte úhrn záloh na daň z příjmů fyzických osob, které jste zaplatil (zaplatila), v průběhu zdaňovacího období 2024 nebo části zdaňovacího období 2024, ve kterém jste byl/a v paušálním režimu, za něž je podáváno DAP.</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(po slevách na dani), které Vám byly sraženy všemi zaměstnavateli. Zálohy na daň z příjmů ze závislé činnosti uveďte v souladu s § 5 odst. 4 zákona (ve vzoru Potvrzení č. 31 se jedná o údaj uvedený na řádku 8).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 35c zákona, pokud jeho výše činí alespoň 100 Kč.</xs:documentation>
                        </xs:annotation>
                        <xs:simpleType>
                          <xs:restriction base="xs:decimal">
                            <xs:totalDigits value="14"/>
                            <xs:fractionDigits value="0"/>
                          </xs:restriction>
                        </xs:simpleType>
                      </xs:attribute>
                      <xs:attribute name="kc_op15_1a" use="optional">
                        <xs:annotation>
                          <xs:documentation>Uveďte částku 30 840 Kč.</xs:documentation>
                        </xs:annotation>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prop_zahr" use="optional">
                        <xs:simpleType>
                          <xs:restriction base="xs:string">
                            <xs:minLength value="0"/>
                            <xs:maxLength value="1"/>
                          </xs:restriction>
                        </xs:simpleType>
                      </xs:attribute>
                      <xs:attribute name="kc_dazvyhod" use="optional">
                        <xs:annotation>
                          <xs:documentation>Uveďte výši daňového zvýhodnění podle § 35c zákona. Nárok na daňové zvýhodnění činí 15 204 Kč ročně na jedno dítě (1 267 Kč měsíčně), 22 320 Kč ročně na druhé dítě (1 860 Kč měsíčně) a 27 840 Kč ročně na třetí a každé další dítě (2 320 Kč měsíčně). Jedná-li se o dítě, kterému je přiznán nárok na průkaz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xs:documentation>
                        </xs:annotation>
                        <xs:simpleType>
                          <xs:restriction base="xs:decimal">
                            <xs:totalDigits value="14"/>
                            <xs:fractionDigits value="0"/>
                          </xs:restriction>
                        </xs:simpleType>
                      </xs:attribute>
                      <xs:attribute name="kc_zalpred" use="optional">
                        <xs:annotation>
                          <xs:documentation>Uveďte souhrn záloh, které jste zaplatil (zaplatila), v průběhu zdaňovacího období 2024 nebo části zdaňovacího období 2024, za něž je podáváno DAP, včetně přeplatku použitého jako záloha na daň podle § 154 a § 155b daňového řádu.</xs:documentation>
                        </xs:annotation>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dztrata" use="optional">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vyzmanzl" use="optional">
                        <xs:simpleType>
                          <xs:restriction base="xs:decimal">
                            <xs:totalDigits value="2"/>
                            <xs:fractionDigits value="0"/>
                          </xs:restriction>
                        </xs:simpleType>
                      </xs:attribute>
                      <xs:attribute name="da_slevy35c"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2024. Údaje zjistíte z „Potvrzení“ vystaveného jednotlivými zaměstnavateli. Pokud podáváte daňové přiznání a již Vám bylo provedeno roční zúčtování u zaměstnavatele, pak se v Potvrzení vzor č. 32 jedná o součet řádku 9 a doplatku na daňovém bonusu z řádku 13.</xs:documentation>
                        </xs:annotation>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m_manz" use="optional">
                        <xs:simpleType>
                          <xs:restriction base="xs:decimal">
                            <xs:totalDigits value="2"/>
                            <xs:fractionDigits value="0"/>
                          </xs:restriction>
                        </xs:simpleType>
                      </xs:attribute>
                      <xs:attribute name="kc_pzzt" use="optional">
                        <xs:simpleType>
                          <xs:restriction base="xs:decimal">
                            <xs:totalDigits value="14"/>
                            <xs:fractionDigits value="0"/>
                          </xs:restriction>
                        </xs:simpleType>
                      </xs:attribute>
                      <xs:attribute name="sleva_rp" use="optional">
                        <xs:simpleType>
                          <xs:restriction base="xs:decimal">
                            <xs:totalDigits value="1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2024, za něž je podáváno DAP.</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levy35c" use="optional">
                        <xs:simpleType>
                          <xs:restriction base="xs:decimal">
                            <xs:totalDigits value="14"/>
                            <xs:fractionDigits value="0"/>
                          </xs:restriction>
                        </xs:simpleType>
                      </xs:attribute>
                      <xs:attribute name="m_invduch"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kc_op15_1e2" use="optional">
                        <xs:simpleType>
                          <xs:restriction base="xs:decimal">
                            <xs:totalDigits value="14"/>
                            <xs:fractionDigits value="0"/>
                          </xs:restriction>
                        </xs:simpleType>
                      </xs:attribute>
                      <xs:attribute name="kc_sraz_6_4" use="optional">
                        <xs:simpleType>
                          <xs:restriction base="xs:decimal">
                            <xs:totalDigits value="14"/>
                            <xs:fractionDigits value="0"/>
                          </xs:restriction>
                        </xs:simpleType>
                      </xs:attribute>
                      <xs:attribute name="m_deti2" use="optional">
                        <xs:simpleType>
                          <xs:restriction base="xs:decimal">
                            <xs:totalDigits value="3"/>
                            <xs:fractionDigits value="0"/>
                          </xs:restriction>
                        </xs:simpleType>
                      </xs:attribute>
                      <xs:attribute name="m_detiztpp2" use="optional">
                        <xs:simpleType>
                          <xs:restriction base="xs:decimal">
                            <xs:totalDigits value="3"/>
                            <xs:fractionDigits value="0"/>
                          </xs:restriction>
                        </xs:simpleType>
                      </xs:attribute>
                      <xs:attribute name="m_deti3" use="optional">
                        <xs:simpleType>
                          <xs:restriction base="xs:decimal">
                            <xs:totalDigits value="3"/>
                            <xs:fractionDigits value="0"/>
                          </xs:restriction>
                        </xs:simpleType>
                      </xs:attribute>
                      <xs:attribute name="m_detiztpp3" use="optional">
                        <xs:simpleType>
                          <xs:restriction base="xs:decimal">
                            <xs:totalDigits value="3"/>
                            <xs:fractionDigits value="0"/>
                          </xs:restriction>
                        </xs:simpleType>
                      </xs:attribute>
                      <xs:attribute name="manz_d_nar" type="dateInMultiFormat" use="optional"/>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amzakl" use="optional">
                        <xs:simpleType>
                          <xs:restriction base="xs:decimal">
                            <xs:totalDigits value="14"/>
                            <xs:fractionDigits value="0"/>
                          </xs:restriction>
                        </xs:simpleType>
                      </xs:attribute>
                      <xs:attribute name="kc_dan_celk" use="optional">
                        <xs:simpleType>
                          <xs:restriction base="xs:decimal">
                            <xs:totalDigits value="14"/>
                            <xs:fractionDigits value="0"/>
                          </xs:restriction>
                        </xs:simpleType>
                      </xs:attribute>
                      <xs:attribute name="kc_dan_po_db" use="optional">
                        <xs:simpleType>
                          <xs:restriction base="xs:decimal">
                            <xs:totalDigits value="14"/>
                            <xs:fractionDigits value="0"/>
                          </xs:restriction>
                        </xs:simpleType>
                      </xs:attribute>
                      <xs:attribute name="kc_db_po_odpd" use="optional">
                        <xs:simpleType>
                          <xs:restriction base="xs:decimal">
                            <xs:totalDigits value="14"/>
                            <xs:fractionDigits value="0"/>
                          </xs:restriction>
                        </xs:simpleType>
                      </xs:attribute>
                      <xs:attribute name="kc_sleva_exe" use="optional">
                        <xs:annotation>
                          <xs:documentation>Uveďte výši náhrady, kterou Vám ve zdaňovacím období nebo období, za které se podává daňové přiznání, přiznal exekutor při zastavení exekuce, jejímž předmětem byla pohledávka nepřevyšující částku 1 500 Kč bez příslušenství, a která probíhala po dobu alespoň tří let přede dnem nabytí účinnosti zákona č. 286/2021 Sb., z důvodu, že v těchto třech letech nebyla tato pohledávka vymožena ani z části.  Položka obsahuje kritické kontroly: částka nesmí být záporná, může být vyplněno pouze od roku 2022.</xs:documentation>
                        </xs:annotation>
                        <xs:simpleType>
                          <xs:restriction base="xs:decimal">
                            <xs:totalDigits value="14"/>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opr_jmeno" use="optional">
                        <xs:simpleType>
                          <xs:restriction base="xs:string">
                            <xs:minLength value="0"/>
                            <xs:maxLength value="20"/>
                          </xs:restriction>
                        </xs:simpleType>
                      </xs:attribute>
                      <xs:attribute name="email" use="optional">
                        <xs:simpleType>
                          <xs:restriction base="xs:string">
                            <xs:minLength value="0"/>
                            <xs:maxLength value="255"/>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krok_c_obce" use="optional">
                        <xs:annotation>
                          <xs:documentation>Vyplňte název obce z adresy trvalého bydliště nebo sídla&lt;br&gt;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rod_c" use="optional">
                        <xs:simpleType>
                          <xs:restriction base="xs:string">
                            <xs:pattern value="[0-9]{1,10}"/>
                          </xs:restriction>
                        </xs:simpleType>
                      </xs:attribute>
                      <xs:attribute name="c_pasu" use="optional">
                        <xs:simpleType>
                          <xs:restriction base="xs:string">
                            <xs:minLength value="0"/>
                            <xs:maxLength value="16"/>
                          </xs:restriction>
                        </xs:simpleType>
                      </xs:attribute>
                      <xs:attribute name="titul" use="optional">
                        <xs:simpleType>
                          <xs:restriction base="xs:string">
                            <xs:minLength value="0"/>
                            <xs:maxLength value="10"/>
                          </xs:restriction>
                        </xs:simpleType>
                      </xs:attribute>
                      <xs:attribute name="rodnepr" use="optional">
                        <xs:simpleType>
                          <xs:restriction base="xs:string">
                            <xs:minLength value="0"/>
                            <xs:maxLength value="36"/>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c_pop" use="optional">
                        <xs:simpleType>
                          <xs:restriction base="xs:decimal">
                            <xs:totalDigits value="6"/>
                            <xs:fractionDigits value="0"/>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prijmeni" use="optional">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telef" use="optional">
                        <xs:simpleType>
                          <xs:restriction base="xs:string">
                            <xs:minLength value="0"/>
                            <xs:maxLength value="14"/>
                          </xs:restriction>
                        </xs:simpleType>
                      </xs:attribute>
                      <xs:attribute name="z_naz_obce" use="optional">
                        <xs:annotation>
                          <xs:documentation>adresy pro doručování písemností.&lt;br&gt;
Pro popis číselníku Obce klikněte &lt;a href="https://adisspr.mfcr.cz/pmd/dokumentace/ciselniky/ukazka/obce"&gt;zde&lt;/a&gt;.</xs:documentation>
                        </xs:annotation>
                        <xs:simpleType>
                          <xs:restriction base="xs:string">
                            <xs:minLength value="0"/>
                            <xs:maxLength value="48"/>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prijmeni" use="optional">
                        <xs:simpleType>
                          <xs:restriction base="xs:string">
                            <xs:minLength value="0"/>
                            <xs:maxLength value="36"/>
                          </xs:restriction>
                        </xs:simpleType>
                      </xs:attribute>
                      <xs:attribute name="z_c_telef" use="optional">
                        <xs:simpleType>
                          <xs:restriction base="xs:string">
                            <xs:minLength value="0"/>
                            <xs:maxLength value="1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stat" use="optional">
                        <xs:annotation>
                          <xs:documentation>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dic" use="optional">
                        <xs:simpleType>
                          <xs:restriction base="xs:string">
                            <xs:pattern value="[0-9]{1,10}"/>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st_prislus" use="optional">
                        <xs:simpleType>
                          <xs:restriction base="xs:string">
                            <xs:minLength value="0"/>
                            <xs:maxLength value="15"/>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jmeno" use="optional">
                        <xs:simpleType>
                          <xs:restriction base="xs:string">
                            <xs:minLength value="0"/>
                            <xs:maxLength value="30"/>
                          </xs:restriction>
                        </xs:simpleType>
                      </xs:attribute>
                    </xs:complexType>
                  </xs:element>
                  <xs:element maxOccurs="1" minOccurs="0" name="VetaO">
                    <xs:complexType>
                      <xs:attribute name="kc_ztrata2" use="optional">
                        <xs:annotation>
                          <xs:documentation>Uveďte úhrn uplatňované pravomocně stanovené ztráty (za zdaňovací období 2023 lze uplatnit ztrátu pravomocně stanovenou za 5 předcházejících zdaňovacích období, tj. za zdaňovací období 2019, 2020, 2021, 2022, 2023; nebo v rámci dodatečného přiznání za zdaňovací období 2024 ztrátu pravomocně stanovenou za 2 následující zdaňovací období, tj. za zdaňovací období 2025, 2026 a to pouze do souhrnné výše nepřesahující 30 mil. Kč). Pravomocně stanovenou ztrátu lze uplatnit maximálně do výše částky uvedené na ř. 41. Poplatník uplatňující pravomocně stanovenou ztrátu, uvede v povinné samostatné příloze pro poplatníky uplatňující odčitatelnou položku podle § 34 odst. 1 zákona předepsané údaje. Vzor přílohy pro poplatníky uplatňující pravomocně stanovenou ztrátu, tj. pro poplatníky uplatňující odčitatelnou položku podle § 34 odst. 1 zákona je uveden na internetových stránkách na adrese &lt;a target="_blank" href="https://www.financnisprava.cz/"&gt;www.financnisprava.cz &lt;img src="assets/icons/arrow_link.svg" alt="arrow_link"&gt;&lt;/a&gt;.</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xs:documentation>
                        </xs:annotation>
                        <xs:simpleType>
                          <xs:restriction base="xs:decimal">
                            <xs:totalDigits value="14"/>
                            <xs:fractionDigits value="0"/>
                          </xs:restriction>
                        </xs:simpleType>
                      </xs:attribute>
                      <xs:attribute name="kc_prij6" use="optional">
                        <xs:annotation>
                          <xs:documentation>Vyplňte údaje, které zjistíte např. z dokladu „Potvrzení o zdanitelných příjmech ze závislé činnosti, sražených zálohách na daň z těchto příjmů a daňovém zvýhodnění za zdaňovací období 2024 č. 25 5460 MFin 5460 - vzor č. 32 (dále jen „Potvrzení“) vystaveného jednotlivými zaměstnavateli na základě Vaší žádosti podle § 38j odst. 3 zákona. Zahrnete-li do DAP příjmy, ze kterých byla sražena daň podle § 36 odst. 6 a 7 zákona, jste povinen uvést &lt;strong&gt;veškeré&lt;/strong&gt; tyto příjmy do ř. 32 a tyto doložit na „Potvrzení o zdanitelných příjmech ze závislé činnosti plynoucích na základě zákona č. 586/1992 Sb., o daních z příjmů, ve znění pozdějších předpisů a o sražené dani vybírané srážkou podle zvláštní sazby daně z těchto příjmů“ č. 25 5460/A MFin 5460/A - vzor č. 11 (dále jen „Potvrzení o vyplacených příjmech a sražené dani“). Příjmy uveďte v souladu s § 5 odst. 4 zákona (ve vzoru Potvrzení č. 32 se jedná o součet řádků 2., 4. a ve vzoru Potvrzení o vyplacených příjmech a sražené dani č. 11 se jedná o ř. 2).</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příjem snížený o daň zaplacenou z tohoto příjmu v zahraničí uvedenou na ř. 33.</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a máte příjmy ze zdrojů v zahraničí, uveďte na tento řádek daň zaplacenou z těchto příjmů, o kterou lze snížit příjem podle § 6 odst. 13 zákona.</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zakldan8" use="optional">
                        <xs:annotation>
                          <xs:documentation>Vyplňte úhrn příjmů z kapitálového majetku podle § 8 zákona, které zahrnují příjmy ze zdrojů na území České republiky i příjmy ze zdrojů v zahraničí, a to přepočtené na Kč, které nejsou zdaněny zvláštní sazbou daně podle § 36 zákona nebo v režimu § 16a zákona (Příjmy zahrnuté do samostatného základu daně na ř. 38 neuvádějte). Pokud ve zdaňovacím období vykážete příjmy z úroků ze zápůjčky nebo úvěru, je výdajem zaplacený úrok z částek použitých na poskytnutí zápůjčky nebo úvěru, a to až do výše příjmu. Na řádek č. 38 uveďte dílčí základ daně podle § 8 zákona a na vložený list uveďte příjmy a výdaje související s úroky ze zápůjčky nebo úvěru.</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 záporný, uveďte pouze hodnotu z ř. 36. To znamená, že základ daně je tvořen pouze dílčím základem daně podle § 6 zákona.</xs:documentation>
                        </xs:annotation>
                        <xs:simpleType>
                          <xs:restriction base="xs:decimal">
                            <xs:totalDigits value="14"/>
                            <xs:fractionDigits value="0"/>
                          </xs:restriction>
                        </xs:simpleType>
                      </xs:attribute>
                    </xs:complexType>
                  </xs:element>
                  <xs:element maxOccurs="1" minOccurs="0" name="VetaS">
                    <xs:complexTyp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2024.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dcelk" use="optional">
                        <xs:annotation>
                          <xs:documentation>Úhrn nezdanitelných částí základu daně a položek odčitatelných od základu daně (ř. 46 + ř. 47 + ř. 48 + ř. 49 + ř. 50 + ř. 51 + ř. 52 + ř. 53)</xs:documentation>
                        </xs:annotation>
                        <xs:simpleType>
                          <xs:restriction base="xs:decimal">
                            <xs:totalDigits value="14"/>
                            <xs:fractionDigits value="0"/>
                          </xs:restriction>
                        </xs:simpleType>
                      </xs:attribute>
                      <xs:attribute name="kc_op15_8" use="optional">
                        <xs:annotation>
                          <xs:documentation>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p15_12" use="optional">
                        <xs:annotation>
                          <xs:documentation>Uveďte uplatňovanou výši plateb příspěvků, které jste zaplatil (zaplatila) na své penzijní připojištění se státním příspěvkem nebo na doplňkové penzijní spoření, uvedenou v potvrzení penzijní společnosti na zdaňovací období 2024 nebo uplatňovanou výši plateb příspěvků, kterou jste zaplatil (zaplatila) na penzijní pojištění, uvedenou v potvrzení instituce penzijního pojištění o zaplacených příspěvcích na penzijní pojištění na zdaňovací období 2024.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2024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zdsniz" use="optional">
                        <xs:annotation>
                          <xs:documentation>(ř. 45 – ř. 54) – uveďte výpočet podle pokynů. Jestliže vypočtená nebo přenesená hodnota je záporná, uveďte na řádku nulu.&lt;br&gt;U poplatníka uvedeného v § 2 odst. 3 zákona se základ daně sníží za zdaňovací období o částky uvedené na řádcích 46 až 51, pouze pokud se jedná o poplatníka, který je rezidentem členského státu Evropské unie nebo EHP a pokud úhrn jeho příjmů ze zdrojů na území ČR podle § 22 zákona činí nejméně 90 % všech jeho příjmů s výjimkou příjmů, které nejsou předmětem daně podle § 3 nebo 6 zákona, nebo jsou od daně osvobozeny podle § 4, § 4a, § 6 nebo § 10 zákona, nebo příjmů, z nichž je daň vybírána srážkou podle zvláštní sazby daně.</xs:documentation>
                        </xs:annotation>
                        <xs:simpleType>
                          <xs:restriction base="xs:decimal">
                            <xs:totalDigits value="14"/>
                            <xs:fractionDigits value="0"/>
                          </xs:restriction>
                        </xs:simpleType>
                      </xs:attribute>
                      <xs:attribute name="da_dan16" use="optional">
                        <xs:annotation>
                          <xs:documentation>Daň podle § 16 zákona činí 15 % pro část základu daně do 36násobku průměrné mzdy a 23 % pro část základu daně přesahující 36násobek průměrné mzdy. Daň se vypočte ze základu daně uvedeného na ř. 56.</xs:documentation>
                        </xs:annotation>
                        <xs:simpleType>
                          <xs:restriction base="xs:decimal">
                            <xs:totalDigits value="14"/>
                            <xs:fractionDigits value="2"/>
                          </xs:restriction>
                        </xs:simpleType>
                      </xs:attribute>
                      <xs:attribute name="kc_op34_4" use="optional">
                        <xs:annotation>
                          <xs:documentation>Uveďte uplatňovanou výši výdajů (nákladů) vynaložených při realizaci výzkumu a vývoje (Pokyn D-288, ve znění jeho pozdějších změn Pokyn č. MF-17).</xs:documentation>
                        </xs:annotation>
                        <xs:simpleType>
                          <xs:restriction base="xs:decimal">
                            <xs:totalDigits value="14"/>
                            <xs:fractionDigits value="0"/>
                          </xs:restriction>
                        </xs:simpleType>
                      </xs:attribute>
                      <xs:attribute name="kc_podvzdel" use="optional">
                        <xs:simpleType>
                          <xs:restriction base="xs:decimal">
                            <xs:totalDigits value="14"/>
                            <xs:fractionDigits value="0"/>
                          </xs:restriction>
                        </xs:simpleType>
                      </xs:attribute>
                      <xs:attribute name="kc_op15_inpr" use="optional">
                        <xs:annotation>
                          <xs:documentation>Uveďte uplatňovanou výši majetku připsanou poplatníkem ve prospěch dlouhodobého investičního produktu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15_pece" use="optional">
                        <xs:annotation>
                          <xs:documentation>Uveďte uplatňovanou výši pojistného na pojištění dlouhodobé péče, které jste zaplatil (zaplatila) na pojištění dlouhodobé péče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complexType>
                  </xs:element>
                  <xs:element maxOccurs="99" minOccurs="0" name="VetaA">
                    <xs:complexType>
                      <xs:attribute name="vyzdite_prijmeni" use="optional">
                        <xs:annotation>
                          <xs:documentation>Položka obsahuje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kritickou kontrolu: jméno dítěte musí být vyplněno.</xs:documentation>
                        </xs:annotation>
                        <xs:simpleType>
                          <xs:restriction base="xs:string">
                            <xs:minLength value="0"/>
                            <xs:maxLength value="36"/>
                          </xs:restriction>
                        </xs:simpleType>
                      </xs:attribute>
                      <xs:attribute name="vyzdite_pocmes" use="optional">
                        <xs:annotation>
                          <xs:documentation>Vyplňte počet kalendářních měsíců, po které uplatňujete daňové zvýhodnění za 1.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 use="optional">
                        <xs:annotation>
                          <xs:documentation>Vyplňte počet kalendářních měsíců, po které uplatňujete daňové zvýhodnění za 1.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r_cislo" use="optional">
                        <xs:annotation>
                          <xs:documentation>Položka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d_nar" type="dateInMultiFormat" use="optional">
                        <xs:annotation>
                          <xs:documentation>Položka obsahuje kritické kontroly: rodné číslo nebo datum narození musí být vyplněno.</xs:documentation>
                        </xs:annotation>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musí být vyplněn alespoň jeden údaj o počtu uplatňovaných měsíců.</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complexType>
                  </xs:element>
                  <xs:element maxOccurs="1" minOccurs="0" name="VetaB">
                    <xs:complexType>
                      <xs:attribute name="dal_prilohy" use="optional">
                        <xs:annotation>
                          <xs:documentation>Vložte ostatní přílohy.</xs:documentation>
                        </xs:annotation>
                        <xs:simpleType>
                          <xs:restriction base="xs:decimal">
                            <xs:totalDigits value="2"/>
                            <xs:fractionDigits value="0"/>
                          </xs:restriction>
                        </xs:simpleType>
                      </xs:attribute>
                      <xs:attribute name="priloh_celk" use="optional">
                        <xs:simpleType>
                          <xs:restriction base="xs:decimal">
                            <xs:totalDigits value="2"/>
                            <xs:fractionDigits value="0"/>
                          </xs:restriction>
                        </xs:simpleType>
                      </xs:attribute>
                      <xs:attribute name="potv_zivpoj" use="optional">
                        <xs:annotation>
                          <xs:documentation>Vložte danou přílohu.</xs:documentation>
                        </xs:annotation>
                        <xs:simpleType>
                          <xs:restriction base="xs:decimal">
                            <xs:totalDigits value="2"/>
                            <xs:fractionDigits value="0"/>
                          </xs:restriction>
                        </xs:simpleType>
                      </xs:attribute>
                      <xs:attribute name="potv_zam" use="optional">
                        <xs:annotation>
                          <xs:documentation>Vložte danou přílohu.</xs:documentation>
                        </xs:annotation>
                        <xs:simpleType>
                          <xs:restriction base="xs:decimal">
                            <xs:totalDigits value="2"/>
                            <xs:fractionDigits value="0"/>
                          </xs:restriction>
                        </xs:simpleType>
                      </xs:attribute>
                      <xs:attribute name="potv_uver" use="optional">
                        <xs:annotation>
                          <xs:documentation>Vložte danou přílohu.</xs:documentation>
                        </xs:annotation>
                        <xs:simpleType>
                          <xs:restriction base="xs:decimal">
                            <xs:totalDigits value="2"/>
                            <xs:fractionDigits value="0"/>
                          </xs:restriction>
                        </xs:simpleType>
                      </xs:attribute>
                      <xs:attribute name="potv_penpri" use="optional">
                        <xs:annotation>
                          <xs:documentation>Vložte danou přílohu.</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doklad_dar" use="optional">
                        <xs:annotation>
                          <xs:documentation>Vložte danou přílohu.</xs:documentation>
                        </xs:annotation>
                        <xs:simpleType>
                          <xs:restriction base="xs:decimal">
                            <xs:totalDigits value="2"/>
                            <xs:fractionDigits value="0"/>
                          </xs:restriction>
                        </xs:simpleType>
                      </xs:attribute>
                      <xs:attribute name="priloha2" use="optional">
                        <xs:annotation>
                          <xs:documentation>Vložte danou přílohu.&lt;br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ztraty" use="optional">
                        <xs:annotation>
                          <xs:documentation>Vložte danou přílohu.</xs:documentation>
                        </xs:annotation>
                        <xs:simpleType>
                          <xs:restriction base="xs:decimal">
                            <xs:totalDigits value="2"/>
                            <xs:fractionDigits value="0"/>
                          </xs:restriction>
                        </xs:simpleType>
                      </xs:attribute>
                      <xs:attribute name="seznam" use="optional">
                        <xs:annotation>
                          <xs:documentation>Vložte danou přílohu.</xs:documentation>
                        </xs:annotation>
                        <xs:simpleType>
                          <xs:restriction base="xs:decimal">
                            <xs:totalDigits value="2"/>
                            <xs:fractionDigits value="0"/>
                          </xs:restriction>
                        </xs:simpleType>
                      </xs:attribute>
                      <xs:attribute name="priloha1" use="optional">
                        <xs:annotation>
                          <xs:documentation>Vložte danou přílohu.&lt;br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_poduv" use="optional">
                        <xs:annotation>
                          <xs:documentation>Vložte danou přílohu.</xs:documentation>
                        </xs:annotation>
                        <xs:simpleType>
                          <xs:restriction base="xs:decimal">
                            <xs:totalDigits value="2"/>
                            <xs:fractionDigits value="0"/>
                          </xs:restriction>
                        </xs:simpleType>
                      </xs:attribute>
                      <xs:attribute name="pril3_samlist" use="optional">
                        <xs:annotation>
                          <xs:documentation>Vložte danou přílohu.</xs:documentation>
                        </xs:annotation>
                        <xs:simpleType>
                          <xs:restriction base="xs:decimal">
                            <xs:totalDigits value="2"/>
                            <xs:fractionDigits value="0"/>
                          </xs:restriction>
                        </xs:simpleType>
                      </xs:attribute>
                      <xs:attribute name="potv_36" use="optional">
                        <xs:simpleType>
                          <xs:restriction base="xs:decimal">
                            <xs:totalDigits value="2"/>
                            <xs:fractionDigits value="0"/>
                          </xs:restriction>
                        </xs:simpleType>
                      </xs:attribute>
                      <xs:attribute name="potv_zahrsd" use="optional">
                        <xs:simpleType>
                          <xs:restriction base="xs:decimal">
                            <xs:totalDigits value="2"/>
                            <xs:fractionDigits value="0"/>
                          </xs:restriction>
                        </xs:simpleType>
                      </xs:attribute>
                      <xs:attribute name="vklad_ku" use="optional">
                        <xs:simpleType>
                          <xs:restriction base="xs:decimal">
                            <xs:totalDigits value="2"/>
                            <xs:fractionDigits value="0"/>
                          </xs:restriction>
                        </xs:simpleType>
                      </xs:attribute>
                      <xs:attribute name="potv_dazvyh" use="optional">
                        <xs:simpleType>
                          <xs:restriction base="xs:decimal">
                            <xs:totalDigits value="2"/>
                            <xs:fractionDigits value="0"/>
                          </xs:restriction>
                        </xs:simpleType>
                      </xs:attribute>
                      <xs:attribute name="pril_loto" use="optional">
                        <xs:simpleType>
                          <xs:restriction base="xs:decimal">
                            <xs:totalDigits value="2"/>
                            <xs:fractionDigits value="0"/>
                          </xs:restriction>
                        </xs:simpleType>
                      </xs:attribute>
                      <xs:attribute name="priloha4" use="optional">
                        <xs:annotation>
                          <xs:documentation>Vložte danou přílohu.</xs:documentation>
                        </xs:annotation>
                        <xs:simpleType>
                          <xs:restriction base="xs:decimal">
                            <xs:totalDigits value="2"/>
                            <xs:fractionDigits value="0"/>
                          </xs:restriction>
                        </xs:simpleType>
                      </xs:attribute>
                      <xs:attribute name="usn_exe" use="optional">
                        <xs:annotation>
                          <xs:documentation>Vložte danou přílohu.</xs:documentation>
                        </xs:annotation>
                        <xs:simpleType>
                          <xs:restriction base="xs:decimal">
                            <xs:totalDigits value="2"/>
                            <xs:fractionDigits value="0"/>
                          </xs:restriction>
                        </xs:simpleType>
                      </xs:attribute>
                      <xs:attribute name="potv_inpr" use="optional">
                        <xs:simpleType>
                          <xs:restriction base="xs:decimal">
                            <xs:totalDigits value="2"/>
                            <xs:fractionDigits value="0"/>
                          </xs:restriction>
                        </xs:simpleType>
                      </xs:attribute>
                      <xs:attribute name="potv_pece" use="optional">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  &lt;br&gt;&lt;strong&gt;Neuvádějte údaje o skutečnostech, ke kterým došlo před 1. 1. roku za který podáváte.&lt;/strong&gt;</xs:documentation>
                        </xs:annotation>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5 zákona) pro uplatnění částek podle § 34 odst. 4 zákona v platném znění, částky sraženého pojistného neodvedeného do konce měsíce následujícího po uplynutí zdaňovacího období u zaměstnavatelů vedoucích účetnictví, částky úprav při ukončení nebo přerušení činnosti a při změně způsobu uplatňování výdajů, nebo částky podle § 5 odst. 10 zákona apod.</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skutečného přerušení činnosti.  &lt;br&gt;&lt;strong&gt;Neuvádějte údaje o skutečnostech, ke kterým došlo před 1. 1. roku za který podáváte.&lt;/strong&gt;&gt;</xs:documentation>
                        </xs:annotation>
                      </xs:attribute>
                      <xs:attribute name="kc_prij7" use="optional">
                        <xs:annotation>
                          <xs:documentation>Do řádku vyplňte úhrn příjmů ze samostatné činnosti (§ 7 zákona) ovlivňujících základ daně z příjmů fyzických osob podle zákona k 31. 12. 2024.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Údaje o osobě podnikatele (včetně člena rodiny zúčastněného na provozu rodinného závodu),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zákona.&lt;br&gt;Údaje o osobách (včetně členů rodiny zúčastněných na provozu rodinného závodu),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kc_odpnem" use="optional">
                        <xs:annotation>
                          <xs:documentation>Uveďte z celkově uplatněných odpisů z obchodního majetku poplatníka odpisy nemovitých věcí.</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daňovou evidenci, nelze zároveň uplatnit výdaje procentem z příjmů.</xs:documentation>
                        </xs:annotation>
                        <xs:simpleType>
                          <xs:restriction base="xs:string">
                            <xs:minLength value="0"/>
                            <xs:maxLength value="1"/>
                          </xs:restriction>
                        </xs:simpleType>
                      </xs:attribute>
                      <xs:attribute name="kc_cisobr" use="optional">
                        <xs:annotation>
                          <xs:documentation>Vedete-li účetnictví, uveďte roční úhrn čistého obratu podle § 1d odst. 2 zákona č. 563/1991 Sb., o účetnictví, ve znění pozdějších předpisů.</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  &lt;br&gt;&lt;strong&gt;Neuvádějte údaje o skutečnostech, ke kterým došlo před 1. 1. roku za který podáváte.&lt;/strong&gt;</xs:documentation>
                        </xs:annotation>
                      </xs:attribute>
                      <xs:attribute name="kc_hosp_rozd" use="optional">
                        <xs:simpleType>
                          <xs:restriction base="xs:decimal">
                            <xs:totalDigits value="14"/>
                            <xs:fractionDigits value="0"/>
                          </xs:restriction>
                        </xs:simpleType>
                      </xs:attribute>
                      <xs:attribute name="d_ukoncin" type="dateInMultiFormat" use="optional">
                        <xs:annotation>
                          <xs:documentation>Uveďte datum skutečného ukončení činnosti. Uveďte datum &lt;br&gt;&lt;strong&gt;Neuvádějte údaje o skutečnostech, ke kterým došlo před 1. 1. roku za který podáváte.&lt;/strong&gt;</xs:documentation>
                        </xs:annotation>
                      </xs:attribute>
                      <xs:attribute name="pr_vyd7" use="optional">
                        <xs:simpleType>
                          <xs:restriction base="xs:decimal">
                            <xs:totalDigits value="14"/>
                            <xs:fractionDigits value="0"/>
                          </xs:restriction>
                        </xs:simpleType>
                      </xs:attribute>
                      <xs:attribute name="pr_sazba"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vyd7" use="optional">
                        <xs:annotation>
                          <xs:documentation>Do řádku vyplňte úhrn výdajů souvisejících s příjmy ze samostatné činnosti  (§ 7 zákona) ovlivňujících základ daně z příjmů fyzických osob podle zákona k 31. 12. 2024.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2023 uplatnil výdaje v prokázané výši a ve zdaňovacím období 2024 chcete  uplatnit výdaje procentem z příjmů, upravte výsledek hospodaření nebo rozdíl mezi příjmy a výdaji za zdaňovací období 2023 podle  § 23 odst. 8 zákona prostřednictvím dodatečného daňového přiznání za zdaňovací období roku 2023.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daňovou evidenci, musí položka uc_soust nabývat hodnoty 1; pokud jsou vyplněny vybrané údaje z účetních výkazů a zároveň je řádek č. 203 nevyplněn, musí položka uc_soust nabývat hodnoty 2.</xs:documentation>
                        </xs:annotation>
                        <xs:simpleType>
                          <xs:restriction base="xs:string">
                            <xs:minLength value="0"/>
                            <xs:maxLength value="1"/>
                          </xs:restriction>
                        </xs:simpleType>
                      </xs:attribute>
                      <xs:attribute name="kc_pod_so" use="optional">
                        <xs:annotation>
                          <xs:documentation>Uveďte část příjmů nebo výsledku hospodaření (zisk), &lt;strong&gt;kterou rozdělujete&lt;/strong&gt; na spolupracující &lt;strong&gt;osobu&lt;/strong&gt; (osoby) podle § 13 zákona.</xs:documentation>
                        </xs:annotation>
                        <xs:simpleType>
                          <xs:restriction base="xs:decimal">
                            <xs:totalDigits value="14"/>
                            <xs:fractionDigits value="0"/>
                          </xs:restriction>
                        </xs:simpleType>
                      </xs:attribute>
                    </xs:complexType>
                  </xs:element>
                  <xs:element maxOccurs="99" minOccurs="0" name="Vetac">
                    <xs:complexType>
                      <xs:attribute name="prijmy7" use="optional">
                        <xs:simpleType>
                          <xs:restriction base="xs:decimal">
                            <xs:totalDigits value="14"/>
                            <xs:fractionDigits value="0"/>
                          </xs:restriction>
                        </xs:simpleType>
                      </xs:attribute>
                      <xs:attribute name="sazba_dal"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complexType>
                  </xs:element>
                  <xs:element maxOccurs="1" minOccurs="0" name="VetaU">
                    <xs:complexTyp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listy,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dic" use="optional">
                        <xs:simpleType>
                          <xs:restriction base="xs:string">
                            <xs:pattern value="[0-9]{1,10}"/>
                          </xs:restriction>
                        </xs:simpleType>
                      </xs:attribute>
                      <xs:attribute name="ucsdruz_podvyd" use="optional">
                        <xs:simpleType>
                          <xs:restriction base="xs:decimal">
                            <xs:totalDigits value="14"/>
                            <xs:fractionDigits value="2"/>
                          </xs:restriction>
                        </xs:simpleType>
                      </xs:attribute>
                      <xs:attribute name="ucsdruz_jmeno"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prijmeni" use="optional">
                        <xs:simpleType>
                          <xs:restriction base="xs:string">
                            <xs:minLength value="0"/>
                            <xs:maxLength value="36"/>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prijmeni" use="optional">
                        <xs:simpleType>
                          <xs:restriction base="xs:string">
                            <xs:minLength value="0"/>
                            <xs:maxLength value="36"/>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spol_jm_manz" use="optional">
                        <xs:annotation>
                          <xs:documentation>Máte-li příjmy z 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prij9" use="optional">
                        <xs:annotation>
                          <xs:documentation>Uveďte na ř. 201 příjmy z nájmu evidované podle § 9 odst. 5 zákona v záznamech o příjmech, podle § 9 odst. 6 zákona v záznamech o příjmech a výdajích.</xs:documentation>
                        </xs:annotation>
                        <xs:simpleType>
                          <xs:restriction base="xs:decimal">
                            <xs:totalDigits value="14"/>
                            <xs:fractionDigits value="0"/>
                          </xs:restriction>
                        </xs:simpleType>
                      </xs:attribute>
                      <xs:attribute name="kc_vyd9" use="optional">
                        <xs:annotation>
                          <xs:documentation>Uveďte na ř. 202 &lt;strong&gt;výdaje z nájmu&lt;/strong&gt; evidované podle § 9 odst. 6 zákona v záznamech o příjmech a výdajích, případně výdaje uplatňované procentem z příjmů podle § 9 odst. 4 zákona.&lt;br&gt;V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ar9_nem" use="optional">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v) zákona.</xs:documentation>
                        </xs:annotation>
                        <xs:simpleType>
                          <xs:restriction base="xs:decimal">
                            <xs:totalDigits value="14"/>
                            <xs:fractionDigits value="0"/>
                          </xs:restriction>
                        </xs:simpleType>
                      </xs:attribute>
                      <xs:attribute name="kod10" use="optional">
                        <xs:annotation>
                          <xs:documentation>Přípustné symboly: P, S, Z, N. Kód „P“ vyplňte pouze v případě, že máte příjmy ze zemědělské výroby a uplatňujete výdaje procentem z příjmů (80 % nejvýše lze však uplatnit výdaje do částky 1 600 000 Kč).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Uveďte výdaje prokazatelně vynaložené na dosažení příjmů, a to ve skutečné výši. To neplatí u příjmů podle § 10 odst. 1 písm. h) bod 1 zákona (příjmy z loterie a tomboly). Pouze u zemědělské výroby, lesního a vodního hospodářství, které nejsou provozovány podnikatelem, je možno uplatnit výdaje procentem z příjmů, a to za zdaňovací období 2024 ve výši 80 %, nejvýše lze však uplatnit výdaje do částky 1 600 000 Kč.</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(např. příjmy z hazardních her podle § 10 odst. 1 písm. h) bod 2 až 6 zákona), &lt;strong&gt;G&lt;/strong&gt; – bezúplatné příjmy, &lt;strong&gt;H&lt;/strong&gt; - příjmy z loterie a tomboly podle § 10 odst. 1 písm. h) bod 1 zákona.</xs:documentation>
                        </xs:annotation>
                        <xs:simpleType>
                          <xs:restriction base="xs:string">
                            <xs:minLength value="0"/>
                            <xs:maxLength value="1"/>
                          </xs:restriction>
                        </xs:simpleType>
                      </xs:attribute>
                    </xs:complexType>
                  </xs:element>
                  <xs:element maxOccurs="1" minOccurs="0" name="VetaW">
                    <xs:complexType>
                      <xs:attribute name="kc_vynprij" use="optional">
                        <xs:annotation>
                          <xs:documentation>Na tomto řádku uveďte rozdíl úhrnu dílčích základů daně podle § 7 až § 10 zákona (ř. 41) a úhrnu vyňatých příjmů ze zdrojů v zahraničí podle § 7 až § 10 zákona.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dle § 6 zákona.</xs:documentation>
                        </xs:annotation>
                        <xs:simpleType>
                          <xs:restriction base="xs:decimal">
                            <xs:totalDigits value="14"/>
                            <xs:fractionDigits value="0"/>
                          </xs:restriction>
                        </xs:simpleType>
                      </xs:attribute>
                      <xs:attribute name="da_zazahr" use="optional">
                        <xs:annotation>
                          <xs:documentation>Údaj na tomto řádku přeneste na &lt;strong&gt;ř. 58, 4. oddílu základní části DAP, na str. 2 k dalšímu výpočtu.&lt;/strong&gt; </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 3 a ze samostatných listů Přílohy č. 3, ve kterých jste provedl metodu prostého zápočtu daně zaplacené v zahraničí pro jednotlivé státy podle § 38f odst. 8 zákona. Částku daně můžete uplatnit za podmínek daných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nebo ř. 316).</xs:documentation>
                        </xs:annotation>
                        <xs:simpleType>
                          <xs:restriction base="xs:decimal">
                            <xs:totalDigits value="17"/>
                            <xs:fractionDigits value="2"/>
                          </xs:restriction>
                        </xs:simpleType>
                      </xs:attribute>
                      <xs:attribute name="roz_od10" use="optional">
                        <xs:simpleType>
                          <xs:restriction base="xs:decimal">
                            <xs:totalDigits value="14"/>
                            <xs:fractionDigits value="0"/>
                          </xs:restriction>
                        </xs:simpleType>
                      </xs:attribute>
                      <xs:attribute name="kc_zakztr" use="optional">
                        <xs:simpleType>
                          <xs:restriction base="xs:decimal">
                            <xs:totalDigits value="14"/>
                            <xs:fractionDigits value="0"/>
                          </xs:restriction>
                        </xs:simpleType>
                      </xs:attribute>
                      <xs:attribute name="proc_od10" use="optional">
                        <xs:simpleType>
                          <xs:restriction base="xs:decimal">
                            <xs:totalDigits value="14"/>
                            <xs:fractionDigits value="2"/>
                          </xs:restriction>
                        </xs:simpleType>
                      </xs:attribute>
                      <xs:attribute name="da_vzahod9" use="optional">
                        <xs:simpleType>
                          <xs:restriction base="xs:decimal">
                            <xs:totalDigits value="14"/>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nebo ř. 313),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xs:documentation>
                        </xs:annotation>
                        <xs:simpleType>
                          <xs:restriction base="xs:decimal">
                            <xs:totalDigits value="14"/>
                            <xs:fractionDigits value="0"/>
                          </xs:restriction>
                        </xs:simpleType>
                      </xs:attribute>
                      <xs:attribute name="roz_od12" use="optional">
                        <xs:annotation>
                          <xs:documentation>Na tomto řádku uveďte kladnou hodnotu výpočtu (ř. 323 – ř. 326). V případě, že rozdíl řádků je záporný, řádek proškrtněte.</xs:documentation>
                        </xs:annotation>
                        <xs:simpleType>
                          <xs:restriction base="xs:decimal">
                            <xs:totalDigits value="17"/>
                            <xs:fractionDigits value="2"/>
                          </xs:restriction>
                        </xs:simpleType>
                      </xs:attribute>
                      <xs:attribute name="kc_k_zapzahr" use="optional">
                        <xs:annotation>
                          <xs:documentation>Do tohoto řádku 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&lt;strong&gt;nebo daň po případném vynětí příjmů ze zdrojů v zahraničí (ř. 57 neb ř. 316)&lt;/strong&gt;.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 8 zákona metoda provádí za každý stát samostatně. Proto v případě, že Vám plynou příjmy z více států, použijte k výpočtu za každý další stát Samostatný list &lt;strong&gt;Přílohy č. 3&lt;/strong&gt; uvedený na webové adrese: &lt;a target="_blank" href="https://www.financnisprava.cz/"&gt;www.financnisprava.cz &lt;img src="assets/icons/arrow_link.svg" alt="arrow_link"&gt;&lt;/a&gt;.&lt;br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complexType>
                  </xs:element>
                  <xs:element maxOccurs="8" minOccurs="0" name="VetaM">
                    <xs:complexTyp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3"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complexType>
                  </xs:element>
                  <xs:element maxOccurs="1" minOccurs="0" name="VetaN">
                    <xs:complexType>
                      <xs:attribute name="zvp_k_bank" use="optional">
                        <xs:annotation>
                          <xs:documentation>&lt;br&gt;
Pro popis číselníku Kód banky klikněte &lt;a href="https://adisspr.mfcr.cz/pmd/dokumentace/ciselniky/ukazka/cbanka"&gt;zde&lt;/a&gt;.</xs:documentation>
                        </xs:annotation>
                        <xs:simpleType>
                          <xs:restriction base="xs:decimal">
                            <xs:totalDigits value="4"/>
                            <xs:fractionDigits value="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psc_banky" use="optional">
                        <xs:simpleType>
                          <xs:restriction base="xs:string">
                            <xs:minLength value="0"/>
                            <xs:maxLength value="35"/>
                          </xs:restriction>
                        </xs:simpleType>
                      </xs:attribute>
                      <xs:attribute name="zvp_psc" use="optional">
                        <xs:simpleType>
                          <xs:restriction base="xs:decimal">
                            <xs:totalDigits value="5"/>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ulice_prij" use="optional">
                        <xs:simpleType>
                          <xs:restriction base="xs:string">
                            <xs:minLength value="0"/>
                            <xs:maxLength value="35"/>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c_nest_uctu" use="optional">
                        <xs:annotation>
                          <xs:documentation>Uveďte číslo zahraničního účtu (nebo účtu v ČR vedeného v cizí měně)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orient" use="optional">
                        <xs:simpleType>
                          <xs:restriction base="xs:string">
                            <xs:minLength value="0"/>
                            <xs:maxLength value="4"/>
                          </xs:restriction>
                        </xs:simpleType>
                      </xs:attribute>
                      <xs:attribute name="naz_adr_banky" use="optional">
                        <xs:annotation>
                          <xs:documentation>Uveďte název finanční instituce, u které je zahraniční účet(nebo účet v ČR vedený v cizí měně) veden.&lt;br&gt;Položka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ulice" use="optional">
                        <xs:simpleType>
                          <xs:restriction base="xs:string">
                            <xs:minLength value="0"/>
                            <xs:maxLength value="38"/>
                          </xs:restriction>
                        </xs:simpleType>
                      </xs:attribute>
                      <xs:attribute name="zvp_titul" use="optional">
                        <xs:simpleType>
                          <xs:restriction base="xs:string">
                            <xs:minLength value="0"/>
                            <xs:maxLength value="10"/>
                          </xs:restriction>
                        </xs:simpleType>
                      </xs:attribute>
                      <xs:attribute name="psc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jmeno" use="optional">
                        <xs:simpleType>
                          <xs:restriction base="xs:string">
                            <xs:minLength value="0"/>
                            <xs:maxLength value="20"/>
                          </xs:restriction>
                        </xs:simpleType>
                      </xs:attribute>
                      <xs:attribute name="zvp_spec_symb" use="optional">
                        <xs:simpleType>
                          <xs:restriction base="xs:string">
                            <xs:minLength value="0"/>
                            <xs:maxLength value="10"/>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href="https://adisspr.mfcr.cz/pmd/dokumentace/ciselniky/ukazka/zeme"&gt;zde&lt;/a&gt;.</xs:documentation>
                        </xs:annotation>
                        <xs:simpleType>
                          <xs:restriction base="xs:string">
                            <xs:minLength value="0"/>
                            <xs:maxLength value="2"/>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k_meny_uctu" use="optional">
                        <xs:annotation>
                          <xs:documentation>Uveďte kód měny, ve které je zahraniční účet (nebo účet v ČR vedený v cizí měně) veden.&lt;br /&gt;Pro hodnotu této položky použijte číselník Země (zeme). Z číselníku se vkládá položka k_meny.&lt;br /&gt;Položka obsahuje kritickou kontrolu: hodnota musí být platnou hodnotou z číselníku měn.&lt;br&gt;
Pro popis číselníku Země klikněte &lt;a href="https://adisspr.mfcr.cz/pmd/dokumentace/ciselniky/ukazka/zeme"&gt;zde&lt;/a&gt;.</xs:documentation>
                        </xs:annotation>
                        <xs:simpleType>
                          <xs:restriction base="xs:string">
                            <xs:minLength value="0"/>
                            <xs:maxLength value="3"/>
                          </xs:restriction>
                        </xs:simpleType>
                      </xs:attribute>
                      <xs:attribute name="zvp_prijmeni" use="optional">
                        <xs:simpleType>
                          <xs:restriction base="xs:string">
                            <xs:minLength value="0"/>
                            <xs:maxLength value="36"/>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bankovního účtu.&lt;br /&gt;Položka obsahuje kritickou kontrolu: číslo bankovního účtu musí být správné</xs:documentation>
                        </xs:annotation>
                        <xs:simpleType>
                          <xs:restriction base="xs:string">
                            <xs:pattern value="[0-9]{1,10}"/>
                          </xs:restriction>
                        </xs:simpleType>
                      </xs:attribute>
                      <xs:attribute name="zvp_c_obce" use="optional">
                        <xs:simpleType>
                          <xs:restriction base="xs:decimal">
                            <xs:totalDigits value="6"/>
                            <xs:fractionDigits value="0"/>
                          </xs:restriction>
                        </xs:simpleType>
                      </xs:attribute>
                    </xs:complexType>
                  </xs:element>
                  <xs:element maxOccurs="unbounded" minOccurs="0" name="Vetab">
                    <xs:complexType>
                      <xs:attribute name="kc_zalzavcp" use="optional">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p" use="optional">
                        <xs:simpleType>
                          <xs:restriction base="xs:decimal">
                            <xs:totalDigits value="14"/>
                            <xs:fractionDigits value="0"/>
                          </xs:restriction>
                        </xs:simpleType>
                      </xs:attribute>
                      <xs:attribute name="kc_sraz368p" use="optional">
                        <xs:simpleType>
                          <xs:restriction base="xs:decimal">
                            <xs:totalDigits value="14"/>
                            <xs:fractionDigits value="0"/>
                          </xs:restriction>
                        </xs:simpleType>
                      </xs:attribute>
                      <xs:attribute name="zamestnavatel" use="optional">
                        <xs:simpleType>
                          <xs:restriction base="xs:string">
                            <xs:minLength value="0"/>
                            <xs:maxLength value="255"/>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complexType>
                  </xs:element>
                  <xs:element maxOccurs="unbounded" minOccurs="0" name="VetaUA">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X">
                    <xs:complexTyp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Y">
                    <xs:complexTyp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musí být vyplněna v každém záznamu čísla rozhodnutí KÚ.</xs:documentation>
                        </xs:annotation>
                        <xs:simpleType>
                          <xs:restriction base="xs:string">
                            <xs:minLength value="0"/>
                            <xs:maxLength value="1"/>
                          </xs:restriction>
                        </xs:simpleType>
                      </xs:attribute>
                      <xs:attribute name="c_porlist" use="optional">
                        <xs:annotation>
                          <xs:documentation>Položka obsahuje kritické kontroly: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musí být vyplněna v každém záznamu čísla rozhodnutí KÚ.</xs:documentation>
                        </xs:annotation>
                        <xs:simpleType>
                          <xs:restriction base="xs:decimal">
                            <xs:totalDigits value="4"/>
                            <xs:fractionDigits value="0"/>
                          </xs:restriction>
                        </xs:simpleType>
                      </xs:attribute>
                      <xs:attribute name="c_prac_ku" use="optional">
                        <xs:annotation>
                          <xs:documentation>Položka obsahuje kritické kontroly: musí být vyplněna v každém záznamu čísla rozhodnutí KÚ.</xs:documentation>
                        </xs:annotation>
                        <xs:simpleType>
                          <xs:restriction base="xs:decimal">
                            <xs:totalDigits value="3"/>
                            <xs:fractionDigits value="0"/>
                          </xs:restriction>
                        </xs:simpleType>
                      </xs:attribute>
                    </xs:complexType>
                  </xs:element>
                  <xs:element maxOccurs="1" minOccurs="0" name="VetaZ">
                    <xs:complexType>
                      <xs:attribute name="kc_prij48" use="optional">
                        <xs:simpleType>
                          <xs:restriction base="xs:decimal">
                            <xs:totalDigits value="14"/>
                            <xs:fractionDigits value="0"/>
                          </xs:restriction>
                        </xs:simpleType>
                      </xs:attribute>
                      <xs:attribute name="kc_prij410h" use="optional">
                        <xs:simpleType>
                          <xs:restriction base="xs:decimal">
                            <xs:totalDigits value="14"/>
                            <xs:fractionDigits value="0"/>
                          </xs:restriction>
                        </xs:simpleType>
                      </xs:attribute>
                      <xs:attribute name="kc_vyd410h" use="optional">
                        <xs:simpleType>
                          <xs:restriction base="xs:decimal">
                            <xs:totalDigits value="14"/>
                            <xs:fractionDigits value="0"/>
                          </xs:restriction>
                        </xs:simpleType>
                      </xs:attribute>
                      <xs:attribute name="kc_prij410f" use="optional">
                        <xs:simpleType>
                          <xs:restriction base="xs:decimal">
                            <xs:totalDigits value="14"/>
                            <xs:fractionDigits value="0"/>
                          </xs:restriction>
                        </xs:simpleType>
                      </xs:attribute>
                      <xs:attribute name="kc_vyd410f" use="optional">
                        <xs:simpleType>
                          <xs:restriction base="xs:decimal">
                            <xs:totalDigits value="14"/>
                            <xs:fractionDigits value="0"/>
                          </xs:restriction>
                        </xs:simpleType>
                      </xs:attribute>
                      <xs:attribute name="kc_zd48" use="optional">
                        <xs:simpleType>
                          <xs:restriction base="xs:decimal">
                            <xs:totalDigits value="14"/>
                            <xs:fractionDigits value="0"/>
                          </xs:restriction>
                        </xs:simpleType>
                      </xs:attribute>
                      <xs:attribute name="kc_zd410h" use="optional">
                        <xs:simpleType>
                          <xs:restriction base="xs:decimal">
                            <xs:totalDigits value="14"/>
                            <xs:fractionDigits value="0"/>
                          </xs:restriction>
                        </xs:simpleType>
                      </xs:attribute>
                      <xs:attribute name="kc_zd410f" use="optional">
                        <xs:simpleType>
                          <xs:restriction base="xs:decimal">
                            <xs:totalDigits value="14"/>
                            <xs:fractionDigits value="0"/>
                          </xs:restriction>
                        </xs:simpleType>
                      </xs:attribute>
                      <xs:attribute name="kc_dan415" use="optional">
                        <xs:simpleType>
                          <xs:restriction base="xs:decimal">
                            <xs:totalDigits value="14"/>
                            <xs:fractionDigits value="0"/>
                          </xs:restriction>
                        </xs:simpleType>
                      </xs:attribute>
                      <xs:attribute name="kc_uh415" use="optional">
                        <xs:simpleType>
                          <xs:restriction base="xs:decimal">
                            <xs:totalDigits value="14"/>
                            <xs:fractionDigits value="0"/>
                          </xs:restriction>
                        </xs:simpleType>
                      </xs:attribute>
                      <xs:attribute name="kc_zahr415" use="optional">
                        <xs:simpleType>
                          <xs:restriction base="xs:decimal">
                            <xs:totalDigits value="14"/>
                            <xs:fractionDigits value="0"/>
                          </xs:restriction>
                        </xs:simpleType>
                      </xs:attribute>
                      <xs:attribute name="kc_uznzap415" use="optional">
                        <xs:simpleType>
                          <xs:restriction base="xs:decimal">
                            <xs:totalDigits value="16"/>
                            <xs:fractionDigits value="2"/>
                          </xs:restriction>
                        </xs:simpleType>
                      </xs:attribute>
                      <xs:attribute name="da_samzakl4" use="optional">
                        <xs:simpleType>
                          <xs:restriction base="xs:decimal">
                            <xs:totalDigits value="14"/>
                            <xs:fractionDigits value="0"/>
                          </xs:restriction>
                        </xs:simpleType>
                      </xs:attribute>
                      <xs:attribute name="kc_uhrndzd" use="optional">
                        <xs:annotation>
                          <xs:documentation>Uveďte zaokrouhlený součet dílčích základů daně.</xs:documentation>
                        </xs:annotation>
                        <xs:simpleType>
                          <xs:restriction base="xs:decimal">
                            <xs:totalDigits value="14"/>
                            <xs:fractionDigits value="0"/>
                          </xs:restriction>
                        </xs:simpleType>
                      </xs:attribute>
                      <xs:attribute name="kc_prij47" use="optional">
                        <xs:simpleType>
                          <xs:restriction base="xs:decimal">
                            <xs:totalDigits value="14"/>
                            <xs:fractionDigits value="0"/>
                          </xs:restriction>
                        </xs:simpleType>
                      </xs:attribute>
                    </xs:complexType>
                  </xs:element>
                  <xs:element maxOccurs="unbounded" minOccurs="0" name="VetaT1">
                    <xs:complexType>
                      <xs:attribute name="pom15_1" use="optional">
                        <xs:simpleType>
                          <xs:restriction base="xs:decimal">
                            <xs:totalDigits value="14"/>
                            <xs:fractionDigits value="0"/>
                          </xs:restriction>
                        </xs:simpleType>
                      </xs:attribute>
                    </xs:complexType>
                  </xs:element>
                  <xs:element maxOccurs="unbounded" minOccurs="0" name="VetaT2">
                    <xs:complexType>
                      <xs:attribute name="pom15_3_4" use="optional">
                        <xs:simpleType>
                          <xs:restriction base="xs:decimal">
                            <xs:totalDigits value="14"/>
                            <xs:fractionDigits value="0"/>
                          </xs:restriction>
                        </xs:simpleType>
                      </xs:attribute>
                    </xs:complexType>
                  </xs:element>
                  <xs:element maxOccurs="unbounded" minOccurs="0" name="VetaT3">
                    <xs:complexType>
                      <xs:attribute name="pom15_5" use="optional">
                        <xs:simpleType>
                          <xs:restriction base="xs:decimal">
                            <xs:totalDigits value="14"/>
                            <xs:fractionDigits value="0"/>
                          </xs:restriction>
                        </xs:simpleType>
                      </xs:attribute>
                    </xs:complexType>
                  </xs:element>
                  <xs:element maxOccurs="unbounded" minOccurs="0" name="VetaT4">
                    <xs:complexType>
                      <xs:attribute name="pom15_6" use="optional">
                        <xs:simpleType>
                          <xs:restriction base="xs:decimal">
                            <xs:totalDigits value="14"/>
                            <xs:fractionDigits value="0"/>
                          </xs:restriction>
                        </xs:simpleType>
                      </xs:attribute>
                    </xs:complexType>
                  </xs:element>
                  <xs:element maxOccurs="unbounded" minOccurs="0" name="VetaT5">
                    <xs:complexType>
                      <xs:attribute name="pom15_inpr" use="optional">
                        <xs:simpleType>
                          <xs:restriction base="xs:decimal">
                            <xs:totalDigits value="14"/>
                            <xs:fractionDigits value="0"/>
                          </xs:restriction>
                        </xs:simpleType>
                      </xs:attribute>
                    </xs:complexType>
                  </xs:element>
                  <xs:element maxOccurs="unbounded" minOccurs="0" name="VetaT6">
                    <xs:complexType>
                      <xs:attribute name="pom15_pece" use="optional">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USNEXE|PP_VKLAKU|PP_POTPENZ|PP_POTDAZV|PP_POTPRIJ|PP_POTV36|PP_INPR|PP_POTZIVP|PP_POTLOTO|PP_UCETZAV|PP_PECE|PP_OPISPUV|PP_POTUVER|PP_DAR|PP_POTZASD){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Pisemnost_Map"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externalLink" Target="externalLinks/externalLink5.xml" /><Relationship Id="rId30" Type="http://schemas.openxmlformats.org/officeDocument/2006/relationships/externalLink" Target="externalLinks/externalLink4.xml" /><Relationship Id="rId11" Type="http://schemas.openxmlformats.org/officeDocument/2006/relationships/worksheet" Target="worksheets/sheet9.xml" /><Relationship Id="rId33" Type="http://schemas.openxmlformats.org/officeDocument/2006/relationships/externalLink" Target="externalLinks/externalLink7.xml" /><Relationship Id="rId10" Type="http://schemas.openxmlformats.org/officeDocument/2006/relationships/worksheet" Target="worksheets/sheet8.xml" /><Relationship Id="rId32" Type="http://schemas.openxmlformats.org/officeDocument/2006/relationships/externalLink" Target="externalLinks/externalLink6.xml" /><Relationship Id="rId13" Type="http://schemas.openxmlformats.org/officeDocument/2006/relationships/worksheet" Target="worksheets/sheet11.xml" /><Relationship Id="rId35" Type="http://schemas.openxmlformats.org/officeDocument/2006/relationships/externalLink" Target="externalLinks/externalLink9.xml" /><Relationship Id="rId12" Type="http://schemas.openxmlformats.org/officeDocument/2006/relationships/worksheet" Target="worksheets/sheet10.xml" /><Relationship Id="rId34" Type="http://schemas.openxmlformats.org/officeDocument/2006/relationships/externalLink" Target="externalLinks/externalLink8.xml" /><Relationship Id="rId15" Type="http://schemas.openxmlformats.org/officeDocument/2006/relationships/worksheet" Target="worksheets/sheet13.xml" /><Relationship Id="rId37" Type="http://schemas.openxmlformats.org/officeDocument/2006/relationships/calcChain" Target="calcChain.xml" /><Relationship Id="rId14" Type="http://schemas.openxmlformats.org/officeDocument/2006/relationships/worksheet" Target="worksheets/sheet12.xml" /><Relationship Id="rId36" Type="http://schemas.openxmlformats.org/officeDocument/2006/relationships/xmlMaps" Target="xmlMaps.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889ea5a6-8ded-46b9-b614-a884f6448563}"/>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a85556dc-0448-4482-9b56-c0772952bf2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0bf8b03e-2cb7-417c-a08d-d3280fb481d7}"/>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havit-my.sharepoint.com/Data/NAHRANI/PRIZNANI/DzPPO14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https://havit-my.sharepoint.com/Data/NAHRANI/PRIZNANI/DzPFOB15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ATA/PRIZNANI/TODO/NAHRANI/DzPFOB21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https://havit-my.sharepoint.com/Data/NAHRANI/PRIZNANI/TODO/DzPFOB17_xmla.xlsx" TargetMode="External" /></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DATA/PRIZNANI/DzPPO21_xml.xlsx" TargetMode="External" /></Relationships>
</file>

<file path=xl/externalLinks/_rels/externalLink6.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7.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_rels/externalLink8.xml.rels><?xml version="1.0" encoding="UTF-8" standalone="yes"?><Relationships xmlns="http://schemas.openxmlformats.org/package/2006/relationships"><Relationship Id="rId1" Type="http://schemas.openxmlformats.org/officeDocument/2006/relationships/externalLinkPath" Target="/DATA/PRIZNANI/TODO/NAHRANI/DzPUCZ22_xml.xlsx" TargetMode="External" /></Relationships>
</file>

<file path=xl/externalLinks/_rels/externalLink9.xml.rels><?xml version="1.0" encoding="UTF-8" standalone="yes"?><Relationships xmlns="http://schemas.openxmlformats.org/package/2006/relationships"><Relationship Id="rId1" Type="http://schemas.openxmlformats.org/officeDocument/2006/relationships/externalLinkPath" Target="/DATA/PRIZNANI/TODO/DzPFOB21_xml_old.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t="str">
            <v/>
          </cell>
          <cell r="T993" t="str">
            <v>Drahany</v>
          </cell>
        </row>
        <row r="994">
          <cell r="Q994" t="str">
            <v/>
          </cell>
          <cell r="T994" t="str">
            <v>Drahelčice</v>
          </cell>
        </row>
        <row r="995">
          <cell r="Q995" t="str">
            <v/>
          </cell>
          <cell r="T995" t="str">
            <v>Drahenice</v>
          </cell>
        </row>
        <row r="996">
          <cell r="Q996" t="str">
            <v/>
          </cell>
          <cell r="T996" t="str">
            <v>Drahkov</v>
          </cell>
        </row>
        <row r="997">
          <cell r="Q997" t="str">
            <v/>
          </cell>
          <cell r="T997" t="str">
            <v>Drahlín</v>
          </cell>
        </row>
        <row r="998">
          <cell r="Q998" t="str">
            <v/>
          </cell>
          <cell r="T998" t="str">
            <v>Drahňovice</v>
          </cell>
        </row>
        <row r="999">
          <cell r="Q999" t="str">
            <v/>
          </cell>
          <cell r="T999" t="str">
            <v>Drahobudice</v>
          </cell>
        </row>
        <row r="1000">
          <cell r="Q1000" t="str">
            <v/>
          </cell>
          <cell r="T1000" t="str">
            <v>Drahobuz</v>
          </cell>
        </row>
        <row r="1001">
          <cell r="Q1001" t="str">
            <v/>
          </cell>
          <cell r="T1001" t="str">
            <v>Drahonice</v>
          </cell>
        </row>
        <row r="1002">
          <cell r="Q1002" t="str">
            <v/>
          </cell>
          <cell r="T1002" t="str">
            <v>Drahonín</v>
          </cell>
        </row>
        <row r="1003">
          <cell r="Q1003" t="str">
            <v/>
          </cell>
          <cell r="T1003" t="str">
            <v>Drahoňův Újezd</v>
          </cell>
        </row>
        <row r="1004">
          <cell r="Q1004" t="str">
            <v/>
          </cell>
          <cell r="T1004" t="str">
            <v>Drahotěšice</v>
          </cell>
        </row>
        <row r="1005">
          <cell r="Q1005" t="str">
            <v/>
          </cell>
          <cell r="T1005" t="str">
            <v>Drahotín</v>
          </cell>
        </row>
        <row r="1006">
          <cell r="Q1006" t="str">
            <v/>
          </cell>
          <cell r="T1006" t="str">
            <v>Drahouš</v>
          </cell>
        </row>
        <row r="1007">
          <cell r="Q1007" t="str">
            <v/>
          </cell>
          <cell r="T1007" t="str">
            <v>Drahov</v>
          </cell>
        </row>
        <row r="1008">
          <cell r="Q1008" t="str">
            <v/>
          </cell>
          <cell r="T1008" t="str">
            <v>Drachkov</v>
          </cell>
        </row>
        <row r="1009">
          <cell r="Q1009" t="str">
            <v/>
          </cell>
          <cell r="T1009" t="str">
            <v>Dráchov</v>
          </cell>
        </row>
        <row r="1010">
          <cell r="Q1010" t="str">
            <v/>
          </cell>
          <cell r="T1010" t="str">
            <v>Drásov</v>
          </cell>
        </row>
        <row r="1011">
          <cell r="Q1011" t="str">
            <v/>
          </cell>
          <cell r="T1011" t="str">
            <v>Drásov</v>
          </cell>
        </row>
        <row r="1012">
          <cell r="Q1012" t="str">
            <v/>
          </cell>
          <cell r="T1012" t="str">
            <v>Dražeň</v>
          </cell>
        </row>
        <row r="1013">
          <cell r="Q1013" t="str">
            <v/>
          </cell>
          <cell r="T1013" t="str">
            <v>Draženov</v>
          </cell>
        </row>
        <row r="1014">
          <cell r="Q1014" t="str">
            <v/>
          </cell>
          <cell r="T1014" t="str">
            <v>Dražice</v>
          </cell>
        </row>
        <row r="1015">
          <cell r="Q1015" t="str">
            <v/>
          </cell>
          <cell r="T1015" t="str">
            <v>Dražíč</v>
          </cell>
        </row>
        <row r="1016">
          <cell r="Q1016" t="str">
            <v/>
          </cell>
          <cell r="T1016" t="str">
            <v>Dražičky</v>
          </cell>
        </row>
        <row r="1017">
          <cell r="Q1017" t="str">
            <v/>
          </cell>
          <cell r="T1017" t="str">
            <v>Drážov</v>
          </cell>
        </row>
        <row r="1018">
          <cell r="Q1018" t="str">
            <v/>
          </cell>
          <cell r="T1018" t="str">
            <v>Dražovice</v>
          </cell>
        </row>
        <row r="1019">
          <cell r="Q1019" t="str">
            <v/>
          </cell>
          <cell r="T1019" t="str">
            <v>Dražovice</v>
          </cell>
        </row>
        <row r="1020">
          <cell r="Q1020" t="str">
            <v/>
          </cell>
          <cell r="T1020" t="str">
            <v>Dražůvky</v>
          </cell>
        </row>
        <row r="1021">
          <cell r="Q1021" t="str">
            <v/>
          </cell>
          <cell r="T1021" t="str">
            <v>Drevníky</v>
          </cell>
        </row>
        <row r="1022">
          <cell r="Q1022" t="str">
            <v/>
          </cell>
          <cell r="T1022" t="str">
            <v>Drhovice</v>
          </cell>
        </row>
        <row r="1023">
          <cell r="Q1023" t="str">
            <v/>
          </cell>
          <cell r="T1023" t="str">
            <v>Drhovle</v>
          </cell>
        </row>
        <row r="1024">
          <cell r="Q1024" t="str">
            <v/>
          </cell>
          <cell r="T1024" t="str">
            <v>Drhovy</v>
          </cell>
        </row>
        <row r="1025">
          <cell r="Q1025" t="str">
            <v/>
          </cell>
          <cell r="T1025" t="str">
            <v>Drmoul</v>
          </cell>
        </row>
        <row r="1026">
          <cell r="Q1026" t="str">
            <v/>
          </cell>
          <cell r="T1026" t="str">
            <v>Drnek</v>
          </cell>
        </row>
        <row r="1027">
          <cell r="Q1027" t="str">
            <v/>
          </cell>
          <cell r="T1027" t="str">
            <v>Drnholec</v>
          </cell>
        </row>
        <row r="1028">
          <cell r="Q1028" t="str">
            <v/>
          </cell>
          <cell r="T1028" t="str">
            <v>Drnovice</v>
          </cell>
        </row>
        <row r="1029">
          <cell r="Q1029" t="str">
            <v/>
          </cell>
          <cell r="T1029" t="str">
            <v>Drnovice</v>
          </cell>
        </row>
        <row r="1030">
          <cell r="Q1030" t="str">
            <v/>
          </cell>
          <cell r="T1030" t="str">
            <v>Drnovice</v>
          </cell>
        </row>
        <row r="1031">
          <cell r="Q1031" t="str">
            <v/>
          </cell>
          <cell r="T1031" t="str">
            <v>Drobovice</v>
          </cell>
        </row>
        <row r="1032">
          <cell r="Q1032" t="str">
            <v/>
          </cell>
          <cell r="T1032" t="str">
            <v>Droužetice</v>
          </cell>
        </row>
        <row r="1033">
          <cell r="Q1033" t="str">
            <v/>
          </cell>
          <cell r="T1033" t="str">
            <v>Droužkovice</v>
          </cell>
        </row>
        <row r="1034">
          <cell r="Q1034" t="str">
            <v/>
          </cell>
          <cell r="T1034" t="str">
            <v>Drozdov</v>
          </cell>
        </row>
        <row r="1035">
          <cell r="Q1035" t="str">
            <v/>
          </cell>
          <cell r="T1035" t="str">
            <v>Drozdov</v>
          </cell>
        </row>
        <row r="1036">
          <cell r="Q1036" t="str">
            <v/>
          </cell>
          <cell r="T1036" t="str">
            <v>Drslavice</v>
          </cell>
        </row>
        <row r="1037">
          <cell r="Q1037" t="str">
            <v/>
          </cell>
          <cell r="T1037" t="str">
            <v>Drslavice</v>
          </cell>
        </row>
        <row r="1038">
          <cell r="Q1038" t="str">
            <v/>
          </cell>
          <cell r="T1038" t="str">
            <v>Druhanov</v>
          </cell>
        </row>
        <row r="1039">
          <cell r="Q1039" t="str">
            <v/>
          </cell>
          <cell r="T1039" t="str">
            <v>Drunče</v>
          </cell>
        </row>
        <row r="1040">
          <cell r="Q1040" t="str">
            <v/>
          </cell>
          <cell r="T1040" t="str">
            <v>Druztová</v>
          </cell>
        </row>
        <row r="1041">
          <cell r="Q1041" t="str">
            <v/>
          </cell>
          <cell r="T1041" t="str">
            <v>Družec</v>
          </cell>
        </row>
        <row r="1042">
          <cell r="Q1042" t="str">
            <v/>
          </cell>
          <cell r="T1042" t="str">
            <v>Drysice</v>
          </cell>
        </row>
        <row r="1043">
          <cell r="Q1043" t="str">
            <v/>
          </cell>
          <cell r="T1043" t="str">
            <v>Držkov</v>
          </cell>
        </row>
        <row r="1044">
          <cell r="Q1044" t="str">
            <v/>
          </cell>
          <cell r="T1044" t="str">
            <v>Držková</v>
          </cell>
        </row>
        <row r="1045">
          <cell r="Q1045" t="str">
            <v/>
          </cell>
          <cell r="T1045" t="str">
            <v>Držovice</v>
          </cell>
        </row>
        <row r="1046">
          <cell r="Q1046" t="str">
            <v/>
          </cell>
          <cell r="T1046" t="str">
            <v>Dřenice</v>
          </cell>
        </row>
        <row r="1047">
          <cell r="Q1047" t="str">
            <v/>
          </cell>
          <cell r="T1047" t="str">
            <v>Dřešín</v>
          </cell>
        </row>
        <row r="1048">
          <cell r="Q1048" t="str">
            <v/>
          </cell>
          <cell r="T1048" t="str">
            <v>Dřetovice</v>
          </cell>
        </row>
        <row r="1049">
          <cell r="Q1049" t="str">
            <v/>
          </cell>
          <cell r="T1049" t="str">
            <v>Dřevčice</v>
          </cell>
        </row>
        <row r="1050">
          <cell r="Q1050" t="str">
            <v/>
          </cell>
          <cell r="T1050" t="str">
            <v>Dřevěnice</v>
          </cell>
        </row>
        <row r="1051">
          <cell r="Q1051" t="str">
            <v/>
          </cell>
          <cell r="T1051" t="str">
            <v>Dřevnovice</v>
          </cell>
        </row>
        <row r="1052">
          <cell r="Q1052" t="str">
            <v/>
          </cell>
          <cell r="T1052" t="str">
            <v>Dřevohostice</v>
          </cell>
        </row>
        <row r="1053">
          <cell r="Q1053" t="str">
            <v/>
          </cell>
          <cell r="T1053" t="str">
            <v>Dřínov</v>
          </cell>
        </row>
        <row r="1054">
          <cell r="Q1054" t="str">
            <v/>
          </cell>
          <cell r="T1054" t="str">
            <v>Dřínov</v>
          </cell>
        </row>
        <row r="1055">
          <cell r="Q1055" t="str">
            <v/>
          </cell>
          <cell r="T1055" t="str">
            <v>Dřínov</v>
          </cell>
        </row>
        <row r="1056">
          <cell r="Q1056" t="str">
            <v/>
          </cell>
          <cell r="T1056" t="str">
            <v>Dřísy</v>
          </cell>
        </row>
        <row r="1057">
          <cell r="Q1057" t="str">
            <v/>
          </cell>
          <cell r="T1057" t="str">
            <v>Dříteč</v>
          </cell>
        </row>
        <row r="1058">
          <cell r="Q1058" t="str">
            <v/>
          </cell>
          <cell r="T1058" t="str">
            <v>Dříteň</v>
          </cell>
        </row>
        <row r="1059">
          <cell r="Q1059" t="str">
            <v/>
          </cell>
          <cell r="T1059" t="str">
            <v>Dub</v>
          </cell>
        </row>
        <row r="1060">
          <cell r="Q1060" t="str">
            <v/>
          </cell>
          <cell r="T1060" t="str">
            <v>Dub nad Moravou</v>
          </cell>
        </row>
        <row r="1061">
          <cell r="Q1061" t="str">
            <v/>
          </cell>
          <cell r="T1061" t="str">
            <v>Dubá</v>
          </cell>
        </row>
        <row r="1062">
          <cell r="Q1062" t="str">
            <v/>
          </cell>
          <cell r="T1062" t="str">
            <v>Dubany</v>
          </cell>
        </row>
        <row r="1063">
          <cell r="Q1063" t="str">
            <v/>
          </cell>
          <cell r="T1063" t="str">
            <v>Dubčany</v>
          </cell>
        </row>
        <row r="1064">
          <cell r="Q1064" t="str">
            <v/>
          </cell>
          <cell r="T1064" t="str">
            <v>Dubenec</v>
          </cell>
        </row>
        <row r="1065">
          <cell r="Q1065" t="str">
            <v/>
          </cell>
          <cell r="T1065" t="str">
            <v>Dubenec</v>
          </cell>
        </row>
        <row r="1066">
          <cell r="Q1066" t="str">
            <v/>
          </cell>
          <cell r="T1066" t="str">
            <v>Dubí</v>
          </cell>
        </row>
        <row r="1067">
          <cell r="Q1067" t="str">
            <v/>
          </cell>
          <cell r="T1067" t="str">
            <v>Dubicko</v>
          </cell>
        </row>
        <row r="1068">
          <cell r="Q1068" t="str">
            <v/>
          </cell>
          <cell r="T1068" t="str">
            <v>Dubičné</v>
          </cell>
        </row>
        <row r="1069">
          <cell r="Q1069" t="str">
            <v/>
          </cell>
          <cell r="T1069" t="str">
            <v>Dublovice</v>
          </cell>
        </row>
        <row r="1070">
          <cell r="Q1070" t="str">
            <v/>
          </cell>
          <cell r="T1070" t="str">
            <v>Dubňany</v>
          </cell>
        </row>
        <row r="1071">
          <cell r="Q1071" t="str">
            <v/>
          </cell>
          <cell r="T1071" t="str">
            <v>Dubné</v>
          </cell>
        </row>
        <row r="1072">
          <cell r="Q1072" t="str">
            <v/>
          </cell>
          <cell r="T1072" t="str">
            <v>Dubnice</v>
          </cell>
        </row>
        <row r="1073">
          <cell r="Q1073" t="str">
            <v/>
          </cell>
          <cell r="T1073" t="str">
            <v>Dubno</v>
          </cell>
        </row>
        <row r="1074">
          <cell r="Q1074" t="str">
            <v/>
          </cell>
          <cell r="T1074" t="str">
            <v>Dubovice</v>
          </cell>
        </row>
        <row r="1075">
          <cell r="Q1075" t="str">
            <v/>
          </cell>
          <cell r="T1075" t="str">
            <v>Dudín</v>
          </cell>
        </row>
        <row r="1076">
          <cell r="Q1076" t="str">
            <v/>
          </cell>
          <cell r="T1076" t="str">
            <v>Duchcov</v>
          </cell>
        </row>
        <row r="1077">
          <cell r="Q1077" t="str">
            <v/>
          </cell>
          <cell r="T1077" t="str">
            <v>Dukovany</v>
          </cell>
        </row>
        <row r="1078">
          <cell r="Q1078" t="str">
            <v/>
          </cell>
          <cell r="T1078" t="str">
            <v>Důl</v>
          </cell>
        </row>
        <row r="1079">
          <cell r="Q1079" t="str">
            <v/>
          </cell>
          <cell r="T1079" t="str">
            <v>Dunajovice</v>
          </cell>
        </row>
        <row r="1080">
          <cell r="Q1080" t="str">
            <v/>
          </cell>
          <cell r="T1080" t="str">
            <v>Dunice</v>
          </cell>
        </row>
        <row r="1081">
          <cell r="Q1081" t="str">
            <v/>
          </cell>
          <cell r="T1081" t="str">
            <v>Dušejov</v>
          </cell>
        </row>
        <row r="1082">
          <cell r="Q1082" t="str">
            <v/>
          </cell>
          <cell r="T1082" t="str">
            <v>Dušníky</v>
          </cell>
        </row>
        <row r="1083">
          <cell r="Q1083" t="str">
            <v/>
          </cell>
          <cell r="T1083" t="str">
            <v>Dvakačovice</v>
          </cell>
        </row>
        <row r="1084">
          <cell r="Q1084" t="str">
            <v/>
          </cell>
          <cell r="T1084" t="str">
            <v>Dvorce</v>
          </cell>
        </row>
        <row r="1085">
          <cell r="Q1085" t="str">
            <v/>
          </cell>
          <cell r="T1085" t="str">
            <v>Dvorce</v>
          </cell>
        </row>
        <row r="1086">
          <cell r="Q1086" t="str">
            <v/>
          </cell>
          <cell r="T1086" t="str">
            <v>Dvory</v>
          </cell>
        </row>
        <row r="1087">
          <cell r="Q1087" t="str">
            <v/>
          </cell>
          <cell r="T1087" t="str">
            <v>Dvory</v>
          </cell>
        </row>
        <row r="1088">
          <cell r="Q1088" t="str">
            <v/>
          </cell>
          <cell r="T1088" t="str">
            <v>Dvory nad Lužnicí</v>
          </cell>
        </row>
        <row r="1089">
          <cell r="Q1089" t="str">
            <v/>
          </cell>
          <cell r="T1089" t="str">
            <v>Dvůr Králové nad Labem</v>
          </cell>
        </row>
        <row r="1090">
          <cell r="Q1090" t="str">
            <v/>
          </cell>
          <cell r="T1090" t="str">
            <v>Dyjákovice</v>
          </cell>
        </row>
        <row r="1091">
          <cell r="Q1091" t="str">
            <v/>
          </cell>
          <cell r="T1091" t="str">
            <v>Dyjákovičky</v>
          </cell>
        </row>
        <row r="1092">
          <cell r="Q1092" t="str">
            <v/>
          </cell>
          <cell r="T1092" t="str">
            <v>Dyje</v>
          </cell>
        </row>
        <row r="1093">
          <cell r="Q1093" t="str">
            <v/>
          </cell>
          <cell r="T1093" t="str">
            <v>Dyjice</v>
          </cell>
        </row>
        <row r="1094">
          <cell r="Q1094" t="str">
            <v/>
          </cell>
          <cell r="T1094" t="str">
            <v>Dymokury</v>
          </cell>
        </row>
        <row r="1095">
          <cell r="Q1095" t="str">
            <v/>
          </cell>
          <cell r="T1095" t="str">
            <v>Dynín</v>
          </cell>
        </row>
        <row r="1096">
          <cell r="Q1096" t="str">
            <v/>
          </cell>
          <cell r="T1096" t="str">
            <v>Dýšina</v>
          </cell>
        </row>
        <row r="1097">
          <cell r="Q1097" t="str">
            <v/>
          </cell>
          <cell r="T1097" t="str">
            <v>Dzbel</v>
          </cell>
        </row>
        <row r="1098">
          <cell r="Q1098" t="str">
            <v/>
          </cell>
          <cell r="T1098" t="str">
            <v>Džbánice</v>
          </cell>
        </row>
        <row r="1099">
          <cell r="Q1099" t="str">
            <v/>
          </cell>
          <cell r="T1099" t="str">
            <v>Džbánov</v>
          </cell>
        </row>
        <row r="1100">
          <cell r="Q1100" t="str">
            <v/>
          </cell>
          <cell r="T1100" t="str">
            <v>Ejpovice</v>
          </cell>
        </row>
        <row r="1101">
          <cell r="Q1101" t="str">
            <v/>
          </cell>
          <cell r="T1101" t="str">
            <v>Erpužice</v>
          </cell>
        </row>
        <row r="1102">
          <cell r="Q1102" t="str">
            <v/>
          </cell>
          <cell r="T1102" t="str">
            <v>Eš</v>
          </cell>
        </row>
        <row r="1103">
          <cell r="Q1103" t="str">
            <v/>
          </cell>
          <cell r="T1103" t="str">
            <v>Evaň</v>
          </cell>
        </row>
        <row r="1104">
          <cell r="Q1104" t="str">
            <v/>
          </cell>
          <cell r="T1104" t="str">
            <v>Felbabka</v>
          </cell>
        </row>
        <row r="1105">
          <cell r="Q1105" t="str">
            <v/>
          </cell>
          <cell r="T1105" t="str">
            <v>Frahelž</v>
          </cell>
        </row>
        <row r="1106">
          <cell r="Q1106" t="str">
            <v/>
          </cell>
          <cell r="T1106" t="str">
            <v>Francova Lhota</v>
          </cell>
        </row>
        <row r="1107">
          <cell r="Q1107" t="str">
            <v/>
          </cell>
          <cell r="T1107" t="str">
            <v>Františkov nad Ploučnicí</v>
          </cell>
        </row>
        <row r="1108">
          <cell r="Q1108" t="str">
            <v/>
          </cell>
          <cell r="T1108" t="str">
            <v>Františkovy Lázně</v>
          </cell>
        </row>
        <row r="1109">
          <cell r="Q1109" t="str">
            <v/>
          </cell>
          <cell r="T1109" t="str">
            <v>Frenštát pod Radhoštěm</v>
          </cell>
        </row>
        <row r="1110">
          <cell r="Q1110" t="str">
            <v/>
          </cell>
          <cell r="T1110" t="str">
            <v>Fryčovice</v>
          </cell>
        </row>
        <row r="1111">
          <cell r="Q1111" t="str">
            <v/>
          </cell>
          <cell r="T1111" t="str">
            <v>Frýdek-Místek</v>
          </cell>
        </row>
        <row r="1112">
          <cell r="Q1112" t="str">
            <v/>
          </cell>
          <cell r="T1112" t="str">
            <v>Frýdlant</v>
          </cell>
        </row>
        <row r="1113">
          <cell r="Q1113" t="str">
            <v/>
          </cell>
          <cell r="T1113" t="str">
            <v>Frýdlant nad Ostravicí</v>
          </cell>
        </row>
        <row r="1114">
          <cell r="Q1114" t="str">
            <v/>
          </cell>
          <cell r="T1114" t="str">
            <v>Frýdštejn</v>
          </cell>
        </row>
        <row r="1115">
          <cell r="Q1115" t="str">
            <v/>
          </cell>
          <cell r="T1115" t="str">
            <v>Frymburk</v>
          </cell>
        </row>
        <row r="1116">
          <cell r="Q1116" t="str">
            <v/>
          </cell>
          <cell r="T1116" t="str">
            <v>Frymburk</v>
          </cell>
        </row>
        <row r="1117">
          <cell r="Q1117" t="str">
            <v/>
          </cell>
          <cell r="T1117" t="str">
            <v>Fryšava pod Žákovou horou</v>
          </cell>
        </row>
        <row r="1118">
          <cell r="Q1118" t="str">
            <v/>
          </cell>
          <cell r="T1118" t="str">
            <v>Fryšták</v>
          </cell>
        </row>
        <row r="1119">
          <cell r="Q1119" t="str">
            <v/>
          </cell>
          <cell r="T1119" t="str">
            <v>Fulnek</v>
          </cell>
        </row>
        <row r="1120">
          <cell r="Q1120" t="str">
            <v/>
          </cell>
          <cell r="T1120" t="str">
            <v>Golčův Jeníkov</v>
          </cell>
        </row>
        <row r="1121">
          <cell r="Q1121" t="str">
            <v/>
          </cell>
          <cell r="T1121" t="str">
            <v>Grešlové Mýto</v>
          </cell>
        </row>
        <row r="1122">
          <cell r="Q1122" t="str">
            <v/>
          </cell>
          <cell r="T1122" t="str">
            <v>Gruna</v>
          </cell>
        </row>
        <row r="1123">
          <cell r="Q1123" t="str">
            <v/>
          </cell>
          <cell r="T1123" t="str">
            <v>Grunta</v>
          </cell>
        </row>
        <row r="1124">
          <cell r="Q1124" t="str">
            <v/>
          </cell>
          <cell r="T1124" t="str">
            <v>Grygov</v>
          </cell>
        </row>
        <row r="1125">
          <cell r="Q1125" t="str">
            <v/>
          </cell>
          <cell r="T1125" t="str">
            <v>Grymov</v>
          </cell>
        </row>
        <row r="1126">
          <cell r="Q1126" t="str">
            <v/>
          </cell>
          <cell r="T1126" t="str">
            <v>Habartice</v>
          </cell>
        </row>
        <row r="1127">
          <cell r="Q1127" t="str">
            <v/>
          </cell>
          <cell r="T1127" t="str">
            <v>Habartov</v>
          </cell>
        </row>
        <row r="1128">
          <cell r="Q1128" t="str">
            <v/>
          </cell>
          <cell r="T1128" t="str">
            <v>Habrovany</v>
          </cell>
        </row>
        <row r="1129">
          <cell r="Q1129" t="str">
            <v/>
          </cell>
          <cell r="T1129" t="str">
            <v>Habrovany</v>
          </cell>
        </row>
        <row r="1130">
          <cell r="Q1130" t="str">
            <v/>
          </cell>
          <cell r="T1130" t="str">
            <v>Habrůvka</v>
          </cell>
        </row>
        <row r="1131">
          <cell r="Q1131" t="str">
            <v/>
          </cell>
          <cell r="T1131" t="str">
            <v>Habry</v>
          </cell>
        </row>
        <row r="1132">
          <cell r="Q1132" t="str">
            <v/>
          </cell>
          <cell r="T1132" t="str">
            <v>Habří</v>
          </cell>
        </row>
        <row r="1133">
          <cell r="Q1133" t="str">
            <v/>
          </cell>
          <cell r="T1133" t="str">
            <v>Habřina</v>
          </cell>
        </row>
        <row r="1134">
          <cell r="Q1134" t="str">
            <v/>
          </cell>
          <cell r="T1134" t="str">
            <v>Hačky</v>
          </cell>
        </row>
        <row r="1135">
          <cell r="Q1135" t="str">
            <v/>
          </cell>
          <cell r="T1135" t="str">
            <v>Hadravova Rosička</v>
          </cell>
        </row>
        <row r="1136">
          <cell r="Q1136" t="str">
            <v/>
          </cell>
          <cell r="T1136" t="str">
            <v>Háj u Duchcova</v>
          </cell>
        </row>
        <row r="1137">
          <cell r="Q1137" t="str">
            <v/>
          </cell>
          <cell r="T1137" t="str">
            <v>Háj ve Slezsku</v>
          </cell>
        </row>
        <row r="1138">
          <cell r="Q1138" t="str">
            <v/>
          </cell>
          <cell r="T1138" t="str">
            <v>Hajany</v>
          </cell>
        </row>
        <row r="1139">
          <cell r="Q1139" t="str">
            <v/>
          </cell>
          <cell r="T1139" t="str">
            <v>Hajany</v>
          </cell>
        </row>
        <row r="1140">
          <cell r="Q1140" t="str">
            <v/>
          </cell>
          <cell r="T1140" t="str">
            <v>Háje</v>
          </cell>
        </row>
        <row r="1141">
          <cell r="Q1141" t="str">
            <v/>
          </cell>
          <cell r="T1141" t="str">
            <v>Háje nad Jizerou</v>
          </cell>
        </row>
        <row r="1142">
          <cell r="Q1142" t="str">
            <v/>
          </cell>
          <cell r="T1142" t="str">
            <v>Hájek</v>
          </cell>
        </row>
        <row r="1143">
          <cell r="Q1143" t="str">
            <v/>
          </cell>
          <cell r="T1143" t="str">
            <v>Hájek</v>
          </cell>
        </row>
        <row r="1144">
          <cell r="Q1144" t="str">
            <v/>
          </cell>
          <cell r="T1144" t="str">
            <v>Hajnice</v>
          </cell>
        </row>
        <row r="1145">
          <cell r="Q1145" t="str">
            <v/>
          </cell>
          <cell r="T1145" t="str">
            <v>Halámky</v>
          </cell>
        </row>
        <row r="1146">
          <cell r="Q1146" t="str">
            <v/>
          </cell>
          <cell r="T1146" t="str">
            <v>Halenkov</v>
          </cell>
        </row>
        <row r="1147">
          <cell r="Q1147" t="str">
            <v/>
          </cell>
          <cell r="T1147" t="str">
            <v>Halenkovice</v>
          </cell>
        </row>
        <row r="1148">
          <cell r="Q1148" t="str">
            <v/>
          </cell>
          <cell r="T1148" t="str">
            <v>Haluzice</v>
          </cell>
        </row>
        <row r="1149">
          <cell r="Q1149" t="str">
            <v/>
          </cell>
          <cell r="T1149" t="str">
            <v>Halže</v>
          </cell>
        </row>
        <row r="1150">
          <cell r="Q1150" t="str">
            <v/>
          </cell>
          <cell r="T1150" t="str">
            <v>Hamr</v>
          </cell>
        </row>
        <row r="1151">
          <cell r="Q1151" t="str">
            <v/>
          </cell>
          <cell r="T1151" t="str">
            <v>Hamr na Jezeře</v>
          </cell>
        </row>
        <row r="1152">
          <cell r="Q1152" t="str">
            <v/>
          </cell>
          <cell r="T1152" t="str">
            <v>Hamry</v>
          </cell>
        </row>
        <row r="1153">
          <cell r="Q1153" t="str">
            <v/>
          </cell>
          <cell r="T1153" t="str">
            <v>Hamry</v>
          </cell>
        </row>
        <row r="1154">
          <cell r="Q1154" t="str">
            <v/>
          </cell>
          <cell r="T1154" t="str">
            <v>Hamry nad Sázavou</v>
          </cell>
        </row>
        <row r="1155">
          <cell r="Q1155" t="str">
            <v/>
          </cell>
          <cell r="T1155" t="str">
            <v>Haňovice</v>
          </cell>
        </row>
        <row r="1156">
          <cell r="Q1156" t="str">
            <v/>
          </cell>
          <cell r="T1156" t="str">
            <v>Hanušovice</v>
          </cell>
        </row>
        <row r="1157">
          <cell r="Q1157" t="str">
            <v/>
          </cell>
          <cell r="T1157" t="str">
            <v>Harrachov</v>
          </cell>
        </row>
        <row r="1158">
          <cell r="Q1158" t="str">
            <v/>
          </cell>
          <cell r="T1158" t="str">
            <v>Hartinkov</v>
          </cell>
        </row>
        <row r="1159">
          <cell r="Q1159" t="str">
            <v/>
          </cell>
          <cell r="T1159" t="str">
            <v>Hartmanice</v>
          </cell>
        </row>
        <row r="1160">
          <cell r="Q1160" t="str">
            <v/>
          </cell>
          <cell r="T1160" t="str">
            <v>Hartmanice</v>
          </cell>
        </row>
        <row r="1161">
          <cell r="Q1161" t="str">
            <v/>
          </cell>
          <cell r="T1161" t="str">
            <v>Hartmanice</v>
          </cell>
        </row>
        <row r="1162">
          <cell r="Q1162" t="str">
            <v/>
          </cell>
          <cell r="T1162" t="str">
            <v>Hartvíkovice</v>
          </cell>
        </row>
        <row r="1163">
          <cell r="Q1163" t="str">
            <v/>
          </cell>
          <cell r="T1163" t="str">
            <v>Haškovcova Lhota</v>
          </cell>
        </row>
        <row r="1164">
          <cell r="Q1164" t="str">
            <v/>
          </cell>
          <cell r="T1164" t="str">
            <v>Hať</v>
          </cell>
        </row>
        <row r="1165">
          <cell r="Q1165" t="str">
            <v/>
          </cell>
          <cell r="T1165" t="str">
            <v>Hatín</v>
          </cell>
        </row>
        <row r="1166">
          <cell r="Q1166" t="str">
            <v/>
          </cell>
          <cell r="T1166" t="str">
            <v>Havířov</v>
          </cell>
        </row>
        <row r="1167">
          <cell r="Q1167" t="str">
            <v/>
          </cell>
          <cell r="T1167" t="str">
            <v>Havlíčkova Borová</v>
          </cell>
        </row>
        <row r="1168">
          <cell r="Q1168" t="str">
            <v/>
          </cell>
          <cell r="T1168" t="str">
            <v>Havlíčkův Brod</v>
          </cell>
        </row>
        <row r="1169">
          <cell r="Q1169" t="str">
            <v/>
          </cell>
          <cell r="T1169" t="str">
            <v>Havlovice</v>
          </cell>
        </row>
        <row r="1170">
          <cell r="Q1170" t="str">
            <v/>
          </cell>
          <cell r="T1170" t="str">
            <v>Havraň</v>
          </cell>
        </row>
        <row r="1171">
          <cell r="Q1171" t="str">
            <v/>
          </cell>
          <cell r="T1171" t="str">
            <v>Havraníky</v>
          </cell>
        </row>
        <row r="1172">
          <cell r="Q1172" t="str">
            <v/>
          </cell>
          <cell r="T1172" t="str">
            <v>Hazlov</v>
          </cell>
        </row>
        <row r="1173">
          <cell r="Q1173" t="str">
            <v/>
          </cell>
          <cell r="T1173" t="str">
            <v>Hejná</v>
          </cell>
        </row>
        <row r="1174">
          <cell r="Q1174" t="str">
            <v/>
          </cell>
          <cell r="T1174" t="str">
            <v>Hejnice</v>
          </cell>
        </row>
        <row r="1175">
          <cell r="Q1175" t="str">
            <v/>
          </cell>
          <cell r="T1175" t="str">
            <v>Hejnice</v>
          </cell>
        </row>
        <row r="1176">
          <cell r="Q1176" t="str">
            <v/>
          </cell>
          <cell r="T1176" t="str">
            <v>Hejtmánkovice</v>
          </cell>
        </row>
        <row r="1177">
          <cell r="Q1177" t="str">
            <v/>
          </cell>
          <cell r="T1177" t="str">
            <v>Helvíkovice</v>
          </cell>
        </row>
        <row r="1178">
          <cell r="Q1178" t="str">
            <v/>
          </cell>
          <cell r="T1178" t="str">
            <v>Herálec</v>
          </cell>
        </row>
        <row r="1179">
          <cell r="Q1179" t="str">
            <v/>
          </cell>
          <cell r="T1179" t="str">
            <v>Herálec</v>
          </cell>
        </row>
        <row r="1180">
          <cell r="Q1180" t="str">
            <v/>
          </cell>
          <cell r="T1180" t="str">
            <v>Heraltice</v>
          </cell>
        </row>
        <row r="1181">
          <cell r="Q1181" t="str">
            <v/>
          </cell>
          <cell r="T1181" t="str">
            <v>Herink</v>
          </cell>
        </row>
        <row r="1182">
          <cell r="Q1182" t="str">
            <v/>
          </cell>
          <cell r="T1182" t="str">
            <v>Heroltice</v>
          </cell>
        </row>
        <row r="1183">
          <cell r="Q1183" t="str">
            <v/>
          </cell>
          <cell r="T1183" t="str">
            <v>Heršpice</v>
          </cell>
        </row>
        <row r="1184">
          <cell r="Q1184" t="str">
            <v/>
          </cell>
          <cell r="T1184" t="str">
            <v>Heřmaň</v>
          </cell>
        </row>
        <row r="1185">
          <cell r="Q1185" t="str">
            <v/>
          </cell>
          <cell r="T1185" t="str">
            <v>Heřmaň</v>
          </cell>
        </row>
        <row r="1186">
          <cell r="Q1186" t="str">
            <v/>
          </cell>
          <cell r="T1186" t="str">
            <v>Heřmaneč</v>
          </cell>
        </row>
        <row r="1187">
          <cell r="Q1187" t="str">
            <v/>
          </cell>
          <cell r="T1187" t="str">
            <v>Heřmanice</v>
          </cell>
        </row>
        <row r="1188">
          <cell r="Q1188" t="str">
            <v/>
          </cell>
          <cell r="T1188" t="str">
            <v>Heřmanice</v>
          </cell>
        </row>
        <row r="1189">
          <cell r="Q1189" t="str">
            <v/>
          </cell>
          <cell r="T1189" t="str">
            <v>Heřmanice</v>
          </cell>
        </row>
        <row r="1190">
          <cell r="Q1190" t="str">
            <v/>
          </cell>
          <cell r="T1190" t="str">
            <v>Heřmanice u Oder</v>
          </cell>
        </row>
        <row r="1191">
          <cell r="Q1191" t="str">
            <v/>
          </cell>
          <cell r="T1191" t="str">
            <v>Heřmaničky</v>
          </cell>
        </row>
        <row r="1192">
          <cell r="Q1192" t="str">
            <v/>
          </cell>
          <cell r="T1192" t="str">
            <v>Heřmánkovice</v>
          </cell>
        </row>
        <row r="1193">
          <cell r="Q1193" t="str">
            <v/>
          </cell>
          <cell r="T1193" t="str">
            <v>Heřmánky</v>
          </cell>
        </row>
        <row r="1194">
          <cell r="Q1194" t="str">
            <v/>
          </cell>
          <cell r="T1194" t="str">
            <v>Heřmanov</v>
          </cell>
        </row>
        <row r="1195">
          <cell r="Q1195" t="str">
            <v/>
          </cell>
          <cell r="T1195" t="str">
            <v>Heřmanov</v>
          </cell>
        </row>
        <row r="1196">
          <cell r="Q1196" t="str">
            <v/>
          </cell>
          <cell r="T1196" t="str">
            <v>Heřmanova Huť</v>
          </cell>
        </row>
        <row r="1197">
          <cell r="Q1197" t="str">
            <v/>
          </cell>
          <cell r="T1197" t="str">
            <v>Heřmanovice</v>
          </cell>
        </row>
        <row r="1198">
          <cell r="Q1198" t="str">
            <v/>
          </cell>
          <cell r="T1198" t="str">
            <v>Heřmanův Městec</v>
          </cell>
        </row>
        <row r="1199">
          <cell r="Q1199" t="str">
            <v/>
          </cell>
          <cell r="T1199" t="str">
            <v>Hevlín</v>
          </cell>
        </row>
        <row r="1200">
          <cell r="Q1200" t="str">
            <v/>
          </cell>
          <cell r="T1200" t="str">
            <v>Hladké Životice</v>
          </cell>
        </row>
        <row r="1201">
          <cell r="Q1201" t="str">
            <v/>
          </cell>
          <cell r="T1201" t="str">
            <v>Hladov</v>
          </cell>
        </row>
        <row r="1202">
          <cell r="Q1202" t="str">
            <v/>
          </cell>
          <cell r="T1202" t="str">
            <v>Hlasivo</v>
          </cell>
        </row>
        <row r="1203">
          <cell r="Q1203" t="str">
            <v/>
          </cell>
          <cell r="T1203" t="str">
            <v>Hlásná Třebaň</v>
          </cell>
        </row>
        <row r="1204">
          <cell r="Q1204" t="str">
            <v/>
          </cell>
          <cell r="T1204" t="str">
            <v>Hlásnice</v>
          </cell>
        </row>
        <row r="1205">
          <cell r="Q1205" t="str">
            <v/>
          </cell>
          <cell r="T1205" t="str">
            <v>Hlavatce</v>
          </cell>
        </row>
        <row r="1206">
          <cell r="Q1206" t="str">
            <v/>
          </cell>
          <cell r="T1206" t="str">
            <v>Hlavatce</v>
          </cell>
        </row>
        <row r="1207">
          <cell r="Q1207" t="str">
            <v/>
          </cell>
          <cell r="T1207" t="str">
            <v>Hlavečník</v>
          </cell>
        </row>
        <row r="1208">
          <cell r="Q1208" t="str">
            <v/>
          </cell>
          <cell r="T1208" t="str">
            <v>Hlavenec</v>
          </cell>
        </row>
        <row r="1209">
          <cell r="Q1209" t="str">
            <v/>
          </cell>
          <cell r="T1209" t="str">
            <v>Hlavice</v>
          </cell>
        </row>
        <row r="1210">
          <cell r="Q1210" t="str">
            <v/>
          </cell>
          <cell r="T1210" t="str">
            <v>Hlavnice</v>
          </cell>
        </row>
        <row r="1211">
          <cell r="Q1211" t="str">
            <v/>
          </cell>
          <cell r="T1211" t="str">
            <v>Hlavňovice</v>
          </cell>
        </row>
        <row r="1212">
          <cell r="Q1212" t="str">
            <v/>
          </cell>
          <cell r="T1212" t="str">
            <v>Hlína</v>
          </cell>
        </row>
        <row r="1213">
          <cell r="Q1213" t="str">
            <v/>
          </cell>
          <cell r="T1213" t="str">
            <v>Hlince</v>
          </cell>
        </row>
        <row r="1214">
          <cell r="Q1214" t="str">
            <v/>
          </cell>
          <cell r="T1214" t="str">
            <v>Hlincová Hora</v>
          </cell>
        </row>
        <row r="1215">
          <cell r="Q1215" t="str">
            <v/>
          </cell>
          <cell r="T1215" t="str">
            <v>Hlinka</v>
          </cell>
        </row>
        <row r="1216">
          <cell r="Q1216" t="str">
            <v/>
          </cell>
          <cell r="T1216" t="str">
            <v>Hlinná</v>
          </cell>
        </row>
        <row r="1217">
          <cell r="Q1217" t="str">
            <v/>
          </cell>
          <cell r="T1217" t="str">
            <v>Hlinsko</v>
          </cell>
        </row>
        <row r="1218">
          <cell r="Q1218" t="str">
            <v/>
          </cell>
          <cell r="T1218" t="str">
            <v>Hlinsko</v>
          </cell>
        </row>
        <row r="1219">
          <cell r="Q1219" t="str">
            <v/>
          </cell>
          <cell r="T1219" t="str">
            <v>Hlízov</v>
          </cell>
        </row>
        <row r="1220">
          <cell r="Q1220" t="str">
            <v/>
          </cell>
          <cell r="T1220" t="str">
            <v>Hlohová</v>
          </cell>
        </row>
        <row r="1221">
          <cell r="Q1221" t="str">
            <v/>
          </cell>
          <cell r="T1221" t="str">
            <v>Hlohovčice</v>
          </cell>
        </row>
        <row r="1222">
          <cell r="Q1222" t="str">
            <v/>
          </cell>
          <cell r="T1222" t="str">
            <v>Hlohovec</v>
          </cell>
        </row>
        <row r="1223">
          <cell r="Q1223" t="str">
            <v/>
          </cell>
          <cell r="T1223" t="str">
            <v>Hlohovice</v>
          </cell>
        </row>
        <row r="1224">
          <cell r="Q1224" t="str">
            <v/>
          </cell>
          <cell r="T1224" t="str">
            <v>Hlubočany</v>
          </cell>
        </row>
        <row r="1225">
          <cell r="Q1225" t="str">
            <v/>
          </cell>
          <cell r="T1225" t="str">
            <v>Hlubočec</v>
          </cell>
        </row>
        <row r="1226">
          <cell r="Q1226" t="str">
            <v/>
          </cell>
          <cell r="T1226" t="str">
            <v>Hlubočky</v>
          </cell>
        </row>
        <row r="1227">
          <cell r="Q1227" t="str">
            <v/>
          </cell>
          <cell r="T1227" t="str">
            <v>Hluboká</v>
          </cell>
        </row>
        <row r="1228">
          <cell r="Q1228" t="str">
            <v/>
          </cell>
          <cell r="T1228" t="str">
            <v>Hluboká nad Vltavou</v>
          </cell>
        </row>
        <row r="1229">
          <cell r="Q1229" t="str">
            <v/>
          </cell>
          <cell r="T1229" t="str">
            <v>Hluboké</v>
          </cell>
        </row>
        <row r="1230">
          <cell r="Q1230" t="str">
            <v/>
          </cell>
          <cell r="T1230" t="str">
            <v>Hluboké Dvory</v>
          </cell>
        </row>
        <row r="1231">
          <cell r="Q1231" t="str">
            <v/>
          </cell>
          <cell r="T1231" t="str">
            <v>Hluboké Mašůvky</v>
          </cell>
        </row>
        <row r="1232">
          <cell r="Q1232" t="str">
            <v/>
          </cell>
          <cell r="T1232" t="str">
            <v>Hluboš</v>
          </cell>
        </row>
        <row r="1233">
          <cell r="Q1233" t="str">
            <v/>
          </cell>
          <cell r="T1233" t="str">
            <v>Hlubyně</v>
          </cell>
        </row>
        <row r="1234">
          <cell r="Q1234" t="str">
            <v/>
          </cell>
          <cell r="T1234" t="str">
            <v>Hlučín</v>
          </cell>
        </row>
        <row r="1235">
          <cell r="Q1235" t="str">
            <v/>
          </cell>
          <cell r="T1235" t="str">
            <v>Hluchov</v>
          </cell>
        </row>
        <row r="1236">
          <cell r="Q1236" t="str">
            <v/>
          </cell>
          <cell r="T1236" t="str">
            <v>Hluk</v>
          </cell>
        </row>
        <row r="1237">
          <cell r="Q1237" t="str">
            <v/>
          </cell>
          <cell r="T1237" t="str">
            <v>Hlupín</v>
          </cell>
        </row>
        <row r="1238">
          <cell r="Q1238" t="str">
            <v/>
          </cell>
          <cell r="T1238" t="str">
            <v>Hlušice</v>
          </cell>
        </row>
        <row r="1239">
          <cell r="Q1239" t="str">
            <v/>
          </cell>
          <cell r="T1239" t="str">
            <v>Hlušovice</v>
          </cell>
        </row>
        <row r="1240">
          <cell r="Q1240" t="str">
            <v/>
          </cell>
          <cell r="T1240" t="str">
            <v>Hnačov</v>
          </cell>
        </row>
        <row r="1241">
          <cell r="Q1241" t="str">
            <v/>
          </cell>
          <cell r="T1241" t="str">
            <v>Hnanice</v>
          </cell>
        </row>
        <row r="1242">
          <cell r="Q1242" t="str">
            <v/>
          </cell>
          <cell r="T1242" t="str">
            <v>Hnátnice</v>
          </cell>
        </row>
        <row r="1243">
          <cell r="Q1243" t="str">
            <v/>
          </cell>
          <cell r="T1243" t="str">
            <v>Hněvčeves</v>
          </cell>
        </row>
        <row r="1244">
          <cell r="Q1244" t="str">
            <v/>
          </cell>
          <cell r="T1244" t="str">
            <v>Hněvkovice</v>
          </cell>
        </row>
        <row r="1245">
          <cell r="Q1245" t="str">
            <v/>
          </cell>
          <cell r="T1245" t="str">
            <v>Hněvnice</v>
          </cell>
        </row>
        <row r="1246">
          <cell r="Q1246" t="str">
            <v/>
          </cell>
          <cell r="T1246" t="str">
            <v>Hněvošice</v>
          </cell>
        </row>
        <row r="1247">
          <cell r="Q1247" t="str">
            <v/>
          </cell>
          <cell r="T1247" t="str">
            <v>Hněvotín</v>
          </cell>
        </row>
        <row r="1248">
          <cell r="Q1248" t="str">
            <v/>
          </cell>
          <cell r="T1248" t="str">
            <v>Hnojice</v>
          </cell>
        </row>
        <row r="1249">
          <cell r="Q1249" t="str">
            <v/>
          </cell>
          <cell r="T1249" t="str">
            <v>Hnojník</v>
          </cell>
        </row>
        <row r="1250">
          <cell r="Q1250" t="str">
            <v/>
          </cell>
          <cell r="T1250" t="str">
            <v>Hobšovice</v>
          </cell>
        </row>
        <row r="1251">
          <cell r="Q1251" t="str">
            <v/>
          </cell>
          <cell r="T1251" t="str">
            <v>Hodějice</v>
          </cell>
        </row>
        <row r="1252">
          <cell r="Q1252" t="str">
            <v/>
          </cell>
          <cell r="T1252" t="str">
            <v>Hodětín</v>
          </cell>
        </row>
        <row r="1253">
          <cell r="Q1253" t="str">
            <v/>
          </cell>
          <cell r="T1253" t="str">
            <v>Hodice</v>
          </cell>
        </row>
        <row r="1254">
          <cell r="Q1254" t="str">
            <v/>
          </cell>
          <cell r="T1254" t="str">
            <v>Hodíškov</v>
          </cell>
        </row>
        <row r="1255">
          <cell r="Q1255" t="str">
            <v/>
          </cell>
          <cell r="T1255" t="str">
            <v>Hodkovice nad Mohelkou</v>
          </cell>
        </row>
        <row r="1256">
          <cell r="Q1256" t="str">
            <v/>
          </cell>
          <cell r="T1256" t="str">
            <v>Hodonice</v>
          </cell>
        </row>
        <row r="1257">
          <cell r="Q1257" t="str">
            <v/>
          </cell>
          <cell r="T1257" t="str">
            <v>Hodonice</v>
          </cell>
        </row>
        <row r="1258">
          <cell r="Q1258" t="str">
            <v/>
          </cell>
          <cell r="T1258" t="str">
            <v>Hodonín</v>
          </cell>
        </row>
        <row r="1259">
          <cell r="Q1259" t="str">
            <v/>
          </cell>
          <cell r="T1259" t="str">
            <v>Hodonín</v>
          </cell>
        </row>
        <row r="1260">
          <cell r="Q1260" t="str">
            <v/>
          </cell>
          <cell r="T1260" t="str">
            <v>Hodonín</v>
          </cell>
        </row>
        <row r="1261">
          <cell r="Q1261" t="str">
            <v/>
          </cell>
          <cell r="T1261" t="str">
            <v>Hodov</v>
          </cell>
        </row>
        <row r="1262">
          <cell r="Q1262" t="str">
            <v/>
          </cell>
          <cell r="T1262" t="str">
            <v>Hodslavice</v>
          </cell>
        </row>
        <row r="1263">
          <cell r="Q1263" t="str">
            <v/>
          </cell>
          <cell r="T1263" t="str">
            <v>Hojanovice</v>
          </cell>
        </row>
        <row r="1264">
          <cell r="Q1264" t="str">
            <v/>
          </cell>
          <cell r="T1264" t="str">
            <v>Hojkov</v>
          </cell>
        </row>
        <row r="1265">
          <cell r="Q1265" t="str">
            <v/>
          </cell>
          <cell r="T1265" t="str">
            <v>Hojovice</v>
          </cell>
        </row>
        <row r="1266">
          <cell r="Q1266" t="str">
            <v/>
          </cell>
          <cell r="T1266" t="str">
            <v>Holany</v>
          </cell>
        </row>
        <row r="1267">
          <cell r="Q1267" t="str">
            <v/>
          </cell>
          <cell r="T1267" t="str">
            <v>Holasice</v>
          </cell>
        </row>
        <row r="1268">
          <cell r="Q1268" t="str">
            <v/>
          </cell>
          <cell r="T1268" t="str">
            <v>Holasovice</v>
          </cell>
        </row>
        <row r="1269">
          <cell r="Q1269" t="str">
            <v/>
          </cell>
          <cell r="T1269" t="str">
            <v>Holčovice</v>
          </cell>
        </row>
        <row r="1270">
          <cell r="Q1270" t="str">
            <v/>
          </cell>
          <cell r="T1270" t="str">
            <v>Holedeč</v>
          </cell>
        </row>
        <row r="1271">
          <cell r="Q1271" t="str">
            <v/>
          </cell>
          <cell r="T1271" t="str">
            <v>Holenice</v>
          </cell>
        </row>
        <row r="1272">
          <cell r="Q1272" t="str">
            <v/>
          </cell>
          <cell r="T1272" t="str">
            <v>Holešov</v>
          </cell>
        </row>
        <row r="1273">
          <cell r="Q1273" t="str">
            <v/>
          </cell>
          <cell r="T1273" t="str">
            <v>Holetín</v>
          </cell>
        </row>
        <row r="1274">
          <cell r="Q1274" t="str">
            <v/>
          </cell>
          <cell r="T1274" t="str">
            <v>Holice</v>
          </cell>
        </row>
        <row r="1275">
          <cell r="Q1275" t="str">
            <v/>
          </cell>
          <cell r="T1275" t="str">
            <v>Holín</v>
          </cell>
        </row>
        <row r="1276">
          <cell r="Q1276" t="str">
            <v/>
          </cell>
          <cell r="T1276" t="str">
            <v>Holohlavy</v>
          </cell>
        </row>
        <row r="1277">
          <cell r="Q1277" t="str">
            <v/>
          </cell>
          <cell r="T1277" t="str">
            <v>Holotín</v>
          </cell>
        </row>
        <row r="1278">
          <cell r="Q1278" t="str">
            <v/>
          </cell>
          <cell r="T1278" t="str">
            <v>Holoubkov</v>
          </cell>
        </row>
        <row r="1279">
          <cell r="Q1279" t="str">
            <v/>
          </cell>
          <cell r="T1279" t="str">
            <v>Holovousy</v>
          </cell>
        </row>
        <row r="1280">
          <cell r="Q1280" t="str">
            <v/>
          </cell>
          <cell r="T1280" t="str">
            <v>Holovousy</v>
          </cell>
        </row>
        <row r="1281">
          <cell r="Q1281" t="str">
            <v/>
          </cell>
          <cell r="T1281" t="str">
            <v>Holštejn</v>
          </cell>
        </row>
        <row r="1282">
          <cell r="Q1282" t="str">
            <v/>
          </cell>
          <cell r="T1282" t="str">
            <v>Holubice</v>
          </cell>
        </row>
        <row r="1283">
          <cell r="Q1283" t="str">
            <v/>
          </cell>
          <cell r="T1283" t="str">
            <v>Holubice</v>
          </cell>
        </row>
        <row r="1284">
          <cell r="Q1284" t="str">
            <v/>
          </cell>
          <cell r="T1284" t="str">
            <v>Holubov</v>
          </cell>
        </row>
        <row r="1285">
          <cell r="Q1285" t="str">
            <v/>
          </cell>
          <cell r="T1285" t="str">
            <v>Holýšov</v>
          </cell>
        </row>
        <row r="1286">
          <cell r="Q1286" t="str">
            <v/>
          </cell>
          <cell r="T1286" t="str">
            <v>Homole</v>
          </cell>
        </row>
        <row r="1287">
          <cell r="Q1287" t="str">
            <v/>
          </cell>
          <cell r="T1287" t="str">
            <v>Homole u Panny</v>
          </cell>
        </row>
        <row r="1288">
          <cell r="Q1288" t="str">
            <v/>
          </cell>
          <cell r="T1288" t="str">
            <v>Honbice</v>
          </cell>
        </row>
        <row r="1289">
          <cell r="Q1289" t="str">
            <v/>
          </cell>
          <cell r="T1289" t="str">
            <v>Honětice</v>
          </cell>
        </row>
        <row r="1290">
          <cell r="Q1290" t="str">
            <v/>
          </cell>
          <cell r="T1290" t="str">
            <v>Honezovice</v>
          </cell>
        </row>
        <row r="1291">
          <cell r="Q1291" t="str">
            <v/>
          </cell>
          <cell r="T1291" t="str">
            <v>Hora Svaté Kateřiny</v>
          </cell>
        </row>
        <row r="1292">
          <cell r="Q1292" t="str">
            <v/>
          </cell>
          <cell r="T1292" t="str">
            <v>Hora Svatého Šebestiána</v>
          </cell>
        </row>
        <row r="1293">
          <cell r="Q1293" t="str">
            <v/>
          </cell>
          <cell r="T1293" t="str">
            <v>Hora Svatého Václava</v>
          </cell>
        </row>
        <row r="1294">
          <cell r="Q1294" t="str">
            <v/>
          </cell>
          <cell r="T1294" t="str">
            <v>Horažďovice</v>
          </cell>
        </row>
        <row r="1295">
          <cell r="Q1295" t="str">
            <v/>
          </cell>
          <cell r="T1295" t="str">
            <v>Horčápsko</v>
          </cell>
        </row>
        <row r="1296">
          <cell r="Q1296" t="str">
            <v/>
          </cell>
          <cell r="T1296" t="str">
            <v>Horka</v>
          </cell>
        </row>
        <row r="1297">
          <cell r="Q1297" t="str">
            <v/>
          </cell>
          <cell r="T1297" t="str">
            <v>Horka I</v>
          </cell>
        </row>
        <row r="1298">
          <cell r="Q1298" t="str">
            <v/>
          </cell>
          <cell r="T1298" t="str">
            <v>Horka II</v>
          </cell>
        </row>
        <row r="1299">
          <cell r="Q1299" t="str">
            <v/>
          </cell>
          <cell r="T1299" t="str">
            <v>Horka nad Moravou</v>
          </cell>
        </row>
        <row r="1300">
          <cell r="Q1300" t="str">
            <v/>
          </cell>
          <cell r="T1300" t="str">
            <v>Horka u Staré Paky</v>
          </cell>
        </row>
        <row r="1301">
          <cell r="Q1301" t="str">
            <v/>
          </cell>
          <cell r="T1301" t="str">
            <v>Horky</v>
          </cell>
        </row>
        <row r="1302">
          <cell r="Q1302" t="str">
            <v/>
          </cell>
          <cell r="T1302" t="str">
            <v>Horky</v>
          </cell>
        </row>
        <row r="1303">
          <cell r="Q1303" t="str">
            <v/>
          </cell>
          <cell r="T1303" t="str">
            <v>Horky nad Jizerou</v>
          </cell>
        </row>
        <row r="1304">
          <cell r="Q1304" t="str">
            <v/>
          </cell>
          <cell r="T1304" t="str">
            <v>Horní Bečva</v>
          </cell>
        </row>
        <row r="1305">
          <cell r="Q1305" t="str">
            <v/>
          </cell>
          <cell r="T1305" t="str">
            <v>Horní Bělá</v>
          </cell>
        </row>
        <row r="1306">
          <cell r="Q1306" t="str">
            <v/>
          </cell>
          <cell r="T1306" t="str">
            <v>Horní Benešov</v>
          </cell>
        </row>
        <row r="1307">
          <cell r="Q1307" t="str">
            <v/>
          </cell>
          <cell r="T1307" t="str">
            <v>Horní Beřkovice</v>
          </cell>
        </row>
        <row r="1308">
          <cell r="Q1308" t="str">
            <v/>
          </cell>
          <cell r="T1308" t="str">
            <v>Horní Bezděkov</v>
          </cell>
        </row>
        <row r="1309">
          <cell r="Q1309" t="str">
            <v/>
          </cell>
          <cell r="T1309" t="str">
            <v>Horní Blatná</v>
          </cell>
        </row>
        <row r="1310">
          <cell r="Q1310" t="str">
            <v/>
          </cell>
          <cell r="T1310" t="str">
            <v>Horní Bludovice</v>
          </cell>
        </row>
        <row r="1311">
          <cell r="Q1311" t="str">
            <v/>
          </cell>
          <cell r="T1311" t="str">
            <v>Horní Bojanovice</v>
          </cell>
        </row>
        <row r="1312">
          <cell r="Q1312" t="str">
            <v/>
          </cell>
          <cell r="T1312" t="str">
            <v>Horní Bradlo</v>
          </cell>
        </row>
        <row r="1313">
          <cell r="Q1313" t="str">
            <v/>
          </cell>
          <cell r="T1313" t="str">
            <v>Horní Branná</v>
          </cell>
        </row>
        <row r="1314">
          <cell r="Q1314" t="str">
            <v/>
          </cell>
          <cell r="T1314" t="str">
            <v>Horní Brusnice</v>
          </cell>
        </row>
        <row r="1315">
          <cell r="Q1315" t="str">
            <v/>
          </cell>
          <cell r="T1315" t="str">
            <v>Horní Břečkov</v>
          </cell>
        </row>
        <row r="1316">
          <cell r="Q1316" t="str">
            <v/>
          </cell>
          <cell r="T1316" t="str">
            <v>Horní Bříza</v>
          </cell>
        </row>
        <row r="1317">
          <cell r="Q1317" t="str">
            <v/>
          </cell>
          <cell r="T1317" t="str">
            <v>Horní Bukovina</v>
          </cell>
        </row>
        <row r="1318">
          <cell r="Q1318" t="str">
            <v/>
          </cell>
          <cell r="T1318" t="str">
            <v>Horní Cerekev</v>
          </cell>
        </row>
        <row r="1319">
          <cell r="Q1319" t="str">
            <v/>
          </cell>
          <cell r="T1319" t="str">
            <v>Horní Čermná</v>
          </cell>
        </row>
        <row r="1320">
          <cell r="Q1320" t="str">
            <v/>
          </cell>
          <cell r="T1320" t="str">
            <v>Horní Domaslavice</v>
          </cell>
        </row>
        <row r="1321">
          <cell r="Q1321" t="str">
            <v/>
          </cell>
          <cell r="T1321" t="str">
            <v>Horní Dubenky</v>
          </cell>
        </row>
        <row r="1322">
          <cell r="Q1322" t="str">
            <v/>
          </cell>
          <cell r="T1322" t="str">
            <v>Horní Dubňany</v>
          </cell>
        </row>
        <row r="1323">
          <cell r="Q1323" t="str">
            <v/>
          </cell>
          <cell r="T1323" t="str">
            <v>Horní Dunajovice</v>
          </cell>
        </row>
        <row r="1324">
          <cell r="Q1324" t="str">
            <v/>
          </cell>
          <cell r="T1324" t="str">
            <v>Horní Dvořiště</v>
          </cell>
        </row>
        <row r="1325">
          <cell r="Q1325" t="str">
            <v/>
          </cell>
          <cell r="T1325" t="str">
            <v>Horní Habartice</v>
          </cell>
        </row>
        <row r="1326">
          <cell r="Q1326" t="str">
            <v/>
          </cell>
          <cell r="T1326" t="str">
            <v>Horní Heřmanice</v>
          </cell>
        </row>
        <row r="1327">
          <cell r="Q1327" t="str">
            <v/>
          </cell>
          <cell r="T1327" t="str">
            <v>Horní Heřmanice</v>
          </cell>
        </row>
        <row r="1328">
          <cell r="Q1328" t="str">
            <v/>
          </cell>
          <cell r="T1328" t="str">
            <v>Horní Jelení</v>
          </cell>
        </row>
        <row r="1329">
          <cell r="Q1329" t="str">
            <v/>
          </cell>
          <cell r="T1329" t="str">
            <v>Horní Jiřetín</v>
          </cell>
        </row>
        <row r="1330">
          <cell r="Q1330" t="str">
            <v/>
          </cell>
          <cell r="T1330" t="str">
            <v>Horní Kalná</v>
          </cell>
        </row>
        <row r="1331">
          <cell r="Q1331" t="str">
            <v/>
          </cell>
          <cell r="T1331" t="str">
            <v>Horní Kamenice</v>
          </cell>
        </row>
        <row r="1332">
          <cell r="Q1332" t="str">
            <v/>
          </cell>
          <cell r="T1332" t="str">
            <v>Horní Kněžeklady</v>
          </cell>
        </row>
        <row r="1333">
          <cell r="Q1333" t="str">
            <v/>
          </cell>
          <cell r="T1333" t="str">
            <v>Horní Kounice</v>
          </cell>
        </row>
        <row r="1334">
          <cell r="Q1334" t="str">
            <v/>
          </cell>
          <cell r="T1334" t="str">
            <v>Horní Kozolupy</v>
          </cell>
        </row>
        <row r="1335">
          <cell r="Q1335" t="str">
            <v/>
          </cell>
          <cell r="T1335" t="str">
            <v>Horní Krupá</v>
          </cell>
        </row>
        <row r="1336">
          <cell r="Q1336" t="str">
            <v/>
          </cell>
          <cell r="T1336" t="str">
            <v>Horní Kruty</v>
          </cell>
        </row>
        <row r="1337">
          <cell r="Q1337" t="str">
            <v/>
          </cell>
          <cell r="T1337" t="str">
            <v>Horní Lapač</v>
          </cell>
        </row>
        <row r="1338">
          <cell r="Q1338" t="str">
            <v/>
          </cell>
          <cell r="T1338" t="str">
            <v>Horní Lhota</v>
          </cell>
        </row>
        <row r="1339">
          <cell r="Q1339" t="str">
            <v/>
          </cell>
          <cell r="T1339" t="str">
            <v>Horní Lhota</v>
          </cell>
        </row>
        <row r="1340">
          <cell r="Q1340" t="str">
            <v/>
          </cell>
          <cell r="T1340" t="str">
            <v>Horní Libchava</v>
          </cell>
        </row>
        <row r="1341">
          <cell r="Q1341" t="str">
            <v/>
          </cell>
          <cell r="T1341" t="str">
            <v>Horní Libochová</v>
          </cell>
        </row>
        <row r="1342">
          <cell r="Q1342" t="str">
            <v/>
          </cell>
          <cell r="T1342" t="str">
            <v>Horní Lideč</v>
          </cell>
        </row>
        <row r="1343">
          <cell r="Q1343" t="str">
            <v/>
          </cell>
          <cell r="T1343" t="str">
            <v>Horní Loděnice</v>
          </cell>
        </row>
        <row r="1344">
          <cell r="Q1344" t="str">
            <v/>
          </cell>
          <cell r="T1344" t="str">
            <v>Horní Lomná</v>
          </cell>
        </row>
        <row r="1345">
          <cell r="Q1345" t="str">
            <v/>
          </cell>
          <cell r="T1345" t="str">
            <v>Horní Loučky</v>
          </cell>
        </row>
        <row r="1346">
          <cell r="Q1346" t="str">
            <v/>
          </cell>
          <cell r="T1346" t="str">
            <v>Horní Lukavice</v>
          </cell>
        </row>
        <row r="1347">
          <cell r="Q1347" t="str">
            <v/>
          </cell>
          <cell r="T1347" t="str">
            <v>Horní Maršov</v>
          </cell>
        </row>
        <row r="1348">
          <cell r="Q1348" t="str">
            <v/>
          </cell>
          <cell r="T1348" t="str">
            <v>Horní Město</v>
          </cell>
        </row>
        <row r="1349">
          <cell r="Q1349" t="str">
            <v/>
          </cell>
          <cell r="T1349" t="str">
            <v>Horní Meziříčko</v>
          </cell>
        </row>
        <row r="1350">
          <cell r="Q1350" t="str">
            <v/>
          </cell>
          <cell r="T1350" t="str">
            <v>Horní Moštěnice</v>
          </cell>
        </row>
        <row r="1351">
          <cell r="Q1351" t="str">
            <v/>
          </cell>
          <cell r="T1351" t="str">
            <v>Horní Myslová</v>
          </cell>
        </row>
        <row r="1352">
          <cell r="Q1352" t="str">
            <v/>
          </cell>
          <cell r="T1352" t="str">
            <v>Horní Němčí</v>
          </cell>
        </row>
        <row r="1353">
          <cell r="Q1353" t="str">
            <v/>
          </cell>
          <cell r="T1353" t="str">
            <v>Horní Němčice</v>
          </cell>
        </row>
        <row r="1354">
          <cell r="Q1354" t="str">
            <v/>
          </cell>
          <cell r="T1354" t="str">
            <v>Horní Nětčice</v>
          </cell>
        </row>
        <row r="1355">
          <cell r="Q1355" t="str">
            <v/>
          </cell>
          <cell r="T1355" t="str">
            <v>Horní Olešnice</v>
          </cell>
        </row>
        <row r="1356">
          <cell r="Q1356" t="str">
            <v/>
          </cell>
          <cell r="T1356" t="str">
            <v>Horní Paseka</v>
          </cell>
        </row>
        <row r="1357">
          <cell r="Q1357" t="str">
            <v/>
          </cell>
          <cell r="T1357" t="str">
            <v>Horní Pěna</v>
          </cell>
        </row>
        <row r="1358">
          <cell r="Q1358" t="str">
            <v/>
          </cell>
          <cell r="T1358" t="str">
            <v>Horní Planá</v>
          </cell>
        </row>
        <row r="1359">
          <cell r="Q1359" t="str">
            <v/>
          </cell>
          <cell r="T1359" t="str">
            <v>Horní Počaply</v>
          </cell>
        </row>
        <row r="1360">
          <cell r="Q1360" t="str">
            <v/>
          </cell>
          <cell r="T1360" t="str">
            <v>Horní Podluží</v>
          </cell>
        </row>
        <row r="1361">
          <cell r="Q1361" t="str">
            <v/>
          </cell>
          <cell r="T1361" t="str">
            <v>Horní Police</v>
          </cell>
        </row>
        <row r="1362">
          <cell r="Q1362" t="str">
            <v/>
          </cell>
          <cell r="T1362" t="str">
            <v>Horní Poříčí</v>
          </cell>
        </row>
        <row r="1363">
          <cell r="Q1363" t="str">
            <v/>
          </cell>
          <cell r="T1363" t="str">
            <v>Horní Poříčí</v>
          </cell>
        </row>
        <row r="1364">
          <cell r="Q1364" t="str">
            <v/>
          </cell>
          <cell r="T1364" t="str">
            <v>Horní Radechová</v>
          </cell>
        </row>
        <row r="1365">
          <cell r="Q1365" t="str">
            <v/>
          </cell>
          <cell r="T1365" t="str">
            <v>Horní Radouň</v>
          </cell>
        </row>
        <row r="1366">
          <cell r="Q1366" t="str">
            <v/>
          </cell>
          <cell r="T1366" t="str">
            <v>Horní Radslavice</v>
          </cell>
        </row>
        <row r="1367">
          <cell r="Q1367" t="str">
            <v/>
          </cell>
          <cell r="T1367" t="str">
            <v>Horní Rápotice</v>
          </cell>
        </row>
        <row r="1368">
          <cell r="Q1368" t="str">
            <v/>
          </cell>
          <cell r="T1368" t="str">
            <v>Horní Rožínka</v>
          </cell>
        </row>
        <row r="1369">
          <cell r="Q1369" t="str">
            <v/>
          </cell>
          <cell r="T1369" t="str">
            <v>Horní Řasnice</v>
          </cell>
        </row>
        <row r="1370">
          <cell r="Q1370" t="str">
            <v/>
          </cell>
          <cell r="T1370" t="str">
            <v>Horní Ředice</v>
          </cell>
        </row>
        <row r="1371">
          <cell r="Q1371" t="str">
            <v/>
          </cell>
          <cell r="T1371" t="str">
            <v>Horní Řepčice</v>
          </cell>
        </row>
        <row r="1372">
          <cell r="Q1372" t="str">
            <v/>
          </cell>
          <cell r="T1372" t="str">
            <v>Horní Skrýchov</v>
          </cell>
        </row>
        <row r="1373">
          <cell r="Q1373" t="str">
            <v/>
          </cell>
          <cell r="T1373" t="str">
            <v>Horní Slatina</v>
          </cell>
        </row>
        <row r="1374">
          <cell r="Q1374" t="str">
            <v/>
          </cell>
          <cell r="T1374" t="str">
            <v>Horní Slavkov</v>
          </cell>
        </row>
        <row r="1375">
          <cell r="Q1375" t="str">
            <v/>
          </cell>
          <cell r="T1375" t="str">
            <v>Horní Slivno</v>
          </cell>
        </row>
        <row r="1376">
          <cell r="Q1376" t="str">
            <v/>
          </cell>
          <cell r="T1376" t="str">
            <v>Horní Smrčné</v>
          </cell>
        </row>
        <row r="1377">
          <cell r="Q1377" t="str">
            <v/>
          </cell>
          <cell r="T1377" t="str">
            <v>Horní Smržov</v>
          </cell>
        </row>
        <row r="1378">
          <cell r="Q1378" t="str">
            <v/>
          </cell>
          <cell r="T1378" t="str">
            <v>Horní Stropnice</v>
          </cell>
        </row>
        <row r="1379">
          <cell r="Q1379" t="str">
            <v/>
          </cell>
          <cell r="T1379" t="str">
            <v>Horní Studénky</v>
          </cell>
        </row>
        <row r="1380">
          <cell r="Q1380" t="str">
            <v/>
          </cell>
          <cell r="T1380" t="str">
            <v>Horní Suchá</v>
          </cell>
        </row>
        <row r="1381">
          <cell r="Q1381" t="str">
            <v/>
          </cell>
          <cell r="T1381" t="str">
            <v>Horní Štěpánov</v>
          </cell>
        </row>
        <row r="1382">
          <cell r="Q1382" t="str">
            <v/>
          </cell>
          <cell r="T1382" t="str">
            <v>Horní Těšice</v>
          </cell>
        </row>
        <row r="1383">
          <cell r="Q1383" t="str">
            <v/>
          </cell>
          <cell r="T1383" t="str">
            <v>Horní Tošanovice</v>
          </cell>
        </row>
        <row r="1384">
          <cell r="Q1384" t="str">
            <v/>
          </cell>
          <cell r="T1384" t="str">
            <v>Horní Třešňovec</v>
          </cell>
        </row>
        <row r="1385">
          <cell r="Q1385" t="str">
            <v/>
          </cell>
          <cell r="T1385" t="str">
            <v>Horní Újezd</v>
          </cell>
        </row>
        <row r="1386">
          <cell r="Q1386" t="str">
            <v/>
          </cell>
          <cell r="T1386" t="str">
            <v>Horní Újezd</v>
          </cell>
        </row>
        <row r="1387">
          <cell r="Q1387" t="str">
            <v/>
          </cell>
          <cell r="T1387" t="str">
            <v>Horní Újezd</v>
          </cell>
        </row>
        <row r="1388">
          <cell r="Q1388" t="str">
            <v/>
          </cell>
          <cell r="T1388" t="str">
            <v>Horní Ves</v>
          </cell>
        </row>
        <row r="1389">
          <cell r="Q1389" t="str">
            <v/>
          </cell>
          <cell r="T1389" t="str">
            <v>Horní Věstonice</v>
          </cell>
        </row>
        <row r="1390">
          <cell r="Q1390" t="str">
            <v/>
          </cell>
          <cell r="T1390" t="str">
            <v>Horní Vilémovice</v>
          </cell>
        </row>
        <row r="1391">
          <cell r="Q1391" t="str">
            <v/>
          </cell>
          <cell r="T1391" t="str">
            <v>Horní Vltavice</v>
          </cell>
        </row>
        <row r="1392">
          <cell r="Q1392" t="str">
            <v/>
          </cell>
          <cell r="T1392" t="str">
            <v>Horní Životice</v>
          </cell>
        </row>
        <row r="1393">
          <cell r="Q1393" t="str">
            <v/>
          </cell>
          <cell r="T1393" t="str">
            <v>Hornice</v>
          </cell>
        </row>
        <row r="1394">
          <cell r="Q1394" t="str">
            <v/>
          </cell>
          <cell r="T1394" t="str">
            <v>Hornosín</v>
          </cell>
        </row>
        <row r="1395">
          <cell r="Q1395" t="str">
            <v/>
          </cell>
          <cell r="T1395" t="str">
            <v>Horoměřice</v>
          </cell>
        </row>
        <row r="1396">
          <cell r="Q1396" t="str">
            <v/>
          </cell>
          <cell r="T1396" t="str">
            <v>Horosedly</v>
          </cell>
        </row>
        <row r="1397">
          <cell r="Q1397" t="str">
            <v/>
          </cell>
          <cell r="T1397" t="str">
            <v>Horoušany</v>
          </cell>
        </row>
        <row r="1398">
          <cell r="Q1398" t="str">
            <v/>
          </cell>
          <cell r="T1398" t="str">
            <v>Horská Kvilda</v>
          </cell>
        </row>
        <row r="1399">
          <cell r="Q1399" t="str">
            <v/>
          </cell>
          <cell r="T1399" t="str">
            <v>Horšice</v>
          </cell>
        </row>
        <row r="1400">
          <cell r="Q1400" t="str">
            <v/>
          </cell>
          <cell r="T1400" t="str">
            <v>Horšovský Týn</v>
          </cell>
        </row>
        <row r="1401">
          <cell r="Q1401" t="str">
            <v/>
          </cell>
          <cell r="T1401" t="str">
            <v>Horušice</v>
          </cell>
        </row>
        <row r="1402">
          <cell r="Q1402" t="str">
            <v/>
          </cell>
          <cell r="T1402" t="str">
            <v>Hory</v>
          </cell>
        </row>
        <row r="1403">
          <cell r="Q1403" t="str">
            <v/>
          </cell>
          <cell r="T1403" t="str">
            <v>Hořany</v>
          </cell>
        </row>
        <row r="1404">
          <cell r="Q1404" t="str">
            <v/>
          </cell>
          <cell r="T1404" t="str">
            <v>Hořátev</v>
          </cell>
        </row>
        <row r="1405">
          <cell r="Q1405" t="str">
            <v/>
          </cell>
          <cell r="T1405" t="str">
            <v>Hořenice</v>
          </cell>
        </row>
        <row r="1406">
          <cell r="Q1406" t="str">
            <v/>
          </cell>
          <cell r="T1406" t="str">
            <v>Hořepník</v>
          </cell>
        </row>
        <row r="1407">
          <cell r="Q1407" t="str">
            <v/>
          </cell>
          <cell r="T1407" t="str">
            <v>Hořesedly</v>
          </cell>
        </row>
        <row r="1408">
          <cell r="Q1408" t="str">
            <v/>
          </cell>
          <cell r="T1408" t="str">
            <v>Hořešovice</v>
          </cell>
        </row>
        <row r="1409">
          <cell r="Q1409" t="str">
            <v/>
          </cell>
          <cell r="T1409" t="str">
            <v>Hořešovičky</v>
          </cell>
        </row>
        <row r="1410">
          <cell r="Q1410" t="str">
            <v/>
          </cell>
          <cell r="T1410" t="str">
            <v>Hořice</v>
          </cell>
        </row>
        <row r="1411">
          <cell r="Q1411" t="str">
            <v/>
          </cell>
          <cell r="T1411" t="str">
            <v>Hořice</v>
          </cell>
        </row>
        <row r="1412">
          <cell r="Q1412" t="str">
            <v/>
          </cell>
          <cell r="T1412" t="str">
            <v>Hořice na Šumavě</v>
          </cell>
        </row>
        <row r="1413">
          <cell r="Q1413" t="str">
            <v/>
          </cell>
          <cell r="T1413" t="str">
            <v>Hořičky</v>
          </cell>
        </row>
        <row r="1414">
          <cell r="Q1414" t="str">
            <v/>
          </cell>
          <cell r="T1414" t="str">
            <v>Hořín</v>
          </cell>
        </row>
        <row r="1415">
          <cell r="Q1415" t="str">
            <v/>
          </cell>
          <cell r="T1415" t="str">
            <v>Hořiněves</v>
          </cell>
        </row>
        <row r="1416">
          <cell r="Q1416" t="str">
            <v/>
          </cell>
          <cell r="T1416" t="str">
            <v>Hořovice</v>
          </cell>
        </row>
        <row r="1417">
          <cell r="Q1417" t="str">
            <v/>
          </cell>
          <cell r="T1417" t="str">
            <v>Hořovičky</v>
          </cell>
        </row>
        <row r="1418">
          <cell r="Q1418" t="str">
            <v/>
          </cell>
          <cell r="T1418" t="str">
            <v>Hosín</v>
          </cell>
        </row>
        <row r="1419">
          <cell r="Q1419" t="str">
            <v/>
          </cell>
          <cell r="T1419" t="str">
            <v>Hoslovice</v>
          </cell>
        </row>
        <row r="1420">
          <cell r="Q1420" t="str">
            <v/>
          </cell>
          <cell r="T1420" t="str">
            <v>Hospozín</v>
          </cell>
        </row>
        <row r="1421">
          <cell r="Q1421" t="str">
            <v/>
          </cell>
          <cell r="T1421" t="str">
            <v>Hospříz</v>
          </cell>
        </row>
        <row r="1422">
          <cell r="Q1422" t="str">
            <v/>
          </cell>
          <cell r="T1422" t="str">
            <v>Hostašovice</v>
          </cell>
        </row>
        <row r="1423">
          <cell r="Q1423" t="str">
            <v/>
          </cell>
          <cell r="T1423" t="str">
            <v>Hostějov</v>
          </cell>
        </row>
        <row r="1424">
          <cell r="Q1424" t="str">
            <v/>
          </cell>
          <cell r="T1424" t="str">
            <v>Hostěnice</v>
          </cell>
        </row>
        <row r="1425">
          <cell r="Q1425" t="str">
            <v/>
          </cell>
          <cell r="T1425" t="str">
            <v>Hostěradice</v>
          </cell>
        </row>
        <row r="1426">
          <cell r="Q1426" t="str">
            <v/>
          </cell>
          <cell r="T1426" t="str">
            <v>Hostěrádky-Rešov</v>
          </cell>
        </row>
        <row r="1427">
          <cell r="Q1427" t="str">
            <v/>
          </cell>
          <cell r="T1427" t="str">
            <v>Hostětice</v>
          </cell>
        </row>
        <row r="1428">
          <cell r="Q1428" t="str">
            <v/>
          </cell>
          <cell r="T1428" t="str">
            <v>Hostětín</v>
          </cell>
        </row>
        <row r="1429">
          <cell r="Q1429" t="str">
            <v/>
          </cell>
          <cell r="T1429" t="str">
            <v>Hostim</v>
          </cell>
        </row>
        <row r="1430">
          <cell r="Q1430" t="str">
            <v/>
          </cell>
          <cell r="T1430" t="str">
            <v>Hostín</v>
          </cell>
        </row>
        <row r="1431">
          <cell r="Q1431" t="str">
            <v/>
          </cell>
          <cell r="T1431" t="str">
            <v>Hostín u Vojkovic</v>
          </cell>
        </row>
        <row r="1432">
          <cell r="Q1432" t="str">
            <v/>
          </cell>
          <cell r="T1432" t="str">
            <v>Hostinné</v>
          </cell>
        </row>
        <row r="1433">
          <cell r="Q1433" t="str">
            <v/>
          </cell>
          <cell r="T1433" t="str">
            <v>Hostišová</v>
          </cell>
        </row>
        <row r="1434">
          <cell r="Q1434" t="str">
            <v/>
          </cell>
          <cell r="T1434" t="str">
            <v>Hostivice</v>
          </cell>
        </row>
        <row r="1435">
          <cell r="Q1435" t="str">
            <v/>
          </cell>
          <cell r="T1435" t="str">
            <v>Hostomice</v>
          </cell>
        </row>
        <row r="1436">
          <cell r="Q1436" t="str">
            <v/>
          </cell>
          <cell r="T1436" t="str">
            <v>Hostomice</v>
          </cell>
        </row>
        <row r="1437">
          <cell r="Q1437" t="str">
            <v/>
          </cell>
          <cell r="T1437" t="str">
            <v>Hostouň</v>
          </cell>
        </row>
        <row r="1438">
          <cell r="Q1438" t="str">
            <v/>
          </cell>
          <cell r="T1438" t="str">
            <v>Hostouň</v>
          </cell>
        </row>
        <row r="1439">
          <cell r="Q1439" t="str">
            <v/>
          </cell>
          <cell r="T1439" t="str">
            <v>Hostovlice</v>
          </cell>
        </row>
        <row r="1440">
          <cell r="Q1440" t="str">
            <v/>
          </cell>
          <cell r="T1440" t="str">
            <v>Hosty</v>
          </cell>
        </row>
        <row r="1441">
          <cell r="Q1441" t="str">
            <v/>
          </cell>
          <cell r="T1441" t="str">
            <v>Hošťálková</v>
          </cell>
        </row>
        <row r="1442">
          <cell r="Q1442" t="str">
            <v/>
          </cell>
          <cell r="T1442" t="str">
            <v>Hošťálkovy</v>
          </cell>
        </row>
        <row r="1443">
          <cell r="Q1443" t="str">
            <v/>
          </cell>
          <cell r="T1443" t="str">
            <v>Hošťalovice</v>
          </cell>
        </row>
        <row r="1444">
          <cell r="Q1444" t="str">
            <v/>
          </cell>
          <cell r="T1444" t="str">
            <v>Hoštejn</v>
          </cell>
        </row>
        <row r="1445">
          <cell r="Q1445" t="str">
            <v/>
          </cell>
          <cell r="T1445" t="str">
            <v>Hoštice</v>
          </cell>
        </row>
        <row r="1446">
          <cell r="Q1446" t="str">
            <v/>
          </cell>
          <cell r="T1446" t="str">
            <v>Hoštice</v>
          </cell>
        </row>
        <row r="1447">
          <cell r="Q1447" t="str">
            <v/>
          </cell>
          <cell r="T1447" t="str">
            <v>Hoštice-Heroltice</v>
          </cell>
        </row>
        <row r="1448">
          <cell r="Q1448" t="str">
            <v/>
          </cell>
          <cell r="T1448" t="str">
            <v>Hoštka</v>
          </cell>
        </row>
        <row r="1449">
          <cell r="Q1449" t="str">
            <v/>
          </cell>
          <cell r="T1449" t="str">
            <v>Hošťka</v>
          </cell>
        </row>
        <row r="1450">
          <cell r="Q1450" t="str">
            <v/>
          </cell>
          <cell r="T1450" t="str">
            <v>Hovězí</v>
          </cell>
        </row>
        <row r="1451">
          <cell r="Q1451" t="str">
            <v/>
          </cell>
          <cell r="T1451" t="str">
            <v>Hovorany</v>
          </cell>
        </row>
        <row r="1452">
          <cell r="Q1452" t="str">
            <v/>
          </cell>
          <cell r="T1452" t="str">
            <v>Hovorčovice</v>
          </cell>
        </row>
        <row r="1453">
          <cell r="Q1453" t="str">
            <v/>
          </cell>
          <cell r="T1453" t="str">
            <v>Hraběšice</v>
          </cell>
        </row>
        <row r="1454">
          <cell r="Q1454" t="str">
            <v/>
          </cell>
          <cell r="T1454" t="str">
            <v>Hraběšín</v>
          </cell>
        </row>
        <row r="1455">
          <cell r="Q1455" t="str">
            <v/>
          </cell>
          <cell r="T1455" t="str">
            <v>Hrabětice</v>
          </cell>
        </row>
        <row r="1456">
          <cell r="Q1456" t="str">
            <v/>
          </cell>
          <cell r="T1456" t="str">
            <v>Hrabišín</v>
          </cell>
        </row>
        <row r="1457">
          <cell r="Q1457" t="str">
            <v/>
          </cell>
          <cell r="T1457" t="str">
            <v>Hrabová</v>
          </cell>
        </row>
        <row r="1458">
          <cell r="Q1458" t="str">
            <v/>
          </cell>
          <cell r="T1458" t="str">
            <v>Hrabůvka</v>
          </cell>
        </row>
        <row r="1459">
          <cell r="Q1459" t="str">
            <v/>
          </cell>
          <cell r="T1459" t="str">
            <v>Hrabyně</v>
          </cell>
        </row>
        <row r="1460">
          <cell r="Q1460" t="str">
            <v/>
          </cell>
          <cell r="T1460" t="str">
            <v>Hradce</v>
          </cell>
        </row>
        <row r="1461">
          <cell r="Q1461" t="str">
            <v/>
          </cell>
          <cell r="T1461" t="str">
            <v>Hradčany</v>
          </cell>
        </row>
        <row r="1462">
          <cell r="Q1462" t="str">
            <v/>
          </cell>
          <cell r="T1462" t="str">
            <v>Hradčany</v>
          </cell>
        </row>
        <row r="1463">
          <cell r="Q1463" t="str">
            <v/>
          </cell>
          <cell r="T1463" t="str">
            <v>Hradčany</v>
          </cell>
        </row>
        <row r="1464">
          <cell r="Q1464" t="str">
            <v/>
          </cell>
          <cell r="T1464" t="str">
            <v>Hradčany-Kobeřice</v>
          </cell>
        </row>
        <row r="1465">
          <cell r="Q1465" t="str">
            <v/>
          </cell>
          <cell r="T1465" t="str">
            <v>Hradčovice</v>
          </cell>
        </row>
        <row r="1466">
          <cell r="Q1466" t="str">
            <v/>
          </cell>
          <cell r="T1466" t="str">
            <v>Hradec</v>
          </cell>
        </row>
        <row r="1467">
          <cell r="Q1467" t="str">
            <v/>
          </cell>
          <cell r="T1467" t="str">
            <v>Hradec</v>
          </cell>
        </row>
        <row r="1468">
          <cell r="Q1468" t="str">
            <v/>
          </cell>
          <cell r="T1468" t="str">
            <v>Hradec Králové</v>
          </cell>
        </row>
        <row r="1469">
          <cell r="Q1469" t="str">
            <v/>
          </cell>
          <cell r="T1469" t="str">
            <v>Hradec nad Moravicí</v>
          </cell>
        </row>
        <row r="1470">
          <cell r="Q1470" t="str">
            <v/>
          </cell>
          <cell r="T1470" t="str">
            <v>Hradec nad Svitavou</v>
          </cell>
        </row>
        <row r="1471">
          <cell r="Q1471" t="str">
            <v/>
          </cell>
          <cell r="T1471" t="str">
            <v>Hradec-Nová Ves</v>
          </cell>
        </row>
        <row r="1472">
          <cell r="Q1472" t="str">
            <v/>
          </cell>
          <cell r="T1472" t="str">
            <v>Hradečno</v>
          </cell>
        </row>
        <row r="1473">
          <cell r="Q1473" t="str">
            <v/>
          </cell>
          <cell r="T1473" t="str">
            <v>Hrádek</v>
          </cell>
        </row>
        <row r="1474">
          <cell r="Q1474" t="str">
            <v/>
          </cell>
          <cell r="T1474" t="str">
            <v>Hrádek</v>
          </cell>
        </row>
        <row r="1475">
          <cell r="Q1475" t="str">
            <v/>
          </cell>
          <cell r="T1475" t="str">
            <v>Hrádek</v>
          </cell>
        </row>
        <row r="1476">
          <cell r="Q1476" t="str">
            <v/>
          </cell>
          <cell r="T1476" t="str">
            <v>Hrádek</v>
          </cell>
        </row>
        <row r="1477">
          <cell r="Q1477" t="str">
            <v/>
          </cell>
          <cell r="T1477" t="str">
            <v>Hrádek</v>
          </cell>
        </row>
        <row r="1478">
          <cell r="Q1478" t="str">
            <v/>
          </cell>
          <cell r="T1478" t="str">
            <v>Hrádek</v>
          </cell>
        </row>
        <row r="1479">
          <cell r="Q1479" t="str">
            <v/>
          </cell>
          <cell r="T1479" t="str">
            <v>Hrádek nad Nisou</v>
          </cell>
        </row>
        <row r="1480">
          <cell r="Q1480" t="str">
            <v/>
          </cell>
          <cell r="T1480" t="str">
            <v>Hradešice</v>
          </cell>
        </row>
        <row r="1481">
          <cell r="Q1481" t="str">
            <v/>
          </cell>
          <cell r="T1481" t="str">
            <v>Hradešín</v>
          </cell>
        </row>
        <row r="1482">
          <cell r="Q1482" t="str">
            <v/>
          </cell>
          <cell r="T1482" t="str">
            <v>Hradiště</v>
          </cell>
        </row>
        <row r="1483">
          <cell r="Q1483" t="str">
            <v/>
          </cell>
          <cell r="T1483" t="str">
            <v>Hradiště</v>
          </cell>
        </row>
        <row r="1484">
          <cell r="Q1484" t="str">
            <v/>
          </cell>
          <cell r="T1484" t="str">
            <v>Hradiště</v>
          </cell>
        </row>
        <row r="1485">
          <cell r="Q1485" t="str">
            <v/>
          </cell>
          <cell r="T1485" t="str">
            <v>Hradiště</v>
          </cell>
        </row>
        <row r="1486">
          <cell r="Q1486" t="str">
            <v/>
          </cell>
          <cell r="T1486" t="str">
            <v>Hradiště</v>
          </cell>
        </row>
        <row r="1487">
          <cell r="Q1487" t="str">
            <v/>
          </cell>
          <cell r="T1487" t="str">
            <v>Hradištko</v>
          </cell>
        </row>
        <row r="1488">
          <cell r="Q1488" t="str">
            <v/>
          </cell>
          <cell r="T1488" t="str">
            <v>Hradištko</v>
          </cell>
        </row>
        <row r="1489">
          <cell r="Q1489" t="str">
            <v/>
          </cell>
          <cell r="T1489" t="str">
            <v>Hracholusky</v>
          </cell>
        </row>
        <row r="1490">
          <cell r="Q1490" t="str">
            <v/>
          </cell>
          <cell r="T1490" t="str">
            <v>Hracholusky</v>
          </cell>
        </row>
        <row r="1491">
          <cell r="Q1491" t="str">
            <v/>
          </cell>
          <cell r="T1491" t="str">
            <v>Hrachoviště</v>
          </cell>
        </row>
        <row r="1492">
          <cell r="Q1492" t="str">
            <v/>
          </cell>
          <cell r="T1492" t="str">
            <v>Hranice</v>
          </cell>
        </row>
        <row r="1493">
          <cell r="Q1493" t="str">
            <v/>
          </cell>
          <cell r="T1493" t="str">
            <v>Hranice</v>
          </cell>
        </row>
        <row r="1494">
          <cell r="Q1494" t="str">
            <v/>
          </cell>
          <cell r="T1494" t="str">
            <v>Hranice</v>
          </cell>
        </row>
        <row r="1495">
          <cell r="Q1495" t="str">
            <v/>
          </cell>
          <cell r="T1495" t="str">
            <v>Hraničné Petrovice</v>
          </cell>
        </row>
        <row r="1496">
          <cell r="Q1496" t="str">
            <v/>
          </cell>
          <cell r="T1496" t="str">
            <v>Hrazany</v>
          </cell>
        </row>
        <row r="1497">
          <cell r="Q1497" t="str">
            <v/>
          </cell>
          <cell r="T1497" t="str">
            <v>Hrčava</v>
          </cell>
        </row>
        <row r="1498">
          <cell r="Q1498" t="str">
            <v/>
          </cell>
          <cell r="T1498" t="str">
            <v>Hrdějovice</v>
          </cell>
        </row>
        <row r="1499">
          <cell r="Q1499" t="str">
            <v/>
          </cell>
          <cell r="T1499" t="str">
            <v>Hrdibořice</v>
          </cell>
        </row>
        <row r="1500">
          <cell r="Q1500" t="str">
            <v/>
          </cell>
          <cell r="T1500" t="str">
            <v>Hrdlív</v>
          </cell>
        </row>
        <row r="1501">
          <cell r="Q1501" t="str">
            <v/>
          </cell>
          <cell r="T1501" t="str">
            <v>Hrdlořezy</v>
          </cell>
        </row>
        <row r="1502">
          <cell r="Q1502" t="str">
            <v/>
          </cell>
          <cell r="T1502" t="str">
            <v>Hrejkovice</v>
          </cell>
        </row>
        <row r="1503">
          <cell r="Q1503" t="str">
            <v/>
          </cell>
          <cell r="T1503" t="str">
            <v>Hrob</v>
          </cell>
        </row>
        <row r="1504">
          <cell r="Q1504" t="str">
            <v/>
          </cell>
          <cell r="T1504" t="str">
            <v>Hrobce</v>
          </cell>
        </row>
        <row r="1505">
          <cell r="Q1505" t="str">
            <v/>
          </cell>
          <cell r="T1505" t="str">
            <v>Hrobčice</v>
          </cell>
        </row>
        <row r="1506">
          <cell r="Q1506" t="str">
            <v/>
          </cell>
          <cell r="T1506" t="str">
            <v>Hrobice</v>
          </cell>
        </row>
        <row r="1507">
          <cell r="Q1507" t="str">
            <v/>
          </cell>
          <cell r="T1507" t="str">
            <v>Hrobice</v>
          </cell>
        </row>
        <row r="1508">
          <cell r="Q1508" t="str">
            <v/>
          </cell>
          <cell r="T1508" t="str">
            <v>Hrochův Týnec</v>
          </cell>
        </row>
        <row r="1509">
          <cell r="Q1509" t="str">
            <v/>
          </cell>
          <cell r="T1509" t="str">
            <v>Hromnice</v>
          </cell>
        </row>
        <row r="1510">
          <cell r="Q1510" t="str">
            <v/>
          </cell>
          <cell r="T1510" t="str">
            <v>Hronov</v>
          </cell>
        </row>
        <row r="1511">
          <cell r="Q1511" t="str">
            <v/>
          </cell>
          <cell r="T1511" t="str">
            <v>Hrotovice</v>
          </cell>
        </row>
        <row r="1512">
          <cell r="Q1512" t="str">
            <v/>
          </cell>
          <cell r="T1512" t="str">
            <v>Hroubovice</v>
          </cell>
        </row>
        <row r="1513">
          <cell r="Q1513" t="str">
            <v/>
          </cell>
          <cell r="T1513" t="str">
            <v>Hroznatín</v>
          </cell>
        </row>
        <row r="1514">
          <cell r="Q1514" t="str">
            <v/>
          </cell>
          <cell r="T1514" t="str">
            <v>Hroznětín</v>
          </cell>
        </row>
        <row r="1515">
          <cell r="Q1515" t="str">
            <v/>
          </cell>
          <cell r="T1515" t="str">
            <v>Hroznová Lhota</v>
          </cell>
        </row>
        <row r="1516">
          <cell r="Q1516" t="str">
            <v/>
          </cell>
          <cell r="T1516" t="str">
            <v>Hrubá Skála</v>
          </cell>
        </row>
        <row r="1517">
          <cell r="Q1517" t="str">
            <v/>
          </cell>
          <cell r="T1517" t="str">
            <v>Hrubá Vrbka</v>
          </cell>
        </row>
        <row r="1518">
          <cell r="Q1518" t="str">
            <v/>
          </cell>
          <cell r="T1518" t="str">
            <v>Hrubčice</v>
          </cell>
        </row>
        <row r="1519">
          <cell r="Q1519" t="str">
            <v/>
          </cell>
          <cell r="T1519" t="str">
            <v>Hrubý Jeseník</v>
          </cell>
        </row>
        <row r="1520">
          <cell r="Q1520" t="str">
            <v/>
          </cell>
          <cell r="T1520" t="str">
            <v>Hrusice</v>
          </cell>
        </row>
        <row r="1521">
          <cell r="Q1521" t="str">
            <v/>
          </cell>
          <cell r="T1521" t="str">
            <v>Hruška</v>
          </cell>
        </row>
        <row r="1522">
          <cell r="Q1522" t="str">
            <v/>
          </cell>
          <cell r="T1522" t="str">
            <v>Hrušky</v>
          </cell>
        </row>
        <row r="1523">
          <cell r="Q1523" t="str">
            <v/>
          </cell>
          <cell r="T1523" t="str">
            <v>Hrušky</v>
          </cell>
        </row>
        <row r="1524">
          <cell r="Q1524" t="str">
            <v/>
          </cell>
          <cell r="T1524" t="str">
            <v>Hrušov</v>
          </cell>
        </row>
        <row r="1525">
          <cell r="Q1525" t="str">
            <v/>
          </cell>
          <cell r="T1525" t="str">
            <v>Hrušová</v>
          </cell>
        </row>
        <row r="1526">
          <cell r="Q1526" t="str">
            <v/>
          </cell>
          <cell r="T1526" t="str">
            <v>Hrušovany</v>
          </cell>
        </row>
        <row r="1527">
          <cell r="Q1527" t="str">
            <v/>
          </cell>
          <cell r="T1527" t="str">
            <v>Hrušovany nad Jevišovkou</v>
          </cell>
        </row>
        <row r="1528">
          <cell r="Q1528" t="str">
            <v/>
          </cell>
          <cell r="T1528" t="str">
            <v>Hrušovany u Brna</v>
          </cell>
        </row>
        <row r="1529">
          <cell r="Q1529" t="str">
            <v/>
          </cell>
          <cell r="T1529" t="str">
            <v>Hrutov</v>
          </cell>
        </row>
        <row r="1530">
          <cell r="Q1530" t="str">
            <v/>
          </cell>
          <cell r="T1530" t="str">
            <v>Hřebeč</v>
          </cell>
        </row>
        <row r="1531">
          <cell r="Q1531" t="str">
            <v/>
          </cell>
          <cell r="T1531" t="str">
            <v>Hřebečníky</v>
          </cell>
        </row>
        <row r="1532">
          <cell r="Q1532" t="str">
            <v/>
          </cell>
          <cell r="T1532" t="str">
            <v>Hředle</v>
          </cell>
        </row>
        <row r="1533">
          <cell r="Q1533" t="str">
            <v/>
          </cell>
          <cell r="T1533" t="str">
            <v>Hředle</v>
          </cell>
        </row>
        <row r="1534">
          <cell r="Q1534" t="str">
            <v/>
          </cell>
          <cell r="T1534" t="str">
            <v>Hřensko</v>
          </cell>
        </row>
        <row r="1535">
          <cell r="Q1535" t="str">
            <v/>
          </cell>
          <cell r="T1535" t="str">
            <v>Hřibiny-Ledská</v>
          </cell>
        </row>
        <row r="1536">
          <cell r="Q1536" t="str">
            <v/>
          </cell>
          <cell r="T1536" t="str">
            <v>Hřibojedy</v>
          </cell>
        </row>
        <row r="1537">
          <cell r="Q1537" t="str">
            <v/>
          </cell>
          <cell r="T1537" t="str">
            <v>Hřiměždice</v>
          </cell>
        </row>
        <row r="1538">
          <cell r="Q1538" t="str">
            <v/>
          </cell>
          <cell r="T1538" t="str">
            <v>Hříšice</v>
          </cell>
        </row>
        <row r="1539">
          <cell r="Q1539" t="str">
            <v/>
          </cell>
          <cell r="T1539" t="str">
            <v>Hříškov</v>
          </cell>
        </row>
        <row r="1540">
          <cell r="Q1540" t="str">
            <v/>
          </cell>
          <cell r="T1540" t="str">
            <v>Hřivice</v>
          </cell>
        </row>
        <row r="1541">
          <cell r="Q1541" t="str">
            <v/>
          </cell>
          <cell r="T1541" t="str">
            <v>Hřivínův Újezd</v>
          </cell>
        </row>
        <row r="1542">
          <cell r="Q1542" t="str">
            <v/>
          </cell>
          <cell r="T1542" t="str">
            <v>Hubenov</v>
          </cell>
        </row>
        <row r="1543">
          <cell r="Q1543" t="str">
            <v/>
          </cell>
          <cell r="T1543" t="str">
            <v>Hudčice</v>
          </cell>
        </row>
        <row r="1544">
          <cell r="Q1544" t="str">
            <v/>
          </cell>
          <cell r="T1544" t="str">
            <v>Hudlice</v>
          </cell>
        </row>
        <row r="1545">
          <cell r="Q1545" t="str">
            <v/>
          </cell>
          <cell r="T1545" t="str">
            <v>Hukvaldy</v>
          </cell>
        </row>
        <row r="1546">
          <cell r="Q1546" t="str">
            <v/>
          </cell>
          <cell r="T1546" t="str">
            <v>Hulice</v>
          </cell>
        </row>
        <row r="1547">
          <cell r="Q1547" t="str">
            <v/>
          </cell>
          <cell r="T1547" t="str">
            <v>Hulín</v>
          </cell>
        </row>
        <row r="1548">
          <cell r="Q1548" t="str">
            <v/>
          </cell>
          <cell r="T1548" t="str">
            <v>Humburky</v>
          </cell>
        </row>
        <row r="1549">
          <cell r="Q1549" t="str">
            <v/>
          </cell>
          <cell r="T1549" t="str">
            <v>Humpolec</v>
          </cell>
        </row>
        <row r="1550">
          <cell r="Q1550" t="str">
            <v/>
          </cell>
          <cell r="T1550" t="str">
            <v>Huntířov</v>
          </cell>
        </row>
        <row r="1551">
          <cell r="Q1551" t="str">
            <v/>
          </cell>
          <cell r="T1551" t="str">
            <v>Hůrky</v>
          </cell>
        </row>
        <row r="1552">
          <cell r="Q1552" t="str">
            <v/>
          </cell>
          <cell r="T1552" t="str">
            <v>Hurtova Lhota</v>
          </cell>
        </row>
        <row r="1553">
          <cell r="Q1553" t="str">
            <v/>
          </cell>
          <cell r="T1553" t="str">
            <v>Hůry</v>
          </cell>
        </row>
        <row r="1554">
          <cell r="Q1554" t="str">
            <v/>
          </cell>
          <cell r="T1554" t="str">
            <v>Husí Lhota</v>
          </cell>
        </row>
        <row r="1555">
          <cell r="Q1555" t="str">
            <v/>
          </cell>
          <cell r="T1555" t="str">
            <v>Husinec</v>
          </cell>
        </row>
        <row r="1556">
          <cell r="Q1556" t="str">
            <v/>
          </cell>
          <cell r="T1556" t="str">
            <v>Husinec</v>
          </cell>
        </row>
        <row r="1557">
          <cell r="Q1557" t="str">
            <v/>
          </cell>
          <cell r="T1557" t="str">
            <v>Huslenky</v>
          </cell>
        </row>
        <row r="1558">
          <cell r="Q1558" t="str">
            <v/>
          </cell>
          <cell r="T1558" t="str">
            <v>Hustopeče</v>
          </cell>
        </row>
        <row r="1559">
          <cell r="Q1559" t="str">
            <v/>
          </cell>
          <cell r="T1559" t="str">
            <v>Hustopeče nad Bečvou</v>
          </cell>
        </row>
        <row r="1560">
          <cell r="Q1560" t="str">
            <v/>
          </cell>
          <cell r="T1560" t="str">
            <v>Huštěnovice</v>
          </cell>
        </row>
        <row r="1561">
          <cell r="Q1561" t="str">
            <v/>
          </cell>
          <cell r="T1561" t="str">
            <v>Hutisko-Solanec</v>
          </cell>
        </row>
        <row r="1562">
          <cell r="Q1562" t="str">
            <v/>
          </cell>
          <cell r="T1562" t="str">
            <v>Huzová</v>
          </cell>
        </row>
        <row r="1563">
          <cell r="Q1563" t="str">
            <v/>
          </cell>
          <cell r="T1563" t="str">
            <v>Hvězdlice</v>
          </cell>
        </row>
        <row r="1564">
          <cell r="Q1564" t="str">
            <v/>
          </cell>
          <cell r="T1564" t="str">
            <v>Hvězdonice</v>
          </cell>
        </row>
        <row r="1565">
          <cell r="Q1565" t="str">
            <v/>
          </cell>
          <cell r="T1565" t="str">
            <v>Hvězdoňovice</v>
          </cell>
        </row>
        <row r="1566">
          <cell r="Q1566" t="str">
            <v/>
          </cell>
          <cell r="T1566" t="str">
            <v>Hvozd</v>
          </cell>
        </row>
        <row r="1567">
          <cell r="Q1567" t="str">
            <v/>
          </cell>
          <cell r="T1567" t="str">
            <v>Hvozd</v>
          </cell>
        </row>
        <row r="1568">
          <cell r="Q1568" t="str">
            <v/>
          </cell>
          <cell r="T1568" t="str">
            <v>Hvozd</v>
          </cell>
        </row>
        <row r="1569">
          <cell r="Q1569" t="str">
            <v/>
          </cell>
          <cell r="T1569" t="str">
            <v>Hvozdec</v>
          </cell>
        </row>
        <row r="1570">
          <cell r="Q1570" t="str">
            <v/>
          </cell>
          <cell r="T1570" t="str">
            <v>Hvozdec</v>
          </cell>
        </row>
        <row r="1571">
          <cell r="Q1571" t="str">
            <v/>
          </cell>
          <cell r="T1571" t="str">
            <v>Hvozdec</v>
          </cell>
        </row>
        <row r="1572">
          <cell r="Q1572" t="str">
            <v/>
          </cell>
          <cell r="T1572" t="str">
            <v>Hvozdná</v>
          </cell>
        </row>
        <row r="1573">
          <cell r="Q1573" t="str">
            <v/>
          </cell>
          <cell r="T1573" t="str">
            <v>Hvozdnice</v>
          </cell>
        </row>
        <row r="1574">
          <cell r="Q1574" t="str">
            <v/>
          </cell>
          <cell r="T1574" t="str">
            <v>Hvozdnice</v>
          </cell>
        </row>
        <row r="1575">
          <cell r="Q1575" t="str">
            <v/>
          </cell>
          <cell r="T1575" t="str">
            <v>Hvožďany</v>
          </cell>
        </row>
        <row r="1576">
          <cell r="Q1576" t="str">
            <v/>
          </cell>
          <cell r="T1576" t="str">
            <v>Hvožďany</v>
          </cell>
        </row>
        <row r="1577">
          <cell r="Q1577" t="str">
            <v/>
          </cell>
          <cell r="T1577" t="str">
            <v>Hybrálec</v>
          </cell>
        </row>
        <row r="1578">
          <cell r="Q1578" t="str">
            <v/>
          </cell>
          <cell r="T1578" t="str">
            <v>Hynčice</v>
          </cell>
        </row>
        <row r="1579">
          <cell r="Q1579" t="str">
            <v/>
          </cell>
          <cell r="T1579" t="str">
            <v>Hynčina</v>
          </cell>
        </row>
        <row r="1580">
          <cell r="Q1580" t="str">
            <v/>
          </cell>
          <cell r="T1580" t="str">
            <v>Hýskov</v>
          </cell>
        </row>
        <row r="1581">
          <cell r="Q1581" t="str">
            <v/>
          </cell>
          <cell r="T1581" t="str">
            <v>Hýsly</v>
          </cell>
        </row>
        <row r="1582">
          <cell r="Q1582" t="str">
            <v/>
          </cell>
          <cell r="T1582" t="str">
            <v>Chabařovice</v>
          </cell>
        </row>
        <row r="1583">
          <cell r="Q1583" t="str">
            <v/>
          </cell>
          <cell r="T1583" t="str">
            <v>Chabeřice</v>
          </cell>
        </row>
        <row r="1584">
          <cell r="Q1584" t="str">
            <v/>
          </cell>
          <cell r="T1584" t="str">
            <v>Chaloupky</v>
          </cell>
        </row>
        <row r="1585">
          <cell r="Q1585" t="str">
            <v/>
          </cell>
          <cell r="T1585" t="str">
            <v>Chanovice</v>
          </cell>
        </row>
        <row r="1586">
          <cell r="Q1586" t="str">
            <v/>
          </cell>
          <cell r="T1586" t="str">
            <v>Charvatce</v>
          </cell>
        </row>
        <row r="1587">
          <cell r="Q1587" t="str">
            <v/>
          </cell>
          <cell r="T1587" t="str">
            <v>Charváty</v>
          </cell>
        </row>
        <row r="1588">
          <cell r="Q1588" t="str">
            <v/>
          </cell>
          <cell r="T1588" t="str">
            <v>Chářovice</v>
          </cell>
        </row>
        <row r="1589">
          <cell r="Q1589" t="str">
            <v/>
          </cell>
          <cell r="T1589" t="str">
            <v>Chbany</v>
          </cell>
        </row>
        <row r="1590">
          <cell r="Q1590" t="str">
            <v/>
          </cell>
          <cell r="T1590" t="str">
            <v>Cheb</v>
          </cell>
        </row>
        <row r="1591">
          <cell r="Q1591" t="str">
            <v/>
          </cell>
          <cell r="T1591" t="str">
            <v>Chelčice</v>
          </cell>
        </row>
        <row r="1592">
          <cell r="Q1592" t="str">
            <v/>
          </cell>
          <cell r="T1592" t="str">
            <v>Cheznovice</v>
          </cell>
        </row>
        <row r="1593">
          <cell r="Q1593" t="str">
            <v/>
          </cell>
          <cell r="T1593" t="str">
            <v>Chlebičov</v>
          </cell>
        </row>
        <row r="1594">
          <cell r="Q1594" t="str">
            <v/>
          </cell>
          <cell r="T1594" t="str">
            <v>Chleby</v>
          </cell>
        </row>
        <row r="1595">
          <cell r="Q1595" t="str">
            <v/>
          </cell>
          <cell r="T1595" t="str">
            <v>Chleby</v>
          </cell>
        </row>
        <row r="1596">
          <cell r="Q1596" t="str">
            <v/>
          </cell>
          <cell r="T1596" t="str">
            <v>Chleny</v>
          </cell>
        </row>
        <row r="1597">
          <cell r="Q1597" t="str">
            <v/>
          </cell>
          <cell r="T1597" t="str">
            <v>Chlistov</v>
          </cell>
        </row>
        <row r="1598">
          <cell r="Q1598" t="str">
            <v/>
          </cell>
          <cell r="T1598" t="str">
            <v>Chlístov</v>
          </cell>
        </row>
        <row r="1599">
          <cell r="Q1599" t="str">
            <v/>
          </cell>
          <cell r="T1599" t="str">
            <v>Chlístov</v>
          </cell>
        </row>
        <row r="1600">
          <cell r="Q1600" t="str">
            <v/>
          </cell>
          <cell r="T1600" t="str">
            <v>Chlístov</v>
          </cell>
        </row>
        <row r="1601">
          <cell r="Q1601" t="str">
            <v/>
          </cell>
          <cell r="T1601" t="str">
            <v>Chlístovice</v>
          </cell>
        </row>
        <row r="1602">
          <cell r="Q1602" t="str">
            <v/>
          </cell>
          <cell r="T1602" t="str">
            <v>Chlum</v>
          </cell>
        </row>
        <row r="1603">
          <cell r="Q1603" t="str">
            <v/>
          </cell>
          <cell r="T1603" t="str">
            <v>Chlum</v>
          </cell>
        </row>
        <row r="1604">
          <cell r="Q1604" t="str">
            <v/>
          </cell>
          <cell r="T1604" t="str">
            <v>Chlum</v>
          </cell>
        </row>
        <row r="1605">
          <cell r="Q1605" t="str">
            <v/>
          </cell>
          <cell r="T1605" t="str">
            <v>Chlum</v>
          </cell>
        </row>
        <row r="1606">
          <cell r="Q1606" t="str">
            <v/>
          </cell>
          <cell r="T1606" t="str">
            <v>Chlum</v>
          </cell>
        </row>
        <row r="1607">
          <cell r="Q1607" t="str">
            <v/>
          </cell>
          <cell r="T1607" t="str">
            <v>Chlum</v>
          </cell>
        </row>
        <row r="1608">
          <cell r="Q1608" t="str">
            <v/>
          </cell>
          <cell r="T1608" t="str">
            <v>Chlum Svaté Maří</v>
          </cell>
        </row>
        <row r="1609">
          <cell r="Q1609" t="str">
            <v/>
          </cell>
          <cell r="T1609" t="str">
            <v>Chlum u Třeboně</v>
          </cell>
        </row>
        <row r="1610">
          <cell r="Q1610" t="str">
            <v/>
          </cell>
          <cell r="T1610" t="str">
            <v>Chlumany</v>
          </cell>
        </row>
        <row r="1611">
          <cell r="Q1611" t="str">
            <v/>
          </cell>
          <cell r="T1611" t="str">
            <v>Chlumčany</v>
          </cell>
        </row>
        <row r="1612">
          <cell r="Q1612" t="str">
            <v/>
          </cell>
          <cell r="T1612" t="str">
            <v>Chlumčany</v>
          </cell>
        </row>
        <row r="1613">
          <cell r="Q1613" t="str">
            <v/>
          </cell>
          <cell r="T1613" t="str">
            <v>Chlumec</v>
          </cell>
        </row>
        <row r="1614">
          <cell r="Q1614" t="str">
            <v/>
          </cell>
          <cell r="T1614" t="str">
            <v>Chlumec</v>
          </cell>
        </row>
        <row r="1615">
          <cell r="Q1615" t="str">
            <v/>
          </cell>
          <cell r="T1615" t="str">
            <v>Chlumec nad Cidlinou</v>
          </cell>
        </row>
        <row r="1616">
          <cell r="Q1616" t="str">
            <v/>
          </cell>
          <cell r="T1616" t="str">
            <v>Chlumek</v>
          </cell>
        </row>
        <row r="1617">
          <cell r="Q1617" t="str">
            <v/>
          </cell>
          <cell r="T1617" t="str">
            <v>Chlumětín</v>
          </cell>
        </row>
        <row r="1618">
          <cell r="Q1618" t="str">
            <v/>
          </cell>
          <cell r="T1618" t="str">
            <v>Chlumín</v>
          </cell>
        </row>
        <row r="1619">
          <cell r="Q1619" t="str">
            <v/>
          </cell>
          <cell r="T1619" t="str">
            <v>Chlum-Korouhvice</v>
          </cell>
        </row>
        <row r="1620">
          <cell r="Q1620" t="str">
            <v/>
          </cell>
          <cell r="T1620" t="str">
            <v>Chlumy</v>
          </cell>
        </row>
        <row r="1621">
          <cell r="Q1621" t="str">
            <v/>
          </cell>
          <cell r="T1621" t="str">
            <v>Chlustina</v>
          </cell>
        </row>
        <row r="1622">
          <cell r="Q1622" t="str">
            <v/>
          </cell>
          <cell r="T1622" t="str">
            <v>Chmelík</v>
          </cell>
        </row>
        <row r="1623">
          <cell r="Q1623" t="str">
            <v/>
          </cell>
          <cell r="T1623" t="str">
            <v>Chmelná</v>
          </cell>
        </row>
        <row r="1624">
          <cell r="Q1624" t="str">
            <v/>
          </cell>
          <cell r="T1624" t="str">
            <v>Chobot</v>
          </cell>
        </row>
        <row r="1625">
          <cell r="Q1625" t="str">
            <v/>
          </cell>
          <cell r="T1625" t="str">
            <v>Choceň</v>
          </cell>
        </row>
        <row r="1626">
          <cell r="Q1626" t="str">
            <v/>
          </cell>
          <cell r="T1626" t="str">
            <v>Chocenice</v>
          </cell>
        </row>
        <row r="1627">
          <cell r="Q1627" t="str">
            <v/>
          </cell>
          <cell r="T1627" t="str">
            <v>Chocerady</v>
          </cell>
        </row>
        <row r="1628">
          <cell r="Q1628" t="str">
            <v/>
          </cell>
          <cell r="T1628" t="str">
            <v>Chocnějovice</v>
          </cell>
        </row>
        <row r="1629">
          <cell r="Q1629" t="str">
            <v/>
          </cell>
          <cell r="T1629" t="str">
            <v>Chocomyšl</v>
          </cell>
        </row>
        <row r="1630">
          <cell r="Q1630" t="str">
            <v/>
          </cell>
          <cell r="T1630" t="str">
            <v>Chodouň</v>
          </cell>
        </row>
        <row r="1631">
          <cell r="Q1631" t="str">
            <v/>
          </cell>
          <cell r="T1631" t="str">
            <v>Chodouny</v>
          </cell>
        </row>
        <row r="1632">
          <cell r="Q1632" t="str">
            <v/>
          </cell>
          <cell r="T1632" t="str">
            <v>Chodov</v>
          </cell>
        </row>
        <row r="1633">
          <cell r="Q1633" t="str">
            <v/>
          </cell>
          <cell r="T1633" t="str">
            <v>Chodov</v>
          </cell>
        </row>
        <row r="1634">
          <cell r="Q1634" t="str">
            <v/>
          </cell>
          <cell r="T1634" t="str">
            <v>Chodov</v>
          </cell>
        </row>
        <row r="1635">
          <cell r="Q1635" t="str">
            <v/>
          </cell>
          <cell r="T1635" t="str">
            <v>Chodová Planá</v>
          </cell>
        </row>
        <row r="1636">
          <cell r="Q1636" t="str">
            <v/>
          </cell>
          <cell r="T1636" t="str">
            <v>Chodovlice</v>
          </cell>
        </row>
        <row r="1637">
          <cell r="Q1637" t="str">
            <v/>
          </cell>
          <cell r="T1637" t="str">
            <v>Chodská Lhota</v>
          </cell>
        </row>
        <row r="1638">
          <cell r="Q1638" t="str">
            <v/>
          </cell>
          <cell r="T1638" t="str">
            <v>Chodský Újezd</v>
          </cell>
        </row>
        <row r="1639">
          <cell r="Q1639" t="str">
            <v/>
          </cell>
          <cell r="T1639" t="str">
            <v>Cholenice</v>
          </cell>
        </row>
        <row r="1640">
          <cell r="Q1640" t="str">
            <v/>
          </cell>
          <cell r="T1640" t="str">
            <v>Cholina</v>
          </cell>
        </row>
        <row r="1641">
          <cell r="Q1641" t="str">
            <v/>
          </cell>
          <cell r="T1641" t="str">
            <v>Choltice</v>
          </cell>
        </row>
        <row r="1642">
          <cell r="Q1642" t="str">
            <v/>
          </cell>
          <cell r="T1642" t="str">
            <v>Chomle</v>
          </cell>
        </row>
        <row r="1643">
          <cell r="Q1643" t="str">
            <v/>
          </cell>
          <cell r="T1643" t="str">
            <v>Chomutice</v>
          </cell>
        </row>
        <row r="1644">
          <cell r="Q1644" t="str">
            <v/>
          </cell>
          <cell r="T1644" t="str">
            <v>Chomutov</v>
          </cell>
        </row>
        <row r="1645">
          <cell r="Q1645" t="str">
            <v/>
          </cell>
          <cell r="T1645" t="str">
            <v>Chomýž</v>
          </cell>
        </row>
        <row r="1646">
          <cell r="Q1646" t="str">
            <v/>
          </cell>
          <cell r="T1646" t="str">
            <v>Choratice</v>
          </cell>
        </row>
        <row r="1647">
          <cell r="Q1647" t="str">
            <v/>
          </cell>
          <cell r="T1647" t="str">
            <v>Chornice</v>
          </cell>
        </row>
        <row r="1648">
          <cell r="Q1648" t="str">
            <v/>
          </cell>
          <cell r="T1648" t="str">
            <v>Chorušice</v>
          </cell>
        </row>
        <row r="1649">
          <cell r="Q1649" t="str">
            <v/>
          </cell>
          <cell r="T1649" t="str">
            <v>Choryně</v>
          </cell>
        </row>
        <row r="1650">
          <cell r="Q1650" t="str">
            <v/>
          </cell>
          <cell r="T1650" t="str">
            <v>Choťánky</v>
          </cell>
        </row>
        <row r="1651">
          <cell r="Q1651" t="str">
            <v/>
          </cell>
          <cell r="T1651" t="str">
            <v>Chotěboř</v>
          </cell>
        </row>
        <row r="1652">
          <cell r="Q1652" t="str">
            <v/>
          </cell>
          <cell r="T1652" t="str">
            <v>Chotěbudice</v>
          </cell>
        </row>
        <row r="1653">
          <cell r="Q1653" t="str">
            <v/>
          </cell>
          <cell r="T1653" t="str">
            <v>Chotěbuz</v>
          </cell>
        </row>
        <row r="1654">
          <cell r="Q1654" t="str">
            <v/>
          </cell>
          <cell r="T1654" t="str">
            <v>Choteč</v>
          </cell>
        </row>
        <row r="1655">
          <cell r="Q1655" t="str">
            <v/>
          </cell>
          <cell r="T1655" t="str">
            <v>Choteč</v>
          </cell>
        </row>
        <row r="1656">
          <cell r="Q1656" t="str">
            <v/>
          </cell>
          <cell r="T1656" t="str">
            <v>Choteč</v>
          </cell>
        </row>
        <row r="1657">
          <cell r="Q1657" t="str">
            <v/>
          </cell>
          <cell r="T1657" t="str">
            <v>Chotěmice</v>
          </cell>
        </row>
        <row r="1658">
          <cell r="Q1658" t="str">
            <v/>
          </cell>
          <cell r="T1658" t="str">
            <v>Chotěnov</v>
          </cell>
        </row>
        <row r="1659">
          <cell r="Q1659" t="str">
            <v/>
          </cell>
          <cell r="T1659" t="str">
            <v>Chotěšice</v>
          </cell>
        </row>
        <row r="1660">
          <cell r="Q1660" t="str">
            <v/>
          </cell>
          <cell r="T1660" t="str">
            <v>Chotěšov</v>
          </cell>
        </row>
        <row r="1661">
          <cell r="Q1661" t="str">
            <v/>
          </cell>
          <cell r="T1661" t="str">
            <v>Chotěšov</v>
          </cell>
        </row>
        <row r="1662">
          <cell r="Q1662" t="str">
            <v/>
          </cell>
          <cell r="T1662" t="str">
            <v>Chotětov</v>
          </cell>
        </row>
        <row r="1663">
          <cell r="Q1663" t="str">
            <v/>
          </cell>
          <cell r="T1663" t="str">
            <v>Chotěvice</v>
          </cell>
        </row>
        <row r="1664">
          <cell r="Q1664" t="str">
            <v/>
          </cell>
          <cell r="T1664" t="str">
            <v>Chotíkov</v>
          </cell>
        </row>
        <row r="1665">
          <cell r="Q1665" t="str">
            <v/>
          </cell>
          <cell r="T1665" t="str">
            <v>Chotilsko</v>
          </cell>
        </row>
        <row r="1666">
          <cell r="Q1666" t="str">
            <v/>
          </cell>
          <cell r="T1666" t="str">
            <v>Chotiměř</v>
          </cell>
        </row>
        <row r="1667">
          <cell r="Q1667" t="str">
            <v/>
          </cell>
          <cell r="T1667" t="str">
            <v>Chotiněves</v>
          </cell>
        </row>
        <row r="1668">
          <cell r="Q1668" t="str">
            <v/>
          </cell>
          <cell r="T1668" t="str">
            <v>Chotovice</v>
          </cell>
        </row>
        <row r="1669">
          <cell r="Q1669" t="str">
            <v/>
          </cell>
          <cell r="T1669" t="str">
            <v>Chotovice</v>
          </cell>
        </row>
        <row r="1670">
          <cell r="Q1670" t="str">
            <v/>
          </cell>
          <cell r="T1670" t="str">
            <v>Choťovice</v>
          </cell>
        </row>
        <row r="1671">
          <cell r="Q1671" t="str">
            <v/>
          </cell>
          <cell r="T1671" t="str">
            <v>Chotoviny</v>
          </cell>
        </row>
        <row r="1672">
          <cell r="Q1672" t="str">
            <v/>
          </cell>
          <cell r="T1672" t="str">
            <v>Chotusice</v>
          </cell>
        </row>
        <row r="1673">
          <cell r="Q1673" t="str">
            <v/>
          </cell>
          <cell r="T1673" t="str">
            <v>Chotutice</v>
          </cell>
        </row>
        <row r="1674">
          <cell r="Q1674" t="str">
            <v/>
          </cell>
          <cell r="T1674" t="str">
            <v>Chotýčany</v>
          </cell>
        </row>
        <row r="1675">
          <cell r="Q1675" t="str">
            <v/>
          </cell>
          <cell r="T1675" t="str">
            <v>Chotyně</v>
          </cell>
        </row>
        <row r="1676">
          <cell r="Q1676" t="str">
            <v/>
          </cell>
          <cell r="T1676" t="str">
            <v>Chotýšany</v>
          </cell>
        </row>
        <row r="1677">
          <cell r="Q1677" t="str">
            <v/>
          </cell>
          <cell r="T1677" t="str">
            <v>Choustník</v>
          </cell>
        </row>
        <row r="1678">
          <cell r="Q1678" t="str">
            <v/>
          </cell>
          <cell r="T1678" t="str">
            <v>Choustníkovo Hradiště</v>
          </cell>
        </row>
        <row r="1679">
          <cell r="Q1679" t="str">
            <v/>
          </cell>
          <cell r="T1679" t="str">
            <v>Chožov</v>
          </cell>
        </row>
        <row r="1680">
          <cell r="Q1680" t="str">
            <v/>
          </cell>
          <cell r="T1680" t="str">
            <v>Chraberce</v>
          </cell>
        </row>
        <row r="1681">
          <cell r="Q1681" t="str">
            <v/>
          </cell>
          <cell r="T1681" t="str">
            <v>Chrast</v>
          </cell>
        </row>
        <row r="1682">
          <cell r="Q1682" t="str">
            <v/>
          </cell>
          <cell r="T1682" t="str">
            <v>Chrást</v>
          </cell>
        </row>
        <row r="1683">
          <cell r="Q1683" t="str">
            <v/>
          </cell>
          <cell r="T1683" t="str">
            <v>Chrást</v>
          </cell>
        </row>
        <row r="1684">
          <cell r="Q1684" t="str">
            <v/>
          </cell>
          <cell r="T1684" t="str">
            <v>Chrást</v>
          </cell>
        </row>
        <row r="1685">
          <cell r="Q1685" t="str">
            <v/>
          </cell>
          <cell r="T1685" t="str">
            <v>Chrastava</v>
          </cell>
        </row>
        <row r="1686">
          <cell r="Q1686" t="str">
            <v/>
          </cell>
          <cell r="T1686" t="str">
            <v>Chrastavec</v>
          </cell>
        </row>
        <row r="1687">
          <cell r="Q1687" t="str">
            <v/>
          </cell>
          <cell r="T1687" t="str">
            <v>Chrastavice</v>
          </cell>
        </row>
        <row r="1688">
          <cell r="Q1688" t="str">
            <v/>
          </cell>
          <cell r="T1688" t="str">
            <v>Chrášťany</v>
          </cell>
        </row>
        <row r="1689">
          <cell r="Q1689" t="str">
            <v/>
          </cell>
          <cell r="T1689" t="str">
            <v>Chrášťany</v>
          </cell>
        </row>
        <row r="1690">
          <cell r="Q1690" t="str">
            <v/>
          </cell>
          <cell r="T1690" t="str">
            <v>Chrášťany</v>
          </cell>
        </row>
        <row r="1691">
          <cell r="Q1691" t="str">
            <v/>
          </cell>
          <cell r="T1691" t="str">
            <v>Chrášťany</v>
          </cell>
        </row>
        <row r="1692">
          <cell r="Q1692" t="str">
            <v/>
          </cell>
          <cell r="T1692" t="str">
            <v>Chrášťany</v>
          </cell>
        </row>
        <row r="1693">
          <cell r="Q1693" t="str">
            <v/>
          </cell>
          <cell r="T1693" t="str">
            <v>Chraštice</v>
          </cell>
        </row>
        <row r="1694">
          <cell r="Q1694" t="str">
            <v/>
          </cell>
          <cell r="T1694" t="str">
            <v>Chrášťovice</v>
          </cell>
        </row>
        <row r="1695">
          <cell r="Q1695" t="str">
            <v/>
          </cell>
          <cell r="T1695" t="str">
            <v>Chrbonín</v>
          </cell>
        </row>
        <row r="1696">
          <cell r="Q1696" t="str">
            <v/>
          </cell>
          <cell r="T1696" t="str">
            <v>Chroboly</v>
          </cell>
        </row>
        <row r="1697">
          <cell r="Q1697" t="str">
            <v/>
          </cell>
          <cell r="T1697" t="str">
            <v>Chromeč</v>
          </cell>
        </row>
        <row r="1698">
          <cell r="Q1698" t="str">
            <v/>
          </cell>
          <cell r="T1698" t="str">
            <v>Chropyně</v>
          </cell>
        </row>
        <row r="1699">
          <cell r="Q1699" t="str">
            <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1"/>
      <sheetData sheetId="2"/>
      <sheetData sheetId="3"/>
      <sheetData sheetId="4">
        <row r="42">
          <cell r="L42"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170" name="Tabulka170" displayName="Tabulka170" ref="R1:AA5" tableType="xml" totalsRowShown="0" headerRowDxfId="90">
  <autoFilter ref="R1:AA5"/>
  <tableColumns count="10">
    <tableColumn id="1" uniqueName="vyzdite_d_nar" name="vyzdite_d_nar" dataDxfId="89">
      <calculatedColumnFormula>IF('DAP3'!D17&lt;&gt;"",CONCATENATE(MID('DAP3'!D17,5,2),".",IF(VALUE(MID('DAP3'!D17,3,2))&lt;13,MID('DAP3'!D17,3,2),MID('DAP3'!D17,3,2)-50),".",IF(MID('DAP3'!D17,1,2)&lt;"50","20","19"),MID('DAP3'!D17,1,2)),"")</calculatedColumnFormula>
      <xmlColumnPr mapId="8" xpath="/Pisemnost/DPFDP7/VetaA/@vyzdite_d_nar" xmlDataType="string"/>
    </tableColumn>
    <tableColumn id="2" uniqueName="vyzdite_jmeno" name="vyzdite_jmeno" dataDxfId="88">
      <calculatedColumnFormula>IF('DAP3'!B17&lt;&gt;"XXX",MID('DAP3'!B17,(FIND(" ",'DAP3'!B17,1))+1,LEN('DAP3'!B17)),"")</calculatedColumnFormula>
      <xmlColumnPr mapId="8" xpath="/Pisemnost/DPFDP7/VetaA/@vyzdite_jmeno" xmlDataType="string"/>
    </tableColumn>
    <tableColumn id="3" uniqueName="vyzdite_pocmes" name="vyzdite_pocmes" dataDxfId="87">
      <calculatedColumnFormula>IF('DAP3'!F17&lt;&gt;"",'DAP3'!F17,"")</calculatedColumnFormula>
      <xmlColumnPr mapId="8" xpath="/Pisemnost/DPFDP7/VetaA/@vyzdite_pocmes" xmlDataType="decimal"/>
    </tableColumn>
    <tableColumn id="4" uniqueName="vyzdite_pocmes2" name="vyzdite_pocmes2" dataDxfId="86">
      <calculatedColumnFormula>IF('DAP3'!H17&lt;&gt;"",'DAP3'!H17,"")</calculatedColumnFormula>
      <xmlColumnPr mapId="8" xpath="/Pisemnost/DPFDP7/VetaA/@vyzdite_pocmes2" xmlDataType="decimal"/>
    </tableColumn>
    <tableColumn id="5" uniqueName="vyzdite_pocmes3" name="vyzdite_pocmes3" dataDxfId="85">
      <calculatedColumnFormula>IF('DAP3'!J17&lt;&gt;"",'DAP3'!J17,"")</calculatedColumnFormula>
      <xmlColumnPr mapId="8" xpath="/Pisemnost/DPFDP7/VetaA/@vyzdite_pocmes3" xmlDataType="decimal"/>
    </tableColumn>
    <tableColumn id="6" uniqueName="vyzdite_prijmeni" name="vyzdite_prijmeni" dataDxfId="84">
      <calculatedColumnFormula>IF('DAP3'!B17&lt;&gt;"XXX",LEFT('DAP3'!B17,(FIND(" ",'DAP3'!B17,1))-1),"")</calculatedColumnFormula>
      <xmlColumnPr mapId="8" xpath="/Pisemnost/DPFDP7/VetaA/@vyzdite_prijmeni" xmlDataType="string"/>
    </tableColumn>
    <tableColumn id="7" uniqueName="vyzdite_r_cislo" name="vyzdite_r_cislo" dataDxfId="83">
      <calculatedColumnFormula>IF('DAP3'!D17&lt;&gt;"",'DAP3'!D17,"")</calculatedColumnFormula>
      <xmlColumnPr mapId="8" xpath="/Pisemnost/DPFDP7/VetaA/@vyzdite_r_cislo" xmlDataType="string"/>
    </tableColumn>
    <tableColumn id="8" uniqueName="vyzdite_ztpp" name="vyzdite_ztpp" dataDxfId="82">
      <calculatedColumnFormula>IF('DAP3'!G17&lt;&gt;"",'DAP3'!G17,"")</calculatedColumnFormula>
      <xmlColumnPr mapId="8" xpath="/Pisemnost/DPFDP7/VetaA/@vyzdite_ztpp" xmlDataType="decimal"/>
    </tableColumn>
    <tableColumn id="9" uniqueName="vyzdite_ztpp2" name="vyzdite_ztpp2" dataDxfId="81">
      <calculatedColumnFormula>IF('DAP3'!I17&lt;&gt;"",'DAP3'!I17,"")</calculatedColumnFormula>
      <xmlColumnPr mapId="8" xpath="/Pisemnost/DPFDP7/VetaA/@vyzdite_ztpp2" xmlDataType="decimal"/>
    </tableColumn>
    <tableColumn id="10" uniqueName="vyzdite_ztpp3" name="vyzdite_ztpp3" dataDxfId="80">
      <calculatedColumnFormula>IF('DAP3'!K17&lt;&gt;"",'DAP3'!K17,"")</calculatedColumnFormula>
      <xmlColumnPr mapId="8" xpath="/Pisemnost/DPFDP7/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4">
  <autoFilter ref="R110:T111"/>
  <tableColumns count="3">
    <tableColumn id="1" uniqueName="kod_sekce" name="kod_sekce">
      <xmlColumnPr mapId="8" xpath="/Pisemnost/DPFDP7/VetaR/@kod_sekce" xmlDataType="string"/>
    </tableColumn>
    <tableColumn id="2" uniqueName="poradi" name="poradi">
      <xmlColumnPr mapId="8" xpath="/Pisemnost/DPFDP7/VetaR/@poradi" xmlDataType="decimal"/>
    </tableColumn>
    <tableColumn id="3" uniqueName="t_prilohy" name="t_prilohy">
      <xmlColumnPr mapId="8" xpath="/Pisemnost/DPFDP7/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B121" tableType="xml" totalsRowShown="0" headerRowDxfId="43">
  <autoFilter ref="R120:AB121"/>
  <tableColumns count="11">
    <tableColumn id="1" uniqueName="da_uznzap" name="da_uznzap">
      <calculatedColumnFormula>'3Př_a'!F17</calculatedColumnFormula>
      <xmlColumnPr mapId="8" xpath="/Pisemnost/DPFDP7/VetaL/@da_uznzap" xmlDataType="decimal"/>
    </tableColumn>
    <tableColumn id="2" uniqueName="da_zahr" name="da_zahr">
      <calculatedColumnFormula>'3Př_a'!F14</calculatedColumnFormula>
      <xmlColumnPr mapId="8" xpath="/Pisemnost/DPFDP7/VetaL/@da_zahr" xmlDataType="decimal"/>
    </tableColumn>
    <tableColumn id="3" uniqueName="kc_10prij" name="kc_10prij">
      <calculatedColumnFormula>'3Př_a'!F12</calculatedColumnFormula>
      <xmlColumnPr mapId="8" xpath="/Pisemnost/DPFDP7/VetaL/@kc_10prij" xmlDataType="decimal"/>
    </tableColumn>
    <tableColumn id="4" uniqueName="kc_10vyd" name="kc_10vyd">
      <calculatedColumnFormula>'3Př_a'!F13</calculatedColumnFormula>
      <xmlColumnPr mapId="8" xpath="/Pisemnost/DPFDP7/VetaL/@kc_10vyd" xmlDataType="decimal"/>
    </tableColumn>
    <tableColumn id="5" uniqueName="kc_k_zapzahr" name="kc_k_zapzahr">
      <calculatedColumnFormula>'3Př_a'!F16</calculatedColumnFormula>
      <xmlColumnPr mapId="8" xpath="/Pisemnost/DPFDP7/VetaL/@kc_k_zapzahr" xmlDataType="decimal"/>
    </tableColumn>
    <tableColumn id="6" uniqueName="kc_prijzap" name="kc_prijzap">
      <calculatedColumnFormula>'3Př_a'!F12</calculatedColumnFormula>
      <xmlColumnPr mapId="8" xpath="/Pisemnost/DPFDP7/VetaL/@kc_prijzap" xmlDataType="decimal"/>
    </tableColumn>
    <tableColumn id="7" uniqueName="kc_vydzap" name="kc_vydzap">
      <calculatedColumnFormula>'3Př_a'!F13</calculatedColumnFormula>
      <xmlColumnPr mapId="8" xpath="/Pisemnost/DPFDP7/VetaL/@kc_vydzap" xmlDataType="decimal"/>
    </tableColumn>
    <tableColumn id="8" uniqueName="kod_statu" name="kod_statu" dataDxfId="42">
      <calculatedColumnFormula>IF('3Př_a'!C8&lt;&gt;"",'3Př_a'!C8,"")</calculatedColumnFormula>
      <xmlColumnPr mapId="8" xpath="/Pisemnost/DPFDP7/VetaL/@kod_statu" xmlDataType="string"/>
    </tableColumn>
    <tableColumn id="9" uniqueName="proczahr" name="proczahr" dataDxfId="41">
      <calculatedColumnFormula>'3Př_a'!F15*100</calculatedColumnFormula>
      <xmlColumnPr mapId="8" xpath="/Pisemnost/DPFDP7/VetaL/@proczahr" xmlDataType="decimal"/>
    </tableColumn>
    <tableColumn id="10" uniqueName="roz_od12" name="roz_od12">
      <calculatedColumnFormula>'3Př_a'!F18</calculatedColumnFormula>
      <xmlColumnPr mapId="8" xpath="/Pisemnost/DPFDP7/VetaL/@roz_od12" xmlDataType="decimal"/>
    </tableColumn>
    <tableColumn id="11" uniqueName="kc_10dan" name="kc_10dan" dataDxfId="40">
      <calculatedColumnFormula>'3Př_a'!F14</calculatedColumnFormula>
      <xmlColumnPr mapId="8" xpath="/Pisemnost/DPFDP7/VetaL/@kc_10dan"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8" xpath="/Pisemnost/DPFDP7/VetaM/@prilztr_sl1" xmlDataType="string"/>
    </tableColumn>
    <tableColumn id="2" uniqueName="prilztr_sl2" name="prilztr_sl2" dataDxfId="37">
      <calculatedColumnFormula>IF('6Př'!C12&lt;&gt;"",'6Př'!C12,"")</calculatedColumnFormula>
      <xmlColumnPr mapId="8" xpath="/Pisemnost/DPFDP7/VetaM/@prilztr_sl2" xmlDataType="decimal"/>
    </tableColumn>
    <tableColumn id="3" uniqueName="prilztr_sl3" name="prilztr_sl3" dataDxfId="36">
      <calculatedColumnFormula>IF('6Př'!D12&lt;&gt;"",'6Př'!D12,"")</calculatedColumnFormula>
      <xmlColumnPr mapId="8" xpath="/Pisemnost/DPFDP7/VetaM/@prilztr_sl3" xmlDataType="decimal"/>
    </tableColumn>
    <tableColumn id="4" uniqueName="prilztr_sl4" name="prilztr_sl4" dataDxfId="35">
      <calculatedColumnFormula>IF('6Př'!E12&lt;&gt;"",'6Př'!E12,"")</calculatedColumnFormula>
      <xmlColumnPr mapId="8" xpath="/Pisemnost/DPFDP7/VetaM/@prilztr_sl4" xmlDataType="decimal"/>
    </tableColumn>
    <tableColumn id="5" uniqueName="prilztr_sl5" name="prilztr_sl5" dataDxfId="34">
      <calculatedColumnFormula>IF('6Př'!F12&lt;&gt;"",'6Př'!F12,"")</calculatedColumnFormula>
      <xmlColumnPr mapId="8" xpath="/Pisemnost/DPFDP7/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rij6p" name="kc_poj6p"/>
    <tableColumn id="2" uniqueName="kc_prij6p" name="kc_prij6p">
      <xmlColumnPr mapId="8" xpath="/Pisemnost/DPFDP7/Vetab/@kc_prij6p" xmlDataType="decimal"/>
    </tableColumn>
    <tableColumn id="3" uniqueName="kc_srazp" name="kc_srazp">
      <xmlColumnPr mapId="8" xpath="/Pisemnost/DPFDP7/Vetab/@kc_srazp" xmlDataType="decimal"/>
    </tableColumn>
    <tableColumn id="4" uniqueName="kc_vyplbonusp" name="kc_vyplbonusp">
      <xmlColumnPr mapId="8" xpath="/Pisemnost/DPFDP7/Vetab/@kc_vyplbonusp" xmlDataType="decimal"/>
    </tableColumn>
    <tableColumn id="5" uniqueName="kc_zalzavcp" name="kc_zalzavcp">
      <xmlColumnPr mapId="8" xpath="/Pisemnost/DPFDP7/Vetab/@kc_zalzavcp" xmlDataType="decimal"/>
    </tableColumn>
    <tableColumn id="6" uniqueName="kc_sraz368p" name="kc_sraz368p">
      <xmlColumnPr mapId="8" xpath="/Pisemnost/DPFDP7/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8" xpath="/Pisemnost/DPFDP7/Vetad/@dan_seznam" xmlDataType="decimal"/>
    </tableColumn>
    <tableColumn id="2" uniqueName="ident_udaje" name="ident_udaje" dataDxfId="30">
      <calculatedColumnFormula>IF(AND(Př_b!B10&lt;&gt;"",Př_b!B10&lt;&gt;0),Př_b!B10,"")</calculatedColumnFormula>
      <xmlColumnPr mapId="8" xpath="/Pisemnost/DPFDP7/Vetad/@ident_udaje" xmlDataType="string"/>
    </tableColumn>
    <tableColumn id="3" uniqueName="k_stat_zdroj" name="k_stat_zdroj" dataDxfId="29">
      <calculatedColumnFormula>IF(AND(Př_b!C10&lt;&gt;"",Př_b!C10&lt;&gt;0),VLOOKUP(Př_b!C10,FU!$J$3:$K$253,2,FALSE),"")</calculatedColumnFormula>
      <xmlColumnPr mapId="8" xpath="/Pisemnost/DPFDP7/Vetad/@k_stat_zdroj" xmlDataType="string"/>
    </tableColumn>
    <tableColumn id="4" uniqueName="prijmy_seznam" name="prijmy_seznam" dataDxfId="28">
      <calculatedColumnFormula>IF(Př_b!F10&lt;&gt;"",Př_b!F10,"")</calculatedColumnFormula>
      <xmlColumnPr mapId="8" xpath="/Pisemnost/DPFDP7/Vetad/@prijmy_seznam" xmlDataType="decimal"/>
    </tableColumn>
    <tableColumn id="5" uniqueName="zapl_dan" name="zapl_dan" dataDxfId="27">
      <calculatedColumnFormula>IF(Př_b!D10&lt;&gt;"",Př_b!D10,"")</calculatedColumnFormula>
      <xmlColumnPr mapId="8" xpath="/Pisemnost/DPFDP7/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9">
  <autoFilter ref="R20:U23"/>
  <tableColumns count="4">
    <tableColumn id="1" uniqueName="c_nace_dal" name="c_nace_dal" dataDxfId="78">
      <calculatedColumnFormula>IF(ISNUMBER(W21),IF(VALUE(W21)&gt;99999,VALUE(W21),IF(VALUE(W21)&gt;9999,VALUE(W21)*10,IF(VALUE(W21)&gt;999,VALUE(W21)*100,IF(VALUE(W21)&gt;99,VALUE(W21)*1000,IF(VALUE(W21)&gt;9,VALUE(W21)*10000,VALUE(W21)*100000))))),"")</calculatedColumnFormula>
      <xmlColumnPr mapId="8" xpath="/Pisemnost/DPFDP7/Vetac/@c_nace_dal" xmlDataType="decimal"/>
    </tableColumn>
    <tableColumn id="2" uniqueName="prijmy7" name="prijmy7" dataDxfId="77">
      <calculatedColumnFormula>IF('1Př1'!F32&lt;&gt;0,'1Př1'!F32,"")</calculatedColumnFormula>
      <xmlColumnPr mapId="8" xpath="/Pisemnost/DPFDP7/Vetac/@prijmy7" xmlDataType="decimal"/>
    </tableColumn>
    <tableColumn id="3" uniqueName="sazba_dal" name="sazba_dal" dataDxfId="76">
      <calculatedColumnFormula>IF(AND('1Př1'!D32&lt;&gt;0,'1Př1'!D32&lt;&gt;""),100*'1Př1'!D32,"")</calculatedColumnFormula>
      <xmlColumnPr mapId="8" xpath="/Pisemnost/DPFDP7/Vetac/@sazba_dal" xmlDataType="decimal"/>
    </tableColumn>
    <tableColumn id="4" uniqueName="vydaje7" name="vydaje7" dataDxfId="75">
      <calculatedColumnFormula>IF(ISNUMBER(W21),'1Př1'!H32,"")</calculatedColumnFormula>
      <xmlColumnPr mapId="8" xpath="/Pisemnost/DPFDP7/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8" xpath="/Pisemnost/DPFDP7/Vetae/@c_porlist" xmlDataType="decimal"/>
    </tableColumn>
    <tableColumn id="2" uniqueName="c_prac_ku" name="c_prac_ku" dataDxfId="3">
      <calculatedColumnFormula>IF('2Př'!C30&lt;&gt;"",MID('2Př'!C30,FIND("-",'2Př'!C30,3)+1,LEN('2Př'!C30)-FIND("-",'2Př'!C30,3)),"")</calculatedColumnFormula>
      <xmlColumnPr mapId="8" xpath="/Pisemnost/DPFDP7/Vetae/@c_prac_ku" xmlDataType="decimal"/>
    </tableColumn>
    <tableColumn id="3" uniqueName="rok_list" name="rok_list" dataDxfId="2">
      <calculatedColumnFormula>IF('2Př'!C30&lt;&gt;"",MID('2Př'!C30,FIND("/",'2Př'!C30,1)+1,4),"")</calculatedColumnFormula>
      <xmlColumnPr mapId="8" xpath="/Pisemnost/DPFDP7/Vetae/@rok_list" xmlDataType="decimal"/>
    </tableColumn>
    <tableColumn id="4" uniqueName="typ_list" name="typ_list" dataDxfId="1">
      <calculatedColumnFormula>IF('2Př'!C30&lt;&gt;"",LEFT('2Př'!C30,1),"")</calculatedColumnFormula>
      <xmlColumnPr mapId="8" xpath="/Pisemnost/DPFDP7/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4">
  <autoFilter ref="R40:S44"/>
  <tableColumns count="2">
    <tableColumn id="1" uniqueName="kc_uprzvys_235" name="kc_uprzvys_235" dataDxfId="73">
      <calculatedColumnFormula>IF('1Př2'!F20&lt;&gt;"",'1Př2'!F20,"")</calculatedColumnFormula>
      <xmlColumnPr mapId="8" xpath="/Pisemnost/DPFDP7/VetaC/@kc_uprzvys_235" xmlDataType="decimal"/>
    </tableColumn>
    <tableColumn id="2" uniqueName="uprzvys_235" name="uprzvys_235" dataDxfId="72">
      <calculatedColumnFormula>IF('1Př2'!B20&lt;&gt;"",'1Př2'!B20,"")</calculatedColumnFormula>
      <xmlColumnPr mapId="8" xpath="/Pisemnost/DPFDP7/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1">
  <autoFilter ref="R50:S54"/>
  <tableColumns count="2">
    <tableColumn id="1" uniqueName="kc_uprsniz_235" name="kc_uprsniz_235" dataDxfId="70">
      <calculatedColumnFormula>IF('1Př2'!F26&lt;&gt;"",'1Př2'!F26,"")</calculatedColumnFormula>
      <xmlColumnPr mapId="8" xpath="/Pisemnost/DPFDP7/VetaE/@kc_uprsniz_235" xmlDataType="decimal"/>
    </tableColumn>
    <tableColumn id="2" uniqueName="uprsniz_235" name="uprsniz_235" dataDxfId="69">
      <calculatedColumnFormula>IF('1Př2'!B26&lt;&gt;"",'1Př2'!B26,"")</calculatedColumnFormula>
      <xmlColumnPr mapId="8" xpath="/Pisemnost/DPFDP7/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8">
  <autoFilter ref="R60:V63"/>
  <tableColumns count="5">
    <tableColumn id="1" uniqueName="ucsdruz_dic" name="ucsdruz_dic" dataDxfId="67">
      <calculatedColumnFormula>IF('1Př2'!E33&lt;&gt;"",MID('1Př2'!E33,3,LEN('1Př2'!E33)-2),"")</calculatedColumnFormula>
      <xmlColumnPr mapId="8" xpath="/Pisemnost/DPFDP7/VetaF/@ucsdruz_dic" xmlDataType="string"/>
    </tableColumn>
    <tableColumn id="2" uniqueName="ucsdruz_jmeno" name="ucsdruz_jmeno" dataDxfId="66">
      <calculatedColumnFormula>IF('1Př2'!B33&lt;&gt;"",'1Př2'!B33,"")</calculatedColumnFormula>
      <xmlColumnPr mapId="8" xpath="/Pisemnost/DPFDP7/VetaF/@ucsdruz_jmeno" xmlDataType="string"/>
    </tableColumn>
    <tableColumn id="3" uniqueName="ucsdruz_prijmeni" name="ucsdruz_podprij" dataDxfId="65">
      <calculatedColumnFormula>IF('1Př2'!F33&lt;&gt;"",'1Př2'!F33*100,"")</calculatedColumnFormula>
      <xmlColumnPr mapId="8" xpath="/Pisemnost/DPFDP7/VetaF/@ucsdruz_prijmeni" xmlDataType="string"/>
    </tableColumn>
    <tableColumn id="4" uniqueName="ucsdruz_podvyd" name="ucsdruz_podvyd" dataDxfId="64">
      <calculatedColumnFormula>IF('1Př2'!G33&lt;&gt;"",'1Př2'!G33*100,"")</calculatedColumnFormula>
      <xmlColumnPr mapId="8" xpath="/Pisemnost/DPFDP7/VetaF/@ucsdruz_podvyd" xmlDataType="decimal"/>
    </tableColumn>
    <tableColumn id="5" uniqueName="ucsdruz_podprij" name="ucsdruz_prijmeni" dataDxfId="63">
      <calculatedColumnFormula>IF('1Př2'!C33&lt;&gt;"",'1Př2'!C33,"")</calculatedColumnFormula>
      <xmlColumnPr mapId="8" xpath="/Pisemnost/DPFDP7/VetaF/@ucsdruz_podprij" xmlDataType="decimal"/>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2">
  <autoFilter ref="R70:U72"/>
  <tableColumns count="4">
    <tableColumn id="1" uniqueName="spolos_dic" name="spolos_dic" dataDxfId="61">
      <calculatedColumnFormula>IF('1Př2'!F39&lt;&gt;"",IF(OR(ISNUMBER('1Př2'!F39),ISNUMBER(FIND("/",('1Př2'!F39)))),'1Př2'!F39,MID('1Př2'!F39,3,(LEN('1Př2'!F39)-2))),"")</calculatedColumnFormula>
      <xmlColumnPr mapId="8" xpath="/Pisemnost/DPFDP7/VetaG/@spolos_dic" xmlDataType="string"/>
    </tableColumn>
    <tableColumn id="2" uniqueName="spolos_jmeno" name="spolos_jmeno" dataDxfId="60">
      <calculatedColumnFormula>IF('1Př2'!B39&lt;&gt;"",'1Př2'!B39,"")</calculatedColumnFormula>
      <xmlColumnPr mapId="8" xpath="/Pisemnost/DPFDP7/VetaG/@spolos_jmeno" xmlDataType="string"/>
    </tableColumn>
    <tableColumn id="3" uniqueName="spolos_podil" name="spolos_podil" dataDxfId="59">
      <calculatedColumnFormula>IF('1Př2'!G39&lt;&gt;"",('1Př2'!G39)*100,"")</calculatedColumnFormula>
      <xmlColumnPr mapId="8" xpath="/Pisemnost/DPFDP7/VetaG/@spolos_podil" xmlDataType="decimal"/>
    </tableColumn>
    <tableColumn id="4" uniqueName="spolos_prijmeni" name="spolos_prijmeni" dataDxfId="58">
      <calculatedColumnFormula>IF('1Př2'!D39&lt;&gt;"",'1Př2'!D39,"")</calculatedColumnFormula>
      <xmlColumnPr mapId="8" xpath="/Pisemnost/DPFDP7/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7">
  <autoFilter ref="R80:U81"/>
  <tableColumns count="4">
    <tableColumn id="1" uniqueName="rozdos_dic" name="rozdos_dic" dataDxfId="56">
      <calculatedColumnFormula>IF('1Př2'!F44&lt;&gt;"",MID('1Př2'!F44,3,LEN('1Př2'!F44)-2),"")</calculatedColumnFormula>
      <xmlColumnPr mapId="8" xpath="/Pisemnost/DPFDP7/VetaH/@rozdos_dic" xmlDataType="string"/>
    </tableColumn>
    <tableColumn id="2" uniqueName="rozdos_jmeno" name="rozdos_jmeno" dataDxfId="55">
      <calculatedColumnFormula>IF('1Př2'!B44&lt;&gt;"",'1Př2'!B44,"")</calculatedColumnFormula>
      <xmlColumnPr mapId="8" xpath="/Pisemnost/DPFDP7/VetaH/@rozdos_jmeno" xmlDataType="string"/>
    </tableColumn>
    <tableColumn id="3" uniqueName="rozdos_podil" name="rozdos_podil">
      <calculatedColumnFormula>IF('1Př2'!G44&lt;&gt;"",'1Př2'!G44*100,"")</calculatedColumnFormula>
      <xmlColumnPr mapId="8" xpath="/Pisemnost/DPFDP7/VetaH/@rozdos_podil" xmlDataType="decimal"/>
    </tableColumn>
    <tableColumn id="4" uniqueName="rozdos_prijmeni" name="rozdos_prijmeni" dataDxfId="54">
      <calculatedColumnFormula>IF('1Př2'!D44&lt;&gt;"",'1Př2'!D44,"")</calculatedColumnFormula>
      <xmlColumnPr mapId="8" xpath="/Pisemnost/DPFDP7/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3">
  <autoFilter ref="R90:S91"/>
  <tableColumns count="2">
    <tableColumn id="1" uniqueName="vos_ks_dic" name="vos_ks_dic" dataDxfId="52">
      <calculatedColumnFormula>IF('1Př2'!F47&lt;&gt;"",MID('1Př2'!F47,3,LEN('1Př2'!F47)-2),"")</calculatedColumnFormula>
      <xmlColumnPr mapId="8" xpath="/Pisemnost/DPFDP7/VetaI/@vos_ks_dic" xmlDataType="string"/>
    </tableColumn>
    <tableColumn id="2" uniqueName="vos_ks_podil" name="vos_ks_podil">
      <calculatedColumnFormula>IF('1Př2'!G47&lt;&gt;"",'1Př2'!G47*100,"")</calculatedColumnFormula>
      <xmlColumnPr mapId="8" xpath="/Pisemnost/DPFDP7/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1">
  <autoFilter ref="R100:W104"/>
  <tableColumns count="6">
    <tableColumn id="1" uniqueName="druh_prij10" name="druh_prij10" dataDxfId="50">
      <calculatedColumnFormula>IF('2Př'!B24&lt;&gt;"",'2Př'!B24,"")</calculatedColumnFormula>
      <xmlColumnPr mapId="8" xpath="/Pisemnost/DPFDP7/VetaJ/@druh_prij10" xmlDataType="string"/>
    </tableColumn>
    <tableColumn id="2" uniqueName="kod10" name="kod10" dataDxfId="49">
      <calculatedColumnFormula>IF('2Př'!J24&lt;&gt;"",'2Př'!J24,"")</calculatedColumnFormula>
      <xmlColumnPr mapId="8" xpath="/Pisemnost/DPFDP7/VetaJ/@kod10" xmlDataType="string"/>
    </tableColumn>
    <tableColumn id="3" uniqueName="kod_dr_prij10" name="kod_dr_prij10" dataDxfId="48">
      <calculatedColumnFormula>IF('2Př'!B24&lt;&gt;"",MID('2Př'!B24,1,1),"")</calculatedColumnFormula>
      <xmlColumnPr mapId="8" xpath="/Pisemnost/DPFDP7/VetaJ/@kod_dr_prij10" xmlDataType="string"/>
    </tableColumn>
    <tableColumn id="4" uniqueName="prijmy10" name="prijmy10" dataDxfId="47">
      <calculatedColumnFormula>IF(AND('2Př'!D24&lt;&gt;"",'2Př'!D24&lt;&gt;0),'2Př'!D24,"")</calculatedColumnFormula>
      <xmlColumnPr mapId="8" xpath="/Pisemnost/DPFDP7/VetaJ/@prijmy10" xmlDataType="decimal"/>
    </tableColumn>
    <tableColumn id="5" uniqueName="rozdil10" name="rozdil10" dataDxfId="46">
      <calculatedColumnFormula>IF('2Př'!H24&lt;&gt;"",'2Př'!H24,"")</calculatedColumnFormula>
      <xmlColumnPr mapId="8" xpath="/Pisemnost/DPFDP7/VetaJ/@rozdil10" xmlDataType="decimal"/>
    </tableColumn>
    <tableColumn id="6" uniqueName="vydaje10" name="vydaje10" dataDxfId="45">
      <calculatedColumnFormula>IF(AND('2Př'!F24&lt;&gt;"",'2Př'!F24&lt;&gt;0),'2Př'!F24,"")</calculatedColumnFormula>
      <xmlColumnPr mapId="8" xpath="/Pisemnost/DPFDP7/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1">
      <xmlPr mapId="8" xpath="/Pisemnost/DPFDP7/VetaD/@audit" xmlDataType="string"/>
    </xmlCellPr>
  </singleXmlCell>
  <singleXmlCell id="42" r="J2" connectionId="0">
    <xmlCellPr id="1" uniqueName="1">
      <xmlPr mapId="8" xpath="/Pisemnost/DPFDP7/VetaO/@celk_sl4" xmlDataType="decimal"/>
    </xmlCellPr>
  </singleXmlCell>
  <singleXmlCell id="133" r="N2" connectionId="0">
    <xmlCellPr id="1" uniqueName="1">
      <xmlPr mapId="8" xpath="/Pisemnost/DPFDP7/VetaS/@da_dan16" xmlDataType="decimal"/>
    </xmlCellPr>
  </singleXmlCell>
  <singleXmlCell id="147" r="B3" connectionId="0">
    <xmlCellPr id="1" uniqueName="1">
      <xmlPr mapId="8" xpath="/Pisemnost/DPFDP7/VetaD/@c_ufo_cil" xmlDataType="decimal"/>
    </xmlCellPr>
  </singleXmlCell>
  <singleXmlCell id="191" r="F3" connectionId="0">
    <xmlCellPr id="1" uniqueName="1">
      <xmlPr mapId="8" xpath="/Pisemnost/DPFDP7/VetaP/@c_obce" xmlDataType="decimal"/>
    </xmlCellPr>
  </singleXmlCell>
  <singleXmlCell id="193" r="J3" connectionId="0">
    <xmlCellPr id="1" uniqueName="1">
      <xmlPr mapId="8" xpath="/Pisemnost/DPFDP7/VetaO/@celk_sl5" xmlDataType="decimal"/>
    </xmlCellPr>
  </singleXmlCell>
  <singleXmlCell id="286" r="B4" connectionId="0">
    <xmlCellPr id="1" uniqueName="1">
      <xmlPr mapId="8" xpath="/Pisemnost/DPFDP7/VetaD/@d_duvpod" xmlDataType="string"/>
    </xmlCellPr>
  </singleXmlCell>
  <singleXmlCell id="287" r="F4" connectionId="0">
    <xmlCellPr id="1" uniqueName="1">
      <xmlPr mapId="8" xpath="/Pisemnost/DPFDP7/VetaP/@c_orient" xmlDataType="string"/>
    </xmlCellPr>
  </singleXmlCell>
  <singleXmlCell id="288" r="J4" connectionId="0">
    <xmlCellPr id="1" uniqueName="1">
      <xmlPr mapId="8" xpath="/Pisemnost/DPFDP7/VetaO/@kc_dan_zah" xmlDataType="decimal"/>
    </xmlCellPr>
  </singleXmlCell>
  <singleXmlCell id="289" r="N4" connectionId="0">
    <xmlCellPr id="1" uniqueName="1">
      <xmlPr mapId="8" xpath="/Pisemnost/DPFDP7/VetaS/@kc_odcelk" xmlDataType="decimal"/>
    </xmlCellPr>
  </singleXmlCell>
  <singleXmlCell id="290" r="B5" connectionId="0">
    <xmlCellPr id="1" uniqueName="1">
      <xmlPr mapId="8" xpath="/Pisemnost/DPFDP7/VetaD/@d_uv" xmlDataType="string"/>
    </xmlCellPr>
  </singleXmlCell>
  <singleXmlCell id="291" r="F5" connectionId="0">
    <xmlCellPr id="1" uniqueName="1">
      <xmlPr mapId="8" xpath="/Pisemnost/DPFDP7/VetaP/@c_pasu" xmlDataType="string"/>
    </xmlCellPr>
  </singleXmlCell>
  <singleXmlCell id="292" r="N5" connectionId="0">
    <xmlCellPr id="1" uniqueName="1">
      <xmlPr mapId="8" xpath="/Pisemnost/DPFDP7/VetaS/@kc_op15_12" xmlDataType="decimal"/>
    </xmlCellPr>
  </singleXmlCell>
  <singleXmlCell id="293" r="B6" connectionId="0">
    <xmlCellPr id="1" uniqueName="1">
      <xmlPr mapId="8" xpath="/Pisemnost/DPFDP7/VetaD/@d_zjist" xmlDataType="string"/>
    </xmlCellPr>
  </singleXmlCell>
  <singleXmlCell id="294" r="F6" connectionId="0">
    <xmlCellPr id="1" uniqueName="1">
      <xmlPr mapId="8" xpath="/Pisemnost/DPFDP7/VetaP/@c_pop" xmlDataType="decimal"/>
    </xmlCellPr>
  </singleXmlCell>
  <singleXmlCell id="295" r="N6" connectionId="0">
    <xmlCellPr id="1" uniqueName="1">
      <xmlPr mapId="8" xpath="/Pisemnost/DPFDP7/VetaS/@kc_op15_13" xmlDataType="decimal"/>
    </xmlCellPr>
  </singleXmlCell>
  <singleXmlCell id="296" r="B7" connectionId="0">
    <xmlCellPr id="1" uniqueName="1">
      <xmlPr mapId="8" xpath="/Pisemnost/DPFDP7/VetaD/@da_celod13" xmlDataType="decimal"/>
    </xmlCellPr>
  </singleXmlCell>
  <singleXmlCell id="297" r="F7" connectionId="0">
    <xmlCellPr id="1" uniqueName="1">
      <xmlPr mapId="8" xpath="/Pisemnost/DPFDP7/VetaP/@c_pracufo" xmlDataType="decimal"/>
    </xmlCellPr>
  </singleXmlCell>
  <singleXmlCell id="298" r="J7" connectionId="0">
    <xmlCellPr id="1" uniqueName="1">
      <xmlPr mapId="8" xpath="/Pisemnost/DPFDP7/VetaO/@kc_prij6" xmlDataType="decimal"/>
    </xmlCellPr>
  </singleXmlCell>
  <singleXmlCell id="301" r="B8" connectionId="0">
    <xmlCellPr id="1" uniqueName="1">
      <xmlPr mapId="8" xpath="/Pisemnost/DPFDP7/VetaD/@da_slevy" xmlDataType="decimal"/>
    </xmlCellPr>
  </singleXmlCell>
  <singleXmlCell id="302" r="F8" connectionId="0">
    <xmlCellPr id="1" uniqueName="1">
      <xmlPr mapId="8" xpath="/Pisemnost/DPFDP7/VetaP/@c_telef" xmlDataType="string"/>
    </xmlCellPr>
  </singleXmlCell>
  <singleXmlCell id="303" r="N8" connectionId="0">
    <xmlCellPr id="1" uniqueName="1">
      <xmlPr mapId="8" xpath="/Pisemnost/DPFDP7/VetaS/@kc_op15_8" xmlDataType="decimal"/>
    </xmlCellPr>
  </singleXmlCell>
  <singleXmlCell id="304" r="B9" connectionId="0">
    <xmlCellPr id="1" uniqueName="1">
      <xmlPr mapId="8" xpath="/Pisemnost/DPFDP7/VetaD/@da_slevy35ba" xmlDataType="decimal"/>
    </xmlCellPr>
  </singleXmlCell>
  <singleXmlCell id="305" r="F9" connectionId="0">
    <xmlCellPr id="1" uniqueName="1">
      <xmlPr mapId="8" xpath="/Pisemnost/DPFDP7/VetaP/@dic" xmlDataType="string"/>
    </xmlCellPr>
  </singleXmlCell>
  <singleXmlCell id="306" r="J9" connectionId="0">
    <xmlCellPr id="1" uniqueName="1">
      <xmlPr mapId="8" xpath="/Pisemnost/DPFDP7/VetaO/@kc_prij6zahr" xmlDataType="decimal"/>
    </xmlCellPr>
  </singleXmlCell>
  <singleXmlCell id="319" r="N9" connectionId="0">
    <xmlCellPr id="1" uniqueName="1">
      <xmlPr mapId="8" xpath="/Pisemnost/DPFDP7/VetaS/@kc_op28_5" xmlDataType="decimal"/>
    </xmlCellPr>
  </singleXmlCell>
  <singleXmlCell id="320" r="B10" connectionId="0">
    <xmlCellPr id="1" uniqueName="1">
      <xmlPr mapId="8" xpath="/Pisemnost/DPFDP7/VetaD/@da_slevy35c" xmlDataType="decimal"/>
    </xmlCellPr>
  </singleXmlCell>
  <singleXmlCell id="321" r="F10" connectionId="0">
    <xmlCellPr id="1" uniqueName="1">
      <xmlPr mapId="8" xpath="/Pisemnost/DPFDP7/VetaP/@email" xmlDataType="string"/>
    </xmlCellPr>
  </singleXmlCell>
  <singleXmlCell id="322" r="J10" connectionId="0">
    <xmlCellPr id="1" uniqueName="1">
      <xmlPr mapId="8" xpath="/Pisemnost/DPFDP7/VetaO/@kc_uhrn" xmlDataType="decimal"/>
    </xmlCellPr>
  </singleXmlCell>
  <singleXmlCell id="323" r="N10" connectionId="0">
    <xmlCellPr id="1" uniqueName="1">
      <xmlPr mapId="8" xpath="/Pisemnost/DPFDP7/VetaS/@kc_op34_4" xmlDataType="decimal"/>
    </xmlCellPr>
  </singleXmlCell>
  <singleXmlCell id="324" r="B11" connectionId="0">
    <xmlCellPr id="1" uniqueName="1">
      <xmlPr mapId="8" xpath="/Pisemnost/DPFDP7/VetaD/@da_slezap" xmlDataType="decimal"/>
    </xmlCellPr>
  </singleXmlCell>
  <singleXmlCell id="325" r="F11" connectionId="0">
    <xmlCellPr id="1" uniqueName="1">
      <xmlPr mapId="8" xpath="/Pisemnost/DPFDP7/VetaP/@jmeno" xmlDataType="string"/>
    </xmlCellPr>
  </singleXmlCell>
  <singleXmlCell id="326" r="B12" connectionId="0">
    <xmlCellPr id="1" uniqueName="1">
      <xmlPr mapId="8" xpath="/Pisemnost/DPFDP7/VetaD/@dap_typ" xmlDataType="string"/>
    </xmlCellPr>
  </singleXmlCell>
  <singleXmlCell id="327" r="F12" connectionId="0">
    <xmlCellPr id="1" uniqueName="1">
      <xmlPr mapId="8" xpath="/Pisemnost/DPFDP7/VetaP/@k_stat" xmlDataType="string"/>
    </xmlCellPr>
  </singleXmlCell>
  <singleXmlCell id="328" r="N12" connectionId="0">
    <xmlCellPr id="1" uniqueName="1">
      <xmlPr mapId="8" xpath="/Pisemnost/DPFDP7/VetaS/@kc_podvzdel" xmlDataType="decimal"/>
    </xmlCellPr>
  </singleXmlCell>
  <singleXmlCell id="329" r="B13" connectionId="0">
    <xmlCellPr id="1" uniqueName="1">
      <xmlPr mapId="8" xpath="/Pisemnost/DPFDP7/VetaD/@dokument" xmlDataType="anyType"/>
    </xmlCellPr>
  </singleXmlCell>
  <singleXmlCell id="330" r="F13" connectionId="0">
    <xmlCellPr id="1" uniqueName="1">
      <xmlPr mapId="8" xpath="/Pisemnost/DPFDP7/VetaP/@krok_c_obce" xmlDataType="decimal"/>
    </xmlCellPr>
  </singleXmlCell>
  <singleXmlCell id="331" r="J13" connectionId="0">
    <xmlCellPr id="1" uniqueName="1">
      <xmlPr mapId="8" xpath="/Pisemnost/DPFDP7/VetaO/@kc_zakldan" xmlDataType="decimal"/>
    </xmlCellPr>
  </singleXmlCell>
  <singleXmlCell id="332" r="N13" connectionId="0">
    <xmlCellPr id="1" uniqueName="1">
      <xmlPr mapId="8" xpath="/Pisemnost/DPFDP7/VetaS/@kc_zdsniz" xmlDataType="decimal"/>
    </xmlCellPr>
  </singleXmlCell>
  <singleXmlCell id="333" r="B14" connectionId="0">
    <xmlCellPr id="1" uniqueName="1">
      <xmlPr mapId="8" xpath="/Pisemnost/DPFDP7/VetaD/@duvpoddapdpf" xmlDataType="string"/>
    </xmlCellPr>
  </singleXmlCell>
  <singleXmlCell id="334" r="F14" connectionId="0">
    <xmlCellPr id="1" uniqueName="1">
      <xmlPr mapId="8" xpath="/Pisemnost/DPFDP7/VetaP/@krok_c_orient" xmlDataType="string"/>
    </xmlCellPr>
  </singleXmlCell>
  <singleXmlCell id="335" r="J14" connectionId="0">
    <xmlCellPr id="1" uniqueName="1">
      <xmlPr mapId="8" xpath="/Pisemnost/DPFDP7/VetaO/@kc_zakldan23" xmlDataType="decimal"/>
    </xmlCellPr>
  </singleXmlCell>
  <singleXmlCell id="336" r="N14" connectionId="0">
    <xmlCellPr id="1" uniqueName="1">
      <xmlPr mapId="8" xpath="/Pisemnost/DPFDP7/VetaS/@kc_zdzaokr" xmlDataType="decimal"/>
    </xmlCellPr>
  </singleXmlCell>
  <singleXmlCell id="337" r="B15" connectionId="0">
    <xmlCellPr id="1" uniqueName="1">
      <xmlPr mapId="8" xpath="/Pisemnost/DPFDP7/VetaD/@k_uladis" xmlDataType="anyType"/>
    </xmlCellPr>
  </singleXmlCell>
  <singleXmlCell id="338" r="F15" connectionId="0">
    <xmlCellPr id="1" uniqueName="1">
      <xmlPr mapId="8" xpath="/Pisemnost/DPFDP7/VetaP/@krok_c_pop" xmlDataType="decimal"/>
    </xmlCellPr>
  </singleXmlCell>
  <singleXmlCell id="339" r="J15" connectionId="0">
    <xmlCellPr id="1" uniqueName="1">
      <xmlPr mapId="8" xpath="/Pisemnost/DPFDP7/VetaO/@kc_zakldan8" xmlDataType="decimal"/>
    </xmlCellPr>
  </singleXmlCell>
  <singleXmlCell id="340" r="B16" connectionId="0">
    <xmlCellPr id="1" uniqueName="1">
      <xmlPr mapId="8" xpath="/Pisemnost/DPFDP7/VetaD/@kc_csprij" xmlDataType="decimal"/>
    </xmlCellPr>
  </singleXmlCell>
  <singleXmlCell id="341" r="F16" connectionId="0">
    <xmlCellPr id="1" uniqueName="1">
      <xmlPr mapId="8" xpath="/Pisemnost/DPFDP7/VetaP/@krok_naz_obce" xmlDataType="string"/>
    </xmlCellPr>
  </singleXmlCell>
  <singleXmlCell id="342" r="J16" connectionId="0">
    <xmlCellPr id="1" uniqueName="1">
      <xmlPr mapId="8" xpath="/Pisemnost/DPFDP7/VetaO/@kc_zd10" xmlDataType="decimal"/>
    </xmlCellPr>
  </singleXmlCell>
  <singleXmlCell id="343" r="N16" connectionId="0">
    <xmlCellPr id="1" uniqueName="1">
      <xmlPr mapId="8" xpath="/Pisemnost/DPFDP7/VetaS/@m_uroky" xmlDataType="decimal"/>
    </xmlCellPr>
  </singleXmlCell>
  <singleXmlCell id="344" r="B17" connectionId="0">
    <xmlCellPr id="1" uniqueName="1">
      <xmlPr mapId="8" xpath="/Pisemnost/DPFDP7/VetaD/@kc_danbonus" xmlDataType="decimal"/>
    </xmlCellPr>
  </singleXmlCell>
  <singleXmlCell id="345" r="F17" connectionId="0">
    <xmlCellPr id="1" uniqueName="1">
      <xmlPr mapId="8" xpath="/Pisemnost/DPFDP7/VetaP/@krok_psc" xmlDataType="string"/>
    </xmlCellPr>
  </singleXmlCell>
  <singleXmlCell id="346" r="J17" connectionId="0">
    <xmlCellPr id="1" uniqueName="1">
      <xmlPr mapId="8" xpath="/Pisemnost/DPFDP7/VetaO/@kc_zd6" xmlDataType="decimal"/>
    </xmlCellPr>
  </singleXmlCell>
  <singleXmlCell id="347" r="B18" connectionId="0">
    <xmlCellPr id="1" uniqueName="1">
      <xmlPr mapId="8" xpath="/Pisemnost/DPFDP7/VetaD/@kc_dazvyhod" xmlDataType="decimal"/>
    </xmlCellPr>
  </singleXmlCell>
  <singleXmlCell id="348" r="F18" connectionId="0">
    <xmlCellPr id="1" uniqueName="1">
      <xmlPr mapId="8" xpath="/Pisemnost/DPFDP7/VetaP/@krok_ulice" xmlDataType="string"/>
    </xmlCellPr>
  </singleXmlCell>
  <singleXmlCell id="349" r="J18" connectionId="0">
    <xmlCellPr id="1" uniqueName="1">
      <xmlPr mapId="8" xpath="/Pisemnost/DPFDP7/VetaO/@kc_zd6p" xmlDataType="decimal"/>
    </xmlCellPr>
  </singleXmlCell>
  <singleXmlCell id="352" r="F19" connectionId="0">
    <xmlCellPr id="1" uniqueName="1">
      <xmlPr mapId="8" xpath="/Pisemnost/DPFDP7/VetaP/@naz_obce" xmlDataType="string"/>
    </xmlCellPr>
  </singleXmlCell>
  <singleXmlCell id="353" r="J19" connectionId="0">
    <xmlCellPr id="1" uniqueName="1">
      <xmlPr mapId="8" xpath="/Pisemnost/DPFDP7/VetaO/@kc_zd7" xmlDataType="decimal"/>
    </xmlCellPr>
  </singleXmlCell>
  <singleXmlCell id="354" r="B20" connectionId="0">
    <xmlCellPr id="1" uniqueName="1">
      <xmlPr mapId="8" xpath="/Pisemnost/DPFDP7/VetaD/@kc_dztrata" xmlDataType="decimal"/>
    </xmlCellPr>
  </singleXmlCell>
  <singleXmlCell id="355" r="F20" connectionId="0">
    <xmlCellPr id="1" uniqueName="1">
      <xmlPr mapId="8" xpath="/Pisemnost/DPFDP7/VetaP/@opr_jmeno" xmlDataType="string"/>
    </xmlCellPr>
  </singleXmlCell>
  <singleXmlCell id="356" r="J20" connectionId="0">
    <xmlCellPr id="1" uniqueName="1">
      <xmlPr mapId="8" xpath="/Pisemnost/DPFDP7/VetaO/@kc_zd9" xmlDataType="decimal"/>
    </xmlCellPr>
  </singleXmlCell>
  <singleXmlCell id="357" r="B21" connectionId="0">
    <xmlCellPr id="1" uniqueName="1">
      <xmlPr mapId="8" xpath="/Pisemnost/DPFDP7/VetaD/@kc_konkurs" xmlDataType="decimal"/>
    </xmlCellPr>
  </singleXmlCell>
  <singleXmlCell id="358" r="F21" connectionId="0">
    <xmlCellPr id="1" uniqueName="1">
      <xmlPr mapId="8" xpath="/Pisemnost/DPFDP7/VetaP/@opr_postaveni" xmlDataType="string"/>
    </xmlCellPr>
  </singleXmlCell>
  <singleXmlCell id="359" r="J21" connectionId="0">
    <xmlCellPr id="1" uniqueName="1">
      <xmlPr mapId="8" xpath="/Pisemnost/DPFDP7/VetaO/@kc_ztrata2" xmlDataType="decimal"/>
    </xmlCellPr>
  </singleXmlCell>
  <singleXmlCell id="360" r="B22" connectionId="0">
    <xmlCellPr id="1" uniqueName="1">
      <xmlPr mapId="8" xpath="/Pisemnost/DPFDP7/VetaD/@kc_manztpp" xmlDataType="decimal"/>
    </xmlCellPr>
  </singleXmlCell>
  <singleXmlCell id="361" r="F22" connectionId="0">
    <xmlCellPr id="1" uniqueName="1">
      <xmlPr mapId="8" xpath="/Pisemnost/DPFDP7/VetaP/@opr_prijmeni" xmlDataType="string"/>
    </xmlCellPr>
  </singleXmlCell>
  <singleXmlCell id="362" r="B23" connectionId="0">
    <xmlCellPr id="1" uniqueName="1">
      <xmlPr mapId="8" xpath="/Pisemnost/DPFDP7/VetaD/@kc_op15_1a" xmlDataType="decimal"/>
    </xmlCellPr>
  </singleXmlCell>
  <singleXmlCell id="363" r="F23" connectionId="0">
    <xmlCellPr id="1" uniqueName="1">
      <xmlPr mapId="8" xpath="/Pisemnost/DPFDP7/VetaP/@prijmeni" xmlDataType="string"/>
    </xmlCellPr>
  </singleXmlCell>
  <singleXmlCell id="364" r="B24" connectionId="0">
    <xmlCellPr id="1" uniqueName="1">
      <xmlPr mapId="8" xpath="/Pisemnost/DPFDP7/VetaD/@kc_op15_1c" xmlDataType="decimal"/>
    </xmlCellPr>
  </singleXmlCell>
  <singleXmlCell id="365" r="F24" connectionId="0">
    <xmlCellPr id="1" uniqueName="1">
      <xmlPr mapId="8" xpath="/Pisemnost/DPFDP7/VetaP/@psc" xmlDataType="string"/>
    </xmlCellPr>
  </singleXmlCell>
  <singleXmlCell id="366" r="B25" connectionId="0">
    <xmlCellPr id="1" uniqueName="1">
      <xmlPr mapId="8" xpath="/Pisemnost/DPFDP7/VetaD/@kc_op15_1d" xmlDataType="decimal"/>
    </xmlCellPr>
  </singleXmlCell>
  <singleXmlCell id="367" r="F25" connectionId="0">
    <xmlCellPr id="1" uniqueName="1">
      <xmlPr mapId="8" xpath="/Pisemnost/DPFDP7/VetaP/@rod_c" xmlDataType="string"/>
    </xmlCellPr>
  </singleXmlCell>
  <singleXmlCell id="368" r="B26" connectionId="0">
    <xmlCellPr id="1" uniqueName="1">
      <xmlPr mapId="8" xpath="/Pisemnost/DPFDP7/VetaD/@kc_op15_1e1" xmlDataType="decimal"/>
    </xmlCellPr>
  </singleXmlCell>
  <singleXmlCell id="369" r="F26" connectionId="0">
    <xmlCellPr id="1" uniqueName="1">
      <xmlPr mapId="8" xpath="/Pisemnost/DPFDP7/VetaP/@rodnepr" xmlDataType="string"/>
    </xmlCellPr>
  </singleXmlCell>
  <singleXmlCell id="370" r="B27" connectionId="0">
    <xmlCellPr id="1" uniqueName="1">
      <xmlPr mapId="8" xpath="/Pisemnost/DPFDP7/VetaD/@kc_op15_1e2" xmlDataType="decimal"/>
    </xmlCellPr>
  </singleXmlCell>
  <singleXmlCell id="371" r="F27" connectionId="0">
    <xmlCellPr id="1" uniqueName="1">
      <xmlPr mapId="8" xpath="/Pisemnost/DPFDP7/VetaP/@st_prislus" xmlDataType="string"/>
    </xmlCellPr>
  </singleXmlCell>
  <singleXmlCell id="372" r="B28" connectionId="0">
    <xmlCellPr id="1" uniqueName="1">
      <xmlPr mapId="8" xpath="/Pisemnost/DPFDP7/VetaD/@kc_pausal" xmlDataType="decimal"/>
    </xmlCellPr>
  </singleXmlCell>
  <singleXmlCell id="373" r="F28" connectionId="0">
    <xmlCellPr id="1" uniqueName="1">
      <xmlPr mapId="8" xpath="/Pisemnost/DPFDP7/VetaP/@stat" xmlDataType="string"/>
    </xmlCellPr>
  </singleXmlCell>
  <singleXmlCell id="374" r="F29" connectionId="0">
    <xmlCellPr id="1" uniqueName="1">
      <xmlPr mapId="8" xpath="/Pisemnost/DPFDP7/VetaP/@titul" xmlDataType="string"/>
    </xmlCellPr>
  </singleXmlCell>
  <singleXmlCell id="375" r="B30" connectionId="0">
    <xmlCellPr id="1" uniqueName="1">
      <xmlPr mapId="8" xpath="/Pisemnost/DPFDP7/VetaD/@kc_pzdp" xmlDataType="decimal"/>
    </xmlCellPr>
  </singleXmlCell>
  <singleXmlCell id="376" r="F30" connectionId="0">
    <xmlCellPr id="1" uniqueName="1">
      <xmlPr mapId="8" xpath="/Pisemnost/DPFDP7/VetaP/@ulice" xmlDataType="string"/>
    </xmlCellPr>
  </singleXmlCell>
  <singleXmlCell id="377" r="B31" connectionId="0">
    <xmlCellPr id="1" uniqueName="1">
      <xmlPr mapId="8" xpath="/Pisemnost/DPFDP7/VetaD/@kc_pzzt" xmlDataType="decimal"/>
    </xmlCellPr>
  </singleXmlCell>
  <singleXmlCell id="378" r="J31" connectionId="0">
    <xmlCellPr id="1" uniqueName="1">
      <xmlPr mapId="8" xpath="/Pisemnost/DPFDP7/VetaB/@dal_prilohy" xmlDataType="decimal"/>
    </xmlCellPr>
  </singleXmlCell>
  <singleXmlCell id="379" r="N31" connectionId="0">
    <xmlCellPr id="1" uniqueName="1">
      <xmlPr mapId="8" xpath="/Pisemnost/DPFDP7/VetaT/@c_nace" xmlDataType="decimal"/>
    </xmlCellPr>
  </singleXmlCell>
  <singleXmlCell id="380" r="F32" connectionId="0">
    <xmlCellPr id="1" uniqueName="1">
      <xmlPr mapId="8" xpath="/Pisemnost/DPFDP7/VetaP/@z_c_obce" xmlDataType="decimal"/>
    </xmlCellPr>
  </singleXmlCell>
  <singleXmlCell id="381" r="J32" connectionId="0">
    <xmlCellPr id="1" uniqueName="1">
      <xmlPr mapId="8" xpath="/Pisemnost/DPFDP7/VetaB/@doklad_dar" xmlDataType="decimal"/>
    </xmlCellPr>
  </singleXmlCell>
  <singleXmlCell id="382" r="N32" connectionId="0">
    <xmlCellPr id="1" uniqueName="1">
      <xmlPr mapId="8" xpath="/Pisemnost/DPFDP7/VetaT/@celk_pr_prij7" xmlDataType="decimal"/>
    </xmlCellPr>
  </singleXmlCell>
  <singleXmlCell id="383" r="B33" connectionId="0">
    <xmlCellPr id="1" uniqueName="1">
      <xmlPr mapId="8" xpath="/Pisemnost/DPFDP7/VetaD/@kc_rozdil_dp" xmlDataType="decimal"/>
    </xmlCellPr>
  </singleXmlCell>
  <singleXmlCell id="384" r="F33" connectionId="0">
    <xmlCellPr id="1" uniqueName="1">
      <xmlPr mapId="8" xpath="/Pisemnost/DPFDP7/VetaP/@z_c_orient" xmlDataType="string"/>
    </xmlCellPr>
  </singleXmlCell>
  <singleXmlCell id="385" r="J33" connectionId="0">
    <xmlCellPr id="1" uniqueName="1">
      <xmlPr mapId="8" xpath="/Pisemnost/DPFDP7/VetaB/@duvody_dodap" xmlDataType="decimal"/>
    </xmlCellPr>
  </singleXmlCell>
  <singleXmlCell id="386" r="N33" connectionId="0">
    <xmlCellPr id="1" uniqueName="1">
      <xmlPr mapId="8" xpath="/Pisemnost/DPFDP7/VetaT/@celk_pr_vyd7" xmlDataType="decimal"/>
    </xmlCellPr>
  </singleXmlCell>
  <singleXmlCell id="387" r="B34" connectionId="0">
    <xmlCellPr id="1" uniqueName="1">
      <xmlPr mapId="8" xpath="/Pisemnost/DPFDP7/VetaD/@kc_rozdil_zt" xmlDataType="decimal"/>
    </xmlCellPr>
  </singleXmlCell>
  <singleXmlCell id="388" r="F34" connectionId="0">
    <xmlCellPr id="1" uniqueName="1">
      <xmlPr mapId="8" xpath="/Pisemnost/DPFDP7/VetaP/@z_c_pop" xmlDataType="decimal"/>
    </xmlCellPr>
  </singleXmlCell>
  <singleXmlCell id="389" r="N34" connectionId="0">
    <xmlCellPr id="1" uniqueName="1">
      <xmlPr mapId="8" xpath="/Pisemnost/DPFDP7/VetaT/@d_obnocin" xmlDataType="string"/>
    </xmlCellPr>
  </singleXmlCell>
  <singleXmlCell id="390" r="B35" connectionId="0">
    <xmlCellPr id="1" uniqueName="1">
      <xmlPr mapId="8" xpath="/Pisemnost/DPFDP7/VetaD/@kc_slevy35c" xmlDataType="decimal"/>
    </xmlCellPr>
  </singleXmlCell>
  <singleXmlCell id="391" r="F35" connectionId="0">
    <xmlCellPr id="1" uniqueName="1">
      <xmlPr mapId="8" xpath="/Pisemnost/DPFDP7/VetaP/@z_c_telef" xmlDataType="string"/>
    </xmlCellPr>
  </singleXmlCell>
  <singleXmlCell id="392" r="J35" connectionId="0">
    <xmlCellPr id="1" uniqueName="1">
      <xmlPr mapId="8" xpath="/Pisemnost/DPFDP7/VetaB/@potv_36" xmlDataType="decimal"/>
    </xmlCellPr>
  </singleXmlCell>
  <singleXmlCell id="393" r="N35" connectionId="0">
    <xmlCellPr id="1" uniqueName="1">
      <xmlPr mapId="8" xpath="/Pisemnost/DPFDP7/VetaT/@d_precin" xmlDataType="string"/>
    </xmlCellPr>
  </singleXmlCell>
  <singleXmlCell id="394" r="F36" connectionId="0">
    <xmlCellPr id="1" uniqueName="1">
      <xmlPr mapId="8" xpath="/Pisemnost/DPFDP7/VetaP/@z_email" xmlDataType="string"/>
    </xmlCellPr>
  </singleXmlCell>
  <singleXmlCell id="397" r="N36" connectionId="0">
    <xmlCellPr id="1" uniqueName="1">
      <xmlPr mapId="8" xpath="/Pisemnost/DPFDP7/VetaT/@d_ukoncin" xmlDataType="string"/>
    </xmlCellPr>
  </singleXmlCell>
  <singleXmlCell id="398" r="F37" connectionId="0">
    <xmlCellPr id="1" uniqueName="1">
      <xmlPr mapId="8" xpath="/Pisemnost/DPFDP7/VetaP/@z_naz_obce" xmlDataType="string"/>
    </xmlCellPr>
  </singleXmlCell>
  <singleXmlCell id="401" r="N37" connectionId="0">
    <xmlCellPr id="1" uniqueName="1">
      <xmlPr mapId="8" xpath="/Pisemnost/DPFDP7/VetaT/@d_zahcin" xmlDataType="string"/>
    </xmlCellPr>
  </singleXmlCell>
  <singleXmlCell id="402" r="F38" connectionId="0">
    <xmlCellPr id="1" uniqueName="1">
      <xmlPr mapId="8" xpath="/Pisemnost/DPFDP7/VetaP/@z_psc" xmlDataType="string"/>
    </xmlCellPr>
  </singleXmlCell>
  <singleXmlCell id="403" r="J38" connectionId="0">
    <xmlCellPr id="1" uniqueName="1">
      <xmlPr mapId="8" xpath="/Pisemnost/DPFDP7/VetaB/@potv_penpri" xmlDataType="decimal"/>
    </xmlCellPr>
  </singleXmlCell>
  <singleXmlCell id="404" r="N38" connectionId="0">
    <xmlCellPr id="1" uniqueName="1">
      <xmlPr mapId="8" xpath="/Pisemnost/DPFDP7/VetaT/@kc_cisobr" xmlDataType="decimal"/>
    </xmlCellPr>
  </singleXmlCell>
  <singleXmlCell id="405" r="B39" connectionId="0">
    <xmlCellPr id="1" uniqueName="1">
      <xmlPr mapId="8" xpath="/Pisemnost/DPFDP7/VetaD/@kc_sraz385" xmlDataType="decimal"/>
    </xmlCellPr>
  </singleXmlCell>
  <singleXmlCell id="406" r="F39" connectionId="0">
    <xmlCellPr id="1" uniqueName="1">
      <xmlPr mapId="8" xpath="/Pisemnost/DPFDP7/VetaP/@z_ulice" xmlDataType="string"/>
    </xmlCellPr>
  </singleXmlCell>
  <singleXmlCell id="407" r="N39" connectionId="0">
    <xmlCellPr id="1" uniqueName="1">
      <xmlPr mapId="8" xpath="/Pisemnost/DPFDP7/VetaT/@kc_hosp_rozd" xmlDataType="decimal"/>
    </xmlCellPr>
  </singleXmlCell>
  <singleXmlCell id="408" r="B40" connectionId="0">
    <xmlCellPr id="1" uniqueName="1">
      <xmlPr mapId="8" xpath="/Pisemnost/DPFDP7/VetaD/@kc_sraz_6_4" xmlDataType="decimal"/>
    </xmlCellPr>
  </singleXmlCell>
  <singleXmlCell id="409" r="F40" connectionId="0">
    <xmlCellPr id="1" uniqueName="1">
      <xmlPr mapId="8" xpath="/Pisemnost/DPFDP7/VetaP/@zast_dat_nar" xmlDataType="string"/>
    </xmlCellPr>
  </singleXmlCell>
  <singleXmlCell id="410" r="J40" connectionId="0">
    <xmlCellPr id="1" uniqueName="1">
      <xmlPr mapId="8" xpath="/Pisemnost/DPFDP7/VetaB/@potv_uver" xmlDataType="decimal"/>
    </xmlCellPr>
  </singleXmlCell>
  <singleXmlCell id="411" r="N40" connectionId="0">
    <xmlCellPr id="1" uniqueName="1">
      <xmlPr mapId="8" xpath="/Pisemnost/DPFDP7/VetaT/@kc_odpcelk" xmlDataType="decimal"/>
    </xmlCellPr>
  </singleXmlCell>
  <singleXmlCell id="412" r="B41" connectionId="0">
    <xmlCellPr id="1" uniqueName="1">
      <xmlPr mapId="8" xpath="/Pisemnost/DPFDP7/VetaD/@kc_sraz_rezehp" xmlDataType="decimal"/>
    </xmlCellPr>
  </singleXmlCell>
  <singleXmlCell id="413" r="F41" connectionId="0">
    <xmlCellPr id="1" uniqueName="1">
      <xmlPr mapId="8" xpath="/Pisemnost/DPFDP7/VetaP/@zast_ev_cislo" xmlDataType="string"/>
    </xmlCellPr>
  </singleXmlCell>
  <singleXmlCell id="414" r="J41" connectionId="0">
    <xmlCellPr id="1" uniqueName="1">
      <xmlPr mapId="8" xpath="/Pisemnost/DPFDP7/VetaB/@potv_zahrsd" xmlDataType="decimal"/>
    </xmlCellPr>
  </singleXmlCell>
  <singleXmlCell id="415" r="N41" connectionId="0">
    <xmlCellPr id="1" uniqueName="1">
      <xmlPr mapId="8" xpath="/Pisemnost/DPFDP7/VetaT/@kc_odpnem" xmlDataType="decimal"/>
    </xmlCellPr>
  </singleXmlCell>
  <singleXmlCell id="418" r="F42" connectionId="0">
    <xmlCellPr id="1" uniqueName="1">
      <xmlPr mapId="8" xpath="/Pisemnost/DPFDP7/VetaP/@zast_ic" xmlDataType="string"/>
    </xmlCellPr>
  </singleXmlCell>
  <singleXmlCell id="419" r="J42" connectionId="0">
    <xmlCellPr id="1" uniqueName="1">
      <xmlPr mapId="8" xpath="/Pisemnost/DPFDP7/VetaB/@potv_zam" xmlDataType="decimal"/>
    </xmlCellPr>
  </singleXmlCell>
  <singleXmlCell id="420" r="N42" connectionId="0">
    <xmlCellPr id="1" uniqueName="1">
      <xmlPr mapId="8" xpath="/Pisemnost/DPFDP7/VetaT/@kc_pod_komp" xmlDataType="decimal"/>
    </xmlCellPr>
  </singleXmlCell>
  <singleXmlCell id="421" r="B43" connectionId="0">
    <xmlCellPr id="1" uniqueName="1">
      <xmlPr mapId="8" xpath="/Pisemnost/DPFDP7/VetaD/@kc_vyplbonus" xmlDataType="decimal"/>
    </xmlCellPr>
  </singleXmlCell>
  <singleXmlCell id="422" r="F43" connectionId="0">
    <xmlCellPr id="1" uniqueName="1">
      <xmlPr mapId="8" xpath="/Pisemnost/DPFDP7/VetaP/@zast_jmeno" xmlDataType="string"/>
    </xmlCellPr>
  </singleXmlCell>
  <singleXmlCell id="423" r="J43" connectionId="0">
    <xmlCellPr id="1" uniqueName="1">
      <xmlPr mapId="8" xpath="/Pisemnost/DPFDP7/VetaB/@potv_zivpoj" xmlDataType="decimal"/>
    </xmlCellPr>
  </singleXmlCell>
  <singleXmlCell id="424" r="N43" connectionId="0">
    <xmlCellPr id="1" uniqueName="1">
      <xmlPr mapId="8" xpath="/Pisemnost/DPFDP7/VetaT/@kc_pod_so" xmlDataType="decimal"/>
    </xmlCellPr>
  </singleXmlCell>
  <singleXmlCell id="425" r="B44" connectionId="0">
    <xmlCellPr id="1" uniqueName="1">
      <xmlPr mapId="8" xpath="/Pisemnost/DPFDP7/VetaD/@kc_zalpred" xmlDataType="decimal"/>
    </xmlCellPr>
  </singleXmlCell>
  <singleXmlCell id="426" r="F44" connectionId="0">
    <xmlCellPr id="1" uniqueName="1">
      <xmlPr mapId="8" xpath="/Pisemnost/DPFDP7/VetaP/@zast_kod" xmlDataType="string"/>
    </xmlCellPr>
  </singleXmlCell>
  <singleXmlCell id="427" r="J44" connectionId="0">
    <xmlCellPr id="1" uniqueName="1">
      <xmlPr mapId="8" xpath="/Pisemnost/DPFDP7/VetaB/@pril3_samlist" xmlDataType="decimal"/>
    </xmlCellPr>
  </singleXmlCell>
  <singleXmlCell id="428" r="N44" connectionId="0">
    <xmlCellPr id="1" uniqueName="1">
      <xmlPr mapId="8" xpath="/Pisemnost/DPFDP7/VetaT/@kc_pod_vaso" xmlDataType="decimal"/>
    </xmlCellPr>
  </singleXmlCell>
  <singleXmlCell id="429" r="B45" connectionId="0">
    <xmlCellPr id="1" uniqueName="1">
      <xmlPr mapId="8" xpath="/Pisemnost/DPFDP7/VetaD/@kc_zalzavc" xmlDataType="decimal"/>
    </xmlCellPr>
  </singleXmlCell>
  <singleXmlCell id="430" r="F45" connectionId="0">
    <xmlCellPr id="1" uniqueName="1">
      <xmlPr mapId="8" xpath="/Pisemnost/DPFDP7/VetaP/@zast_nazev" xmlDataType="string"/>
    </xmlCellPr>
  </singleXmlCell>
  <singleXmlCell id="431" r="J45" connectionId="0">
    <xmlCellPr id="1" uniqueName="1">
      <xmlPr mapId="8" xpath="/Pisemnost/DPFDP7/VetaB/@pril_poduv" xmlDataType="decimal"/>
    </xmlCellPr>
  </singleXmlCell>
  <singleXmlCell id="432" r="N45" connectionId="0">
    <xmlCellPr id="1" uniqueName="1">
      <xmlPr mapId="8" xpath="/Pisemnost/DPFDP7/VetaT/@kc_prij7" xmlDataType="decimal"/>
    </xmlCellPr>
  </singleXmlCell>
  <singleXmlCell id="433" r="B46" connectionId="0">
    <xmlCellPr id="1" uniqueName="1">
      <xmlPr mapId="8" xpath="/Pisemnost/DPFDP7/VetaD/@kc_zbyvpred" xmlDataType="decimal"/>
    </xmlCellPr>
  </singleXmlCell>
  <singleXmlCell id="434" r="F46" connectionId="0">
    <xmlCellPr id="1" uniqueName="1">
      <xmlPr mapId="8" xpath="/Pisemnost/DPFDP7/VetaP/@zast_prijmeni" xmlDataType="string"/>
    </xmlCellPr>
  </singleXmlCell>
  <singleXmlCell id="435" r="J46" connectionId="0">
    <xmlCellPr id="1" uniqueName="1">
      <xmlPr mapId="8" xpath="/Pisemnost/DPFDP7/VetaB/@pril_ztraty" xmlDataType="decimal"/>
    </xmlCellPr>
  </singleXmlCell>
  <singleXmlCell id="436" r="N46" connectionId="0">
    <xmlCellPr id="1" uniqueName="1">
      <xmlPr mapId="8" xpath="/Pisemnost/DPFDP7/VetaT/@kc_uhsniz" xmlDataType="decimal"/>
    </xmlCellPr>
  </singleXmlCell>
  <singleXmlCell id="437" r="B47" connectionId="0">
    <xmlCellPr id="1" uniqueName="1">
      <xmlPr mapId="8" xpath="/Pisemnost/DPFDP7/VetaD/@kc_zjidp" xmlDataType="decimal"/>
    </xmlCellPr>
  </singleXmlCell>
  <singleXmlCell id="438" r="F47" connectionId="0">
    <xmlCellPr id="1" uniqueName="1">
      <xmlPr mapId="8" xpath="/Pisemnost/DPFDP7/VetaP/@zast_typ" xmlDataType="string"/>
    </xmlCellPr>
  </singleXmlCell>
  <singleXmlCell id="439" r="J47" connectionId="0">
    <xmlCellPr id="1" uniqueName="1">
      <xmlPr mapId="8" xpath="/Pisemnost/DPFDP7/VetaB/@priloh_celk" xmlDataType="decimal"/>
    </xmlCellPr>
  </singleXmlCell>
  <singleXmlCell id="440" r="N47" connectionId="0">
    <xmlCellPr id="1" uniqueName="1">
      <xmlPr mapId="8" xpath="/Pisemnost/DPFDP7/VetaT/@kc_uhzvys" xmlDataType="decimal"/>
    </xmlCellPr>
  </singleXmlCell>
  <singleXmlCell id="441" r="B48" connectionId="0">
    <xmlCellPr id="1" uniqueName="1">
      <xmlPr mapId="8" xpath="/Pisemnost/DPFDP7/VetaD/@kc_zjizt" xmlDataType="decimal"/>
    </xmlCellPr>
  </singleXmlCell>
  <singleXmlCell id="442" r="J48" connectionId="0">
    <xmlCellPr id="1" uniqueName="1">
      <xmlPr mapId="8" xpath="/Pisemnost/DPFDP7/VetaB/@priloha1" xmlDataType="string"/>
    </xmlCellPr>
  </singleXmlCell>
  <singleXmlCell id="443" r="N48" connectionId="0">
    <xmlCellPr id="1" uniqueName="1">
      <xmlPr mapId="8" xpath="/Pisemnost/DPFDP7/VetaT/@kc_vyd7" xmlDataType="decimal"/>
    </xmlCellPr>
  </singleXmlCell>
  <singleXmlCell id="444" r="B49" connectionId="0">
    <xmlCellPr id="1" uniqueName="1">
      <xmlPr mapId="8" xpath="/Pisemnost/DPFDP7/VetaD/@kod_popl" xmlDataType="string"/>
    </xmlCellPr>
  </singleXmlCell>
  <singleXmlCell id="445" r="J49" connectionId="0">
    <xmlCellPr id="1" uniqueName="1">
      <xmlPr mapId="8" xpath="/Pisemnost/DPFDP7/VetaB/@priloha2" xmlDataType="string"/>
    </xmlCellPr>
  </singleXmlCell>
  <singleXmlCell id="446" r="N49" connectionId="0">
    <xmlCellPr id="1" uniqueName="1">
      <xmlPr mapId="8" xpath="/Pisemnost/DPFDP7/VetaT/@kc_vyd_so" xmlDataType="decimal"/>
    </xmlCellPr>
  </singleXmlCell>
  <singleXmlCell id="447" r="B50" connectionId="0">
    <xmlCellPr id="1" uniqueName="1">
      <xmlPr mapId="8" xpath="/Pisemnost/DPFDP7/VetaD/@m_cinvduch" xmlDataType="decimal"/>
    </xmlCellPr>
  </singleXmlCell>
  <singleXmlCell id="448" r="J50" connectionId="0">
    <xmlCellPr id="1" uniqueName="1">
      <xmlPr mapId="8" xpath="/Pisemnost/DPFDP7/VetaB/@seznam" xmlDataType="decimal"/>
    </xmlCellPr>
  </singleXmlCell>
  <singleXmlCell id="449" r="N50" connectionId="0">
    <xmlCellPr id="1" uniqueName="1">
      <xmlPr mapId="8" xpath="/Pisemnost/DPFDP7/VetaT/@kc_vyd_vaso" xmlDataType="decimal"/>
    </xmlCellPr>
  </singleXmlCell>
  <singleXmlCell id="450" r="B51" connectionId="0">
    <xmlCellPr id="1" uniqueName="1">
      <xmlPr mapId="8" xpath="/Pisemnost/DPFDP7/VetaD/@m_deti" xmlDataType="decimal"/>
    </xmlCellPr>
  </singleXmlCell>
  <singleXmlCell id="451" r="J51" connectionId="0">
    <xmlCellPr id="1" uniqueName="1">
      <xmlPr mapId="8" xpath="/Pisemnost/DPFDP7/VetaB/@vklad_ku" xmlDataType="decimal"/>
    </xmlCellPr>
  </singleXmlCell>
  <singleXmlCell id="452" r="N51" connectionId="0">
    <xmlCellPr id="1" uniqueName="1">
      <xmlPr mapId="8" xpath="/Pisemnost/DPFDP7/VetaT/@kc_zd7p" xmlDataType="decimal"/>
    </xmlCellPr>
  </singleXmlCell>
  <singleXmlCell id="453" r="B52" connectionId="0">
    <xmlCellPr id="1" uniqueName="1">
      <xmlPr mapId="8" xpath="/Pisemnost/DPFDP7/VetaD/@m_detiztpp" xmlDataType="decimal"/>
    </xmlCellPr>
  </singleXmlCell>
  <singleXmlCell id="454" r="J52" connectionId="0">
    <xmlCellPr id="1" uniqueName="1">
      <xmlPr mapId="8" xpath="/Pisemnost/DPFDP7/VetaB/@potv_dazvyh" xmlDataType="decimal"/>
    </xmlCellPr>
  </singleXmlCell>
  <singleXmlCell id="455" r="B53" connectionId="0">
    <xmlCellPr id="1" uniqueName="1">
      <xmlPr mapId="8" xpath="/Pisemnost/DPFDP7/VetaD/@m_invduch" xmlDataType="decimal"/>
    </xmlCellPr>
  </singleXmlCell>
  <singleXmlCell id="456" r="J53" connectionId="0">
    <xmlCellPr id="1" uniqueName="1">
      <xmlPr mapId="8" xpath="/Pisemnost/DPFDP7/VetaB/@pril_loto" xmlDataType="decimal"/>
    </xmlCellPr>
  </singleXmlCell>
  <singleXmlCell id="457" r="N53" connectionId="0">
    <xmlCellPr id="1" uniqueName="1">
      <xmlPr mapId="8" xpath="/Pisemnost/DPFDP7/VetaT/@m_podnik" xmlDataType="decimal"/>
    </xmlCellPr>
  </singleXmlCell>
  <singleXmlCell id="458" r="B54" connectionId="0">
    <xmlCellPr id="1" uniqueName="1">
      <xmlPr mapId="8" xpath="/Pisemnost/DPFDP7/VetaD/@m_manz" xmlDataType="decimal"/>
    </xmlCellPr>
  </singleXmlCell>
  <singleXmlCell id="459" r="J54" connectionId="0">
    <xmlCellPr id="1" uniqueName="1">
      <xmlPr mapId="8" xpath="/Pisemnost/DPFDP7/VetaB/@priloha4" xmlDataType="decimal"/>
    </xmlCellPr>
  </singleXmlCell>
  <singleXmlCell id="460" r="N54" connectionId="0">
    <xmlCellPr id="1" uniqueName="1">
      <xmlPr mapId="8" xpath="/Pisemnost/DPFDP7/VetaT/@pr_prij7" xmlDataType="decimal"/>
    </xmlCellPr>
  </singleXmlCell>
  <singleXmlCell id="463" r="N55" connectionId="0">
    <xmlCellPr id="1" uniqueName="1">
      <xmlPr mapId="8" xpath="/Pisemnost/DPFDP7/VetaT/@pr_sazba" xmlDataType="decimal"/>
    </xmlCellPr>
  </singleXmlCell>
  <singleXmlCell id="464" r="B56" connectionId="0">
    <xmlCellPr id="1" uniqueName="1">
      <xmlPr mapId="8" xpath="/Pisemnost/DPFDP7/VetaD/@m_vyzmanzl" xmlDataType="decimal"/>
    </xmlCellPr>
  </singleXmlCell>
  <singleXmlCell id="465" r="N56" connectionId="0">
    <xmlCellPr id="1" uniqueName="1">
      <xmlPr mapId="8" xpath="/Pisemnost/DPFDP7/VetaT/@pr_vyd7" xmlDataType="decimal"/>
    </xmlCellPr>
  </singleXmlCell>
  <singleXmlCell id="466" r="B57" connectionId="0">
    <xmlCellPr id="1" uniqueName="1">
      <xmlPr mapId="8" xpath="/Pisemnost/DPFDP7/VetaD/@m_ztpp" xmlDataType="decimal"/>
    </xmlCellPr>
  </singleXmlCell>
  <singleXmlCell id="467" r="N57" connectionId="0">
    <xmlCellPr id="1" uniqueName="1">
      <xmlPr mapId="8" xpath="/Pisemnost/DPFDP7/VetaT/@uc_soust" xmlDataType="string"/>
    </xmlCellPr>
  </singleXmlCell>
  <singleXmlCell id="468" r="B58" connectionId="0">
    <xmlCellPr id="1" uniqueName="1">
      <xmlPr mapId="8" xpath="/Pisemnost/DPFDP7/VetaD/@manz_jmeno" xmlDataType="string"/>
    </xmlCellPr>
  </singleXmlCell>
  <singleXmlCell id="469" r="N58" connectionId="0">
    <xmlCellPr id="1" uniqueName="1">
      <xmlPr mapId="8" xpath="/Pisemnost/DPFDP7/VetaT/@vyd7proc" xmlDataType="string"/>
    </xmlCellPr>
  </singleXmlCell>
  <singleXmlCell id="470" r="B59" connectionId="0">
    <xmlCellPr id="1" uniqueName="1">
      <xmlPr mapId="8" xpath="/Pisemnost/DPFDP7/VetaD/@manz_prijmeni" xmlDataType="string"/>
    </xmlCellPr>
  </singleXmlCell>
  <singleXmlCell id="471" r="B60" connectionId="0">
    <xmlCellPr id="1" uniqueName="1">
      <xmlPr mapId="8" xpath="/Pisemnost/DPFDP7/VetaD/@manz_r_cislo" xmlDataType="string"/>
    </xmlCellPr>
  </singleXmlCell>
  <singleXmlCell id="472" r="B61" connectionId="0">
    <xmlCellPr id="1" uniqueName="1">
      <xmlPr mapId="8" xpath="/Pisemnost/DPFDP7/VetaD/@manz_titul" xmlDataType="string"/>
    </xmlCellPr>
  </singleXmlCell>
  <singleXmlCell id="473" r="F61" connectionId="0">
    <xmlCellPr id="1" uniqueName="1">
      <xmlPr mapId="8" xpath="/Pisemnost/DPFDP7/VetaU/@kc_dpfmz02" xmlDataType="decimal"/>
    </xmlCellPr>
  </singleXmlCell>
  <singleXmlCell id="474" r="J61" connectionId="0">
    <xmlCellPr id="1" uniqueName="1">
      <xmlPr mapId="8" xpath="/Pisemnost/DPFDP7/VetaV/@kc_par9_nem" xmlDataType="decimal"/>
    </xmlCellPr>
  </singleXmlCell>
  <singleXmlCell id="475" r="B62" connectionId="0">
    <xmlCellPr id="1" uniqueName="1">
      <xmlPr mapId="8" xpath="/Pisemnost/DPFDP7/VetaD/@pln_moc" xmlDataType="string"/>
    </xmlCellPr>
  </singleXmlCell>
  <singleXmlCell id="476" r="F62" connectionId="0">
    <xmlCellPr id="1" uniqueName="1">
      <xmlPr mapId="8" xpath="/Pisemnost/DPFDP7/VetaU/@kc_dpfmz03" xmlDataType="decimal"/>
    </xmlCellPr>
  </singleXmlCell>
  <singleXmlCell id="477" r="J62" connectionId="0">
    <xmlCellPr id="1" uniqueName="1">
      <xmlPr mapId="8" xpath="/Pisemnost/DPFDP7/VetaV/@kc_prij10" xmlDataType="decimal"/>
    </xmlCellPr>
  </singleXmlCell>
  <singleXmlCell id="478" r="B63" connectionId="0">
    <xmlCellPr id="1" uniqueName="1">
      <xmlPr mapId="8" xpath="/Pisemnost/DPFDP7/VetaD/@prop_zahr" xmlDataType="string"/>
    </xmlCellPr>
  </singleXmlCell>
  <singleXmlCell id="479" r="F63" connectionId="0">
    <xmlCellPr id="1" uniqueName="1">
      <xmlPr mapId="8" xpath="/Pisemnost/DPFDP7/VetaU/@kc_dpfmz04" xmlDataType="decimal"/>
    </xmlCellPr>
  </singleXmlCell>
  <singleXmlCell id="480" r="J63" connectionId="0">
    <xmlCellPr id="1" uniqueName="1">
      <xmlPr mapId="8" xpath="/Pisemnost/DPFDP7/VetaV/@kc_prij9" xmlDataType="decimal"/>
    </xmlCellPr>
  </singleXmlCell>
  <singleXmlCell id="481" r="B64" connectionId="0">
    <xmlCellPr id="1" uniqueName="1">
      <xmlPr mapId="8" xpath="/Pisemnost/DPFDP7/VetaD/@rok" xmlDataType="decimal"/>
    </xmlCellPr>
  </singleXmlCell>
  <singleXmlCell id="482" r="F64" connectionId="0">
    <xmlCellPr id="1" uniqueName="1">
      <xmlPr mapId="8" xpath="/Pisemnost/DPFDP7/VetaU/@kc_dpfmz05a" xmlDataType="decimal"/>
    </xmlCellPr>
  </singleXmlCell>
  <singleXmlCell id="483" r="J64" connectionId="0">
    <xmlCellPr id="1" uniqueName="1">
      <xmlPr mapId="8" xpath="/Pisemnost/DPFDP7/VetaV/@kc_rezerv_k" xmlDataType="decimal"/>
    </xmlCellPr>
  </singleXmlCell>
  <singleXmlCell id="484" r="B65" connectionId="0">
    <xmlCellPr id="1" uniqueName="1">
      <xmlPr mapId="8" xpath="/Pisemnost/DPFDP7/VetaD/@sleva_rp" xmlDataType="decimal"/>
    </xmlCellPr>
  </singleXmlCell>
  <singleXmlCell id="485" r="F65" connectionId="0">
    <xmlCellPr id="1" uniqueName="1">
      <xmlPr mapId="8" xpath="/Pisemnost/DPFDP7/VetaU/@kc_dpfmz06" xmlDataType="decimal"/>
    </xmlCellPr>
  </singleXmlCell>
  <singleXmlCell id="486" r="J65" connectionId="0">
    <xmlCellPr id="1" uniqueName="1">
      <xmlPr mapId="8" xpath="/Pisemnost/DPFDP7/VetaV/@kc_rezerv_z" xmlDataType="decimal"/>
    </xmlCellPr>
  </singleXmlCell>
  <singleXmlCell id="487" r="F66" connectionId="0">
    <xmlCellPr id="1" uniqueName="1">
      <xmlPr mapId="8" xpath="/Pisemnost/DPFDP7/VetaU/@kc_dpfmz08" xmlDataType="decimal"/>
    </xmlCellPr>
  </singleXmlCell>
  <singleXmlCell id="488" r="J66" connectionId="0">
    <xmlCellPr id="1" uniqueName="1">
      <xmlPr mapId="8" xpath="/Pisemnost/DPFDP7/VetaV/@kc_rozdil9" xmlDataType="decimal"/>
    </xmlCellPr>
  </singleXmlCell>
  <singleXmlCell id="489" r="B67" connectionId="0">
    <xmlCellPr id="1" uniqueName="1">
      <xmlPr mapId="8" xpath="/Pisemnost/DPFDP7/VetaD/@uhrn_slevy35ba" xmlDataType="decimal"/>
    </xmlCellPr>
  </singleXmlCell>
  <singleXmlCell id="490" r="F67" connectionId="0">
    <xmlCellPr id="1" uniqueName="1">
      <xmlPr mapId="8" xpath="/Pisemnost/DPFDP7/VetaU/@kc_dpfmz10" xmlDataType="decimal"/>
    </xmlCellPr>
  </singleXmlCell>
  <singleXmlCell id="491" r="J67" connectionId="0">
    <xmlCellPr id="1" uniqueName="1">
      <xmlPr mapId="8" xpath="/Pisemnost/DPFDP7/VetaV/@kc_snizukon9" xmlDataType="decimal"/>
    </xmlCellPr>
  </singleXmlCell>
  <singleXmlCell id="492" r="B68" connectionId="0">
    <xmlCellPr id="1" uniqueName="1">
      <xmlPr mapId="8" xpath="/Pisemnost/DPFDP7/VetaD/@uv_podpis" xmlDataType="string"/>
    </xmlCellPr>
  </singleXmlCell>
  <singleXmlCell id="493" r="F68" connectionId="0">
    <xmlCellPr id="1" uniqueName="1">
      <xmlPr mapId="8" xpath="/Pisemnost/DPFDP7/VetaU/@kc_dpfmz11" xmlDataType="decimal"/>
    </xmlCellPr>
  </singleXmlCell>
  <singleXmlCell id="494" r="J68" connectionId="0">
    <xmlCellPr id="1" uniqueName="1">
      <xmlPr mapId="8" xpath="/Pisemnost/DPFDP7/VetaV/@kc_vyd10" xmlDataType="decimal"/>
    </xmlCellPr>
  </singleXmlCell>
  <singleXmlCell id="495" r="F69" connectionId="0">
    <xmlCellPr id="1" uniqueName="1">
      <xmlPr mapId="8" xpath="/Pisemnost/DPFDP7/VetaU/@kc_dpfmz18" xmlDataType="decimal"/>
    </xmlCellPr>
  </singleXmlCell>
  <singleXmlCell id="496" r="J69" connectionId="0">
    <xmlCellPr id="1" uniqueName="1">
      <xmlPr mapId="8" xpath="/Pisemnost/DPFDP7/VetaV/@kc_vyd9" xmlDataType="decimal"/>
    </xmlCellPr>
  </singleXmlCell>
  <singleXmlCell id="497" r="F70" connectionId="0">
    <xmlCellPr id="1" uniqueName="1">
      <xmlPr mapId="8" xpath="/Pisemnost/DPFDP7/VetaU/@kc_z_dpfmz02" xmlDataType="decimal"/>
    </xmlCellPr>
  </singleXmlCell>
  <singleXmlCell id="498" r="J70" connectionId="0">
    <xmlCellPr id="1" uniqueName="1">
      <xmlPr mapId="8" xpath="/Pisemnost/DPFDP7/VetaV/@kc_zd10p" xmlDataType="decimal"/>
    </xmlCellPr>
  </singleXmlCell>
  <singleXmlCell id="499" r="B71" connectionId="0">
    <xmlCellPr id="1" uniqueName="1">
      <xmlPr mapId="8" xpath="/Pisemnost/DPFDP7/VetaD/@zdobd_do" xmlDataType="string"/>
    </xmlCellPr>
  </singleXmlCell>
  <singleXmlCell id="500" r="F71" connectionId="0">
    <xmlCellPr id="1" uniqueName="1">
      <xmlPr mapId="8" xpath="/Pisemnost/DPFDP7/VetaU/@kc_z_dpfmz03" xmlDataType="decimal"/>
    </xmlCellPr>
  </singleXmlCell>
  <singleXmlCell id="501" r="J71" connectionId="0">
    <xmlCellPr id="1" uniqueName="1">
      <xmlPr mapId="8" xpath="/Pisemnost/DPFDP7/VetaV/@kc_zd9p" xmlDataType="decimal"/>
    </xmlCellPr>
  </singleXmlCell>
  <singleXmlCell id="502" r="N71" connectionId="0">
    <xmlCellPr id="1" uniqueName="1">
      <xmlPr mapId="8" xpath="/Pisemnost/DPFDP7/VetaW/@da_zazahr" xmlDataType="decimal"/>
    </xmlCellPr>
  </singleXmlCell>
  <singleXmlCell id="503" r="B72" connectionId="0">
    <xmlCellPr id="1" uniqueName="1">
      <xmlPr mapId="8" xpath="/Pisemnost/DPFDP7/VetaD/@zdobd_od" xmlDataType="string"/>
    </xmlCellPr>
  </singleXmlCell>
  <singleXmlCell id="504" r="F72" connectionId="0">
    <xmlCellPr id="1" uniqueName="1">
      <xmlPr mapId="8" xpath="/Pisemnost/DPFDP7/VetaU/@kc_z_dpfmz04" xmlDataType="decimal"/>
    </xmlCellPr>
  </singleXmlCell>
  <singleXmlCell id="505" r="J72" connectionId="0">
    <xmlCellPr id="1" uniqueName="1">
      <xmlPr mapId="8" xpath="/Pisemnost/DPFDP7/VetaV/@kc_zvysukon9" xmlDataType="decimal"/>
    </xmlCellPr>
  </singleXmlCell>
  <singleXmlCell id="506" r="N72" connectionId="0">
    <xmlCellPr id="1" uniqueName="1">
      <xmlPr mapId="8" xpath="/Pisemnost/DPFDP7/VetaW/@uhrn_neuzndan" xmlDataType="decimal"/>
    </xmlCellPr>
  </singleXmlCell>
  <singleXmlCell id="507" r="B73" connectionId="0">
    <xmlCellPr id="1" uniqueName="1">
      <xmlPr mapId="8" xpath="/Pisemnost/DPFDP7/VetaD/@m_deti2" xmlDataType="decimal"/>
    </xmlCellPr>
  </singleXmlCell>
  <singleXmlCell id="508" r="F73" connectionId="0">
    <xmlCellPr id="1" uniqueName="1">
      <xmlPr mapId="8" xpath="/Pisemnost/DPFDP7/VetaU/@kc_z_dpfmz05a" xmlDataType="decimal"/>
    </xmlCellPr>
  </singleXmlCell>
  <singleXmlCell id="509" r="J73" connectionId="0">
    <xmlCellPr id="1" uniqueName="1">
      <xmlPr mapId="8" xpath="/Pisemnost/DPFDP7/VetaV/@spol_jm_manz" xmlDataType="string"/>
    </xmlCellPr>
  </singleXmlCell>
  <singleXmlCell id="510" r="N73" connectionId="0">
    <xmlCellPr id="1" uniqueName="1">
      <xmlPr mapId="8" xpath="/Pisemnost/DPFDP7/VetaW/@uhrn_uzndan" xmlDataType="decimal"/>
    </xmlCellPr>
  </singleXmlCell>
  <singleXmlCell id="511" r="B74" connectionId="0">
    <xmlCellPr id="1" uniqueName="1">
      <xmlPr mapId="8" xpath="/Pisemnost/DPFDP7/VetaD/@m_deti3" xmlDataType="decimal"/>
    </xmlCellPr>
  </singleXmlCell>
  <singleXmlCell id="512" r="F74" connectionId="0">
    <xmlCellPr id="1" uniqueName="1">
      <xmlPr mapId="8" xpath="/Pisemnost/DPFDP7/VetaU/@kc_z_dpfmz06" xmlDataType="decimal"/>
    </xmlCellPr>
  </singleXmlCell>
  <singleXmlCell id="513" r="J74" connectionId="0">
    <xmlCellPr id="1" uniqueName="1">
      <xmlPr mapId="8" xpath="/Pisemnost/DPFDP7/VetaV/@uhrn_prijmy10" xmlDataType="decimal"/>
    </xmlCellPr>
  </singleXmlCell>
  <singleXmlCell id="514" r="N74" connectionId="0">
    <xmlCellPr id="1" uniqueName="1">
      <xmlPr mapId="8" xpath="/Pisemnost/DPFDP7/VetaW/@kc_vynprij" xmlDataType="decimal"/>
    </xmlCellPr>
  </singleXmlCell>
  <singleXmlCell id="515" r="B75" connectionId="0">
    <xmlCellPr id="1" uniqueName="1">
      <xmlPr mapId="8" xpath="/Pisemnost/DPFDP7/VetaD/@m_detiztpp2" xmlDataType="decimal"/>
    </xmlCellPr>
  </singleXmlCell>
  <singleXmlCell id="516" r="F75" connectionId="0">
    <xmlCellPr id="1" uniqueName="1">
      <xmlPr mapId="8" xpath="/Pisemnost/DPFDP7/VetaU/@kc_z_dpfmz08" xmlDataType="decimal"/>
    </xmlCellPr>
  </singleXmlCell>
  <singleXmlCell id="517" r="J75" connectionId="0">
    <xmlCellPr id="1" uniqueName="1">
      <xmlPr mapId="8" xpath="/Pisemnost/DPFDP7/VetaV/@uhrn_rozdil10" xmlDataType="decimal"/>
    </xmlCellPr>
  </singleXmlCell>
  <singleXmlCell id="518" r="N75" connectionId="0">
    <xmlCellPr id="1" uniqueName="1">
      <xmlPr mapId="8" xpath="/Pisemnost/DPFDP7/VetaW/@kc_vynprij_6" xmlDataType="decimal"/>
    </xmlCellPr>
  </singleXmlCell>
  <singleXmlCell id="519" r="B76" connectionId="0">
    <xmlCellPr id="1" uniqueName="1">
      <xmlPr mapId="8" xpath="/Pisemnost/DPFDP7/VetaD/@m_detiztpp3" xmlDataType="decimal"/>
    </xmlCellPr>
  </singleXmlCell>
  <singleXmlCell id="520" r="F76" connectionId="0">
    <xmlCellPr id="1" uniqueName="1">
      <xmlPr mapId="8" xpath="/Pisemnost/DPFDP7/VetaU/@kc_z_dpfmz10" xmlDataType="decimal"/>
    </xmlCellPr>
  </singleXmlCell>
  <singleXmlCell id="521" r="J76" connectionId="0">
    <xmlCellPr id="1" uniqueName="1">
      <xmlPr mapId="8" xpath="/Pisemnost/DPFDP7/VetaV/@uhrn_vydaje10" xmlDataType="decimal"/>
    </xmlCellPr>
  </singleXmlCell>
  <singleXmlCell id="522" r="N76" connectionId="0">
    <xmlCellPr id="1" uniqueName="1">
      <xmlPr mapId="8" xpath="/Pisemnost/DPFDP7/VetaW/@roz_od10" xmlDataType="decimal"/>
    </xmlCellPr>
  </singleXmlCell>
  <singleXmlCell id="523" r="B77" connectionId="0">
    <xmlCellPr id="1" uniqueName="1">
      <xmlPr mapId="8" xpath="/Pisemnost/DPFDP7/VetaD/@manz_d_nar" xmlDataType="string"/>
    </xmlCellPr>
  </singleXmlCell>
  <singleXmlCell id="524" r="F77" connectionId="0">
    <xmlCellPr id="1" uniqueName="1">
      <xmlPr mapId="8" xpath="/Pisemnost/DPFDP7/VetaU/@kc_z_dpfmz11" xmlDataType="decimal"/>
    </xmlCellPr>
  </singleXmlCell>
  <singleXmlCell id="525" r="J77" connectionId="0">
    <xmlCellPr id="1" uniqueName="1">
      <xmlPr mapId="8" xpath="/Pisemnost/DPFDP7/VetaV/@vyd9proc" xmlDataType="string"/>
    </xmlCellPr>
  </singleXmlCell>
  <singleXmlCell id="526" r="N77" connectionId="0">
    <xmlCellPr id="1" uniqueName="1">
      <xmlPr mapId="8" xpath="/Pisemnost/DPFDP7/VetaW/@kc_zakztr" xmlDataType="decimal"/>
    </xmlCellPr>
  </singleXmlCell>
  <singleXmlCell id="527" r="N78" connectionId="0">
    <xmlCellPr id="1" uniqueName="1">
      <xmlPr mapId="8" xpath="/Pisemnost/DPFDP7/VetaW/@proc_od10" xmlDataType="decimal"/>
    </xmlCellPr>
  </singleXmlCell>
  <singleXmlCell id="528" r="N79" connectionId="0">
    <xmlCellPr id="1" uniqueName="1">
      <xmlPr mapId="8" xpath="/Pisemnost/DPFDP7/VetaW/@da_vzahod9" xmlDataType="decimal"/>
    </xmlCellPr>
  </singleXmlCell>
  <singleXmlCell id="529" r="B80" connectionId="0">
    <xmlCellPr id="1" uniqueName="1">
      <xmlPr mapId="8" xpath="/Pisemnost/DPFDP7/VetaD/@da_samzakl" xmlDataType="decimal"/>
    </xmlCellPr>
  </singleXmlCell>
  <singleXmlCell id="530" r="B81" connectionId="0">
    <xmlCellPr id="1" uniqueName="1">
      <xmlPr mapId="8" xpath="/Pisemnost/DPFDP7/VetaD/@kc_dan_celk" xmlDataType="decimal"/>
    </xmlCellPr>
  </singleXmlCell>
  <singleXmlCell id="531" r="B82" connectionId="0">
    <xmlCellPr id="1" uniqueName="1">
      <xmlPr mapId="8" xpath="/Pisemnost/DPFDP7/VetaD/@kc_dan_po_db" xmlDataType="decimal"/>
    </xmlCellPr>
  </singleXmlCell>
  <singleXmlCell id="532" r="B83" connectionId="0">
    <xmlCellPr id="1" uniqueName="1">
      <xmlPr mapId="8" xpath="/Pisemnost/DPFDP7/VetaD/@kc_db_po_odpd" xmlDataType="decimal"/>
    </xmlCellPr>
  </singleXmlCell>
  <singleXmlCell id="533" r="B89" connectionId="0">
    <xmlCellPr id="1" uniqueName="1">
      <xmlPr mapId="8" xpath="/Pisemnost/DPFDP7/VetaN/@c_nest_uctu" xmlDataType="string"/>
    </xmlCellPr>
  </singleXmlCell>
  <singleXmlCell id="534" r="B90" connectionId="0">
    <xmlCellPr id="1" uniqueName="1">
      <xmlPr mapId="8" xpath="/Pisemnost/DPFDP7/VetaN/@id_banky" xmlDataType="string"/>
    </xmlCellPr>
  </singleXmlCell>
  <singleXmlCell id="535" r="B91" connectionId="0">
    <xmlCellPr id="1" uniqueName="1">
      <xmlPr mapId="8" xpath="/Pisemnost/DPFDP7/VetaN/@k_meny_uctu" xmlDataType="string"/>
    </xmlCellPr>
  </singleXmlCell>
  <singleXmlCell id="536" r="B92" connectionId="0">
    <xmlCellPr id="1" uniqueName="1">
      <xmlPr mapId="8" xpath="/Pisemnost/DPFDP7/VetaN/@k_stat_banky" xmlDataType="string"/>
    </xmlCellPr>
  </singleXmlCell>
  <singleXmlCell id="537" r="B93" connectionId="0">
    <xmlCellPr id="1" uniqueName="1">
      <xmlPr mapId="8" xpath="/Pisemnost/DPFDP7/VetaN/@kc_preplatek" xmlDataType="decimal"/>
    </xmlCellPr>
  </singleXmlCell>
  <singleXmlCell id="538" r="B94" connectionId="0">
    <xmlCellPr id="1" uniqueName="1">
      <xmlPr mapId="8" xpath="/Pisemnost/DPFDP7/VetaN/@mesto_banky" xmlDataType="string"/>
    </xmlCellPr>
  </singleXmlCell>
  <singleXmlCell id="539" r="B95" connectionId="0">
    <xmlCellPr id="1" uniqueName="1">
      <xmlPr mapId="8" xpath="/Pisemnost/DPFDP7/VetaN/@mesto_prij" xmlDataType="string"/>
    </xmlCellPr>
  </singleXmlCell>
  <singleXmlCell id="540" r="B96" connectionId="0">
    <xmlCellPr id="1" uniqueName="1">
      <xmlPr mapId="8" xpath="/Pisemnost/DPFDP7/VetaN/@naz_adr_banky" xmlDataType="string"/>
    </xmlCellPr>
  </singleXmlCell>
  <singleXmlCell id="541" r="B97" connectionId="0">
    <xmlCellPr id="1" uniqueName="1">
      <xmlPr mapId="8" xpath="/Pisemnost/DPFDP7/VetaN/@nazev_prij" xmlDataType="string"/>
    </xmlCellPr>
  </singleXmlCell>
  <singleXmlCell id="542" r="B98" connectionId="0">
    <xmlCellPr id="1" uniqueName="1">
      <xmlPr mapId="8" xpath="/Pisemnost/DPFDP7/VetaN/@psc_banky" xmlDataType="string"/>
    </xmlCellPr>
  </singleXmlCell>
  <singleXmlCell id="543" r="B99" connectionId="0">
    <xmlCellPr id="1" uniqueName="1">
      <xmlPr mapId="8" xpath="/Pisemnost/DPFDP7/VetaN/@psc_prij" xmlDataType="string"/>
    </xmlCellPr>
  </singleXmlCell>
  <singleXmlCell id="544" r="B100" connectionId="0">
    <xmlCellPr id="1" uniqueName="1">
      <xmlPr mapId="8" xpath="/Pisemnost/DPFDP7/VetaN/@region_banky" xmlDataType="string"/>
    </xmlCellPr>
  </singleXmlCell>
  <singleXmlCell id="545" r="B101" connectionId="0">
    <xmlCellPr id="1" uniqueName="1">
      <xmlPr mapId="8" xpath="/Pisemnost/DPFDP7/VetaN/@region_prij" xmlDataType="string"/>
    </xmlCellPr>
  </singleXmlCell>
  <singleXmlCell id="546" r="B102" connectionId="0">
    <xmlCellPr id="1" uniqueName="1">
      <xmlPr mapId="8" xpath="/Pisemnost/DPFDP7/VetaN/@stat_prij" xmlDataType="string"/>
    </xmlCellPr>
  </singleXmlCell>
  <singleXmlCell id="547" r="B103" connectionId="0">
    <xmlCellPr id="1" uniqueName="1">
      <xmlPr mapId="8" xpath="/Pisemnost/DPFDP7/VetaN/@sym_plvmpv" xmlDataType="string"/>
    </xmlCellPr>
  </singleXmlCell>
  <singleXmlCell id="548" r="B104" connectionId="0">
    <xmlCellPr id="1" uniqueName="1">
      <xmlPr mapId="8" xpath="/Pisemnost/DPFDP7/VetaN/@ulice_banky" xmlDataType="string"/>
    </xmlCellPr>
  </singleXmlCell>
  <singleXmlCell id="549" r="B105" connectionId="0">
    <xmlCellPr id="1" uniqueName="1">
      <xmlPr mapId="8" xpath="/Pisemnost/DPFDP7/VetaN/@ulice_prij" xmlDataType="string"/>
    </xmlCellPr>
  </singleXmlCell>
  <singleXmlCell id="550" r="B106" connectionId="0">
    <xmlCellPr id="1" uniqueName="1">
      <xmlPr mapId="8" xpath="/Pisemnost/DPFDP7/VetaN/@zp_vrac" xmlDataType="string"/>
    </xmlCellPr>
  </singleXmlCell>
  <singleXmlCell id="551" r="B107" connectionId="0">
    <xmlCellPr id="1" uniqueName="1">
      <xmlPr mapId="8" xpath="/Pisemnost/DPFDP7/VetaN/@zvp_c_komds" xmlDataType="string"/>
    </xmlCellPr>
  </singleXmlCell>
  <singleXmlCell id="552" r="B108" connectionId="0">
    <xmlCellPr id="1" uniqueName="1">
      <xmlPr mapId="8" xpath="/Pisemnost/DPFDP7/VetaN/@zvp_c_obce" xmlDataType="decimal"/>
    </xmlCellPr>
  </singleXmlCell>
  <singleXmlCell id="553" r="B109" connectionId="0">
    <xmlCellPr id="1" uniqueName="1">
      <xmlPr mapId="8" xpath="/Pisemnost/DPFDP7/VetaN/@zvp_c_orient" xmlDataType="string"/>
    </xmlCellPr>
  </singleXmlCell>
  <singleXmlCell id="554" r="B110" connectionId="0">
    <xmlCellPr id="1" uniqueName="1">
      <xmlPr mapId="8" xpath="/Pisemnost/DPFDP7/VetaN/@zvp_c_pop" xmlDataType="decimal"/>
    </xmlCellPr>
  </singleXmlCell>
  <singleXmlCell id="555" r="B111" connectionId="0">
    <xmlCellPr id="1" uniqueName="1">
      <xmlPr mapId="8" xpath="/Pisemnost/DPFDP7/VetaN/@zvp_jmeno" xmlDataType="string"/>
    </xmlCellPr>
  </singleXmlCell>
  <singleXmlCell id="556" r="B112" connectionId="0">
    <xmlCellPr id="1" uniqueName="1">
      <xmlPr mapId="8" xpath="/Pisemnost/DPFDP7/VetaN/@zvp_k_bank" xmlDataType="decimal"/>
    </xmlCellPr>
  </singleXmlCell>
  <singleXmlCell id="557" r="B113" connectionId="0">
    <xmlCellPr id="1" uniqueName="1">
      <xmlPr mapId="8" xpath="/Pisemnost/DPFDP7/VetaN/@zvp_naz_bank" xmlDataType="string"/>
    </xmlCellPr>
  </singleXmlCell>
  <singleXmlCell id="558" r="B114" connectionId="0">
    <xmlCellPr id="1" uniqueName="1">
      <xmlPr mapId="8" xpath="/Pisemnost/DPFDP7/VetaN/@zvp_naz_obce" xmlDataType="string"/>
    </xmlCellPr>
  </singleXmlCell>
  <singleXmlCell id="559" r="B115" connectionId="0">
    <xmlCellPr id="1" uniqueName="1">
      <xmlPr mapId="8" xpath="/Pisemnost/DPFDP7/VetaN/@zvp_pbu" xmlDataType="decimal"/>
    </xmlCellPr>
  </singleXmlCell>
  <singleXmlCell id="560" r="B116" connectionId="0">
    <xmlCellPr id="1" uniqueName="1">
      <xmlPr mapId="8" xpath="/Pisemnost/DPFDP7/VetaN/@zvp_prijmeni" xmlDataType="string"/>
    </xmlCellPr>
  </singleXmlCell>
  <singleXmlCell id="561" r="B117" connectionId="0">
    <xmlCellPr id="1" uniqueName="1">
      <xmlPr mapId="8" xpath="/Pisemnost/DPFDP7/VetaN/@zvp_psc" xmlDataType="decimal"/>
    </xmlCellPr>
  </singleXmlCell>
  <singleXmlCell id="562" r="B118" connectionId="0">
    <xmlCellPr id="1" uniqueName="1">
      <xmlPr mapId="8" xpath="/Pisemnost/DPFDP7/VetaN/@zvp_spec_symb" xmlDataType="string"/>
    </xmlCellPr>
  </singleXmlCell>
  <singleXmlCell id="563" r="B119" connectionId="0">
    <xmlCellPr id="1" uniqueName="1">
      <xmlPr mapId="8" xpath="/Pisemnost/DPFDP7/VetaN/@zvp_titul" xmlDataType="string"/>
    </xmlCellPr>
  </singleXmlCell>
  <singleXmlCell id="564" r="B120" connectionId="0">
    <xmlCellPr id="1" uniqueName="1">
      <xmlPr mapId="8" xpath="/Pisemnost/DPFDP7/VetaN/@zvp_ulice" xmlDataType="string"/>
    </xmlCellPr>
  </singleXmlCell>
  <singleXmlCell id="2" r="N18" connectionId="0">
    <xmlCellPr id="1" uniqueName="kc_sleva_exe">
      <xmlPr mapId="8" xpath="/Pisemnost/DPFDP7/VetaD/@kc_sleva_exe" xmlDataType="decimal"/>
    </xmlCellPr>
  </singleXmlCell>
  <singleXmlCell id="3" r="N19" connectionId="0">
    <xmlCellPr id="1" uniqueName="kc_op15_inpr">
      <xmlPr mapId="8" xpath="/Pisemnost/DPFDP7/VetaS/@kc_op15_inpr" xmlDataType="decimal"/>
    </xmlCellPr>
  </singleXmlCell>
  <singleXmlCell id="4" r="N20" connectionId="0">
    <xmlCellPr id="1" uniqueName="kc_op15_pece">
      <xmlPr mapId="8" xpath="/Pisemnost/DPFDP7/VetaS/@kc_op15_pece" xmlDataType="decimal"/>
    </xmlCellPr>
  </singleXmlCell>
  <singleXmlCell id="5" r="J55" connectionId="0">
    <xmlCellPr id="1" uniqueName="usn_exe">
      <xmlPr mapId="8" xpath="/Pisemnost/DPFDP7/VetaB/@usn_exe" xmlDataType="decimal"/>
    </xmlCellPr>
  </singleXmlCell>
  <singleXmlCell id="6" r="J56" connectionId="0">
    <xmlCellPr id="1" uniqueName="potv_inpr">
      <xmlPr mapId="8" xpath="/Pisemnost/DPFDP7/VetaB/@potv_inpr" xmlDataType="decimal"/>
    </xmlCellPr>
  </singleXmlCell>
  <singleXmlCell id="7" r="J57" connectionId="0">
    <xmlCellPr id="1" uniqueName="potv_pece">
      <xmlPr mapId="8" xpath="/Pisemnost/DPFDP7/VetaB/@potv_pece"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5.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6.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comments" Target="../comments14.xml" /><Relationship Id="rId2" Type="http://schemas.openxmlformats.org/officeDocument/2006/relationships/vmlDrawing" Target="../drawings/vmlDrawing7.vml" /><Relationship Id="rId3"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vmlDrawing" Target="../drawings/vmlDrawing8.vml" /><Relationship Id="rId3"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spr.mfcr.cz/pmd/epo/formulare?nacteni=1" TargetMode="Externa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1.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2.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List8"/>
  <dimension ref="A1:Z718"/>
  <sheetViews>
    <sheetView workbookViewId="0" topLeftCell="A390">
      <selection pane="topLeft" activeCell="N715" sqref="N715"/>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266"/>
      <c r="B1" s="266"/>
      <c r="C1" s="266"/>
      <c r="D1" s="267"/>
      <c r="E1" s="266"/>
      <c r="F1" s="266"/>
      <c r="G1" s="266"/>
      <c r="H1" s="266"/>
      <c r="I1" s="266"/>
      <c r="O1" s="268"/>
    </row>
    <row r="2" spans="1:17" ht="12.75" customHeight="1" thickBot="1">
      <c r="A2" s="266"/>
      <c r="B2" s="269" t="s">
        <v>658</v>
      </c>
      <c r="C2" s="270"/>
      <c r="D2" s="271"/>
      <c r="E2" s="272" t="s">
        <v>659</v>
      </c>
      <c r="F2" s="273"/>
      <c r="G2" s="272">
        <f>COUNTIF(H3:H210,"?*")</f>
        <v>202</v>
      </c>
      <c r="H2" s="274"/>
      <c r="I2" s="266"/>
      <c r="J2" s="275" t="s">
        <v>660</v>
      </c>
      <c r="M2" s="276" t="s">
        <v>661</v>
      </c>
      <c r="N2" s="277" t="s">
        <v>662</v>
      </c>
      <c r="O2" s="278" t="s">
        <v>663</v>
      </c>
      <c r="P2" s="279"/>
      <c r="Q2" s="275"/>
    </row>
    <row r="3" spans="1:26" ht="12.75" customHeight="1">
      <c r="A3" s="266"/>
      <c r="B3" s="280" t="s">
        <v>664</v>
      </c>
      <c r="C3" s="281">
        <v>451</v>
      </c>
      <c r="D3" s="282">
        <f>IF(ISNUMBER(SEARCH(ZAKL_DATA!$B$14,E3)),MAX($D$2:D2)+1,0)</f>
        <v>1</v>
      </c>
      <c r="E3" s="283" t="s">
        <v>665</v>
      </c>
      <c r="F3" s="284">
        <v>2001</v>
      </c>
      <c r="G3" s="285"/>
      <c r="H3" s="286" t="str">
        <f>IFERROR(VLOOKUP(ROWS($H$3:H3),$D$3:$E$204,2,0),"")</f>
        <v>PRAHA 1</v>
      </c>
      <c r="I3" s="266"/>
      <c r="J3" s="287" t="s">
        <v>666</v>
      </c>
      <c r="K3" s="288" t="s">
        <v>146</v>
      </c>
      <c r="M3" s="289">
        <f>IF(ISNUMBER(SEARCH(ZAKL_DATA!$B$29,N3)),MAX($M$2:M2)+1,0)</f>
        <v>1</v>
      </c>
      <c r="N3" s="482" t="s">
        <v>1729</v>
      </c>
      <c r="O3" s="482" t="s">
        <v>2573</v>
      </c>
      <c r="Q3" s="291" t="str">
        <f>IFERROR(VLOOKUP(ROWS($Q$3:Q3),$M$3:$N$718,2,0),"")</f>
        <v>Administrativní a kancelářské činnosti</v>
      </c>
      <c r="R3">
        <f>IF(ISNUMBER(SEARCH('1Př1'!$A$32,N3)),MAX($M$2:M2)+1,0)</f>
        <v>1</v>
      </c>
      <c r="S3" s="290" t="s">
        <v>667</v>
      </c>
      <c r="T3" t="str">
        <f>IFERROR(VLOOKUP(ROWS($T$3:T3),$R$3:$S$718,2,0),"")</f>
        <v>Rostlinná a živočišná výroba, myslivost a související činnosti</v>
      </c>
      <c r="U3">
        <f>IF(ISNUMBER(SEARCH('1Př1'!$A$33,N3)),MAX($M$2:M2)+1,0)</f>
        <v>1</v>
      </c>
      <c r="V3" s="290" t="s">
        <v>667</v>
      </c>
      <c r="W3" t="str">
        <f>IFERROR(VLOOKUP(ROWS($W$3:W3),$U$3:$V$718,2,0),"")</f>
        <v>Rostlinná a živočišná výroba, myslivost a související činnosti</v>
      </c>
      <c r="X3">
        <f>IF(ISNUMBER(SEARCH('1Př1'!$A$34,N3)),MAX($M$2:M2)+1,0)</f>
        <v>1</v>
      </c>
      <c r="Y3" s="290" t="s">
        <v>667</v>
      </c>
      <c r="Z3" t="str">
        <f>IFERROR(VLOOKUP(ROWS($Z$3:Z3),$X$3:$Y$718,2,0),"")</f>
        <v>Rostlinná a živočišná výroba, myslivost a související činnosti</v>
      </c>
    </row>
    <row r="4" spans="1:26" ht="12.75" customHeight="1">
      <c r="A4" s="266"/>
      <c r="B4" s="292" t="s">
        <v>668</v>
      </c>
      <c r="C4" s="293">
        <v>452</v>
      </c>
      <c r="D4" s="282">
        <f>IF(ISNUMBER(SEARCH(ZAKL_DATA!$B$14,E4)),MAX($D$2:D3)+1,0)</f>
        <v>2</v>
      </c>
      <c r="E4" s="294" t="s">
        <v>669</v>
      </c>
      <c r="F4" s="295">
        <v>2002</v>
      </c>
      <c r="G4" s="296"/>
      <c r="H4" s="297" t="str">
        <f>IFERROR(VLOOKUP(ROWS($H$3:H4),$D$3:$E$204,2,0),"")</f>
        <v>PRAHA 2</v>
      </c>
      <c r="I4" s="266"/>
      <c r="J4" s="298" t="s">
        <v>670</v>
      </c>
      <c r="K4" s="288" t="s">
        <v>671</v>
      </c>
      <c r="M4" s="289">
        <f>IF(ISNUMBER(SEARCH(ZAKL_DATA!$B$29,N4)),MAX($M$2:M3)+1,0)</f>
        <v>2</v>
      </c>
      <c r="N4" s="482" t="s">
        <v>2574</v>
      </c>
      <c r="O4" s="482" t="s">
        <v>2575</v>
      </c>
      <c r="Q4" s="291" t="str">
        <f>IFERROR(VLOOKUP(ROWS($Q$3:Q4),$M$3:$N$718,2,0),"")</f>
        <v>Ambulantní nebo terénní sociální služby pro seniory nebo osoby se zdravotním postižením</v>
      </c>
      <c r="R4">
        <f>IF(ISNUMBER(SEARCH('1Př1'!$A$32,N4)),MAX($M$2:M3)+1,0)</f>
        <v>2</v>
      </c>
      <c r="S4" s="290" t="s">
        <v>672</v>
      </c>
      <c r="T4" t="str">
        <f>IFERROR(VLOOKUP(ROWS($T$3:T4),$R$3:$S$718,2,0),"")</f>
        <v>Lesnictví a těžba dřeva</v>
      </c>
      <c r="U4">
        <f>IF(ISNUMBER(SEARCH('1Př1'!$A$33,N4)),MAX($M$2:M3)+1,0)</f>
        <v>2</v>
      </c>
      <c r="V4" s="290" t="s">
        <v>672</v>
      </c>
      <c r="W4" t="str">
        <f>IFERROR(VLOOKUP(ROWS($W$3:W4),$U$3:$V$718,2,0),"")</f>
        <v>Lesnictví a těžba dřeva</v>
      </c>
      <c r="X4">
        <f>IF(ISNUMBER(SEARCH('1Př1'!$A$34,N4)),MAX($M$2:M3)+1,0)</f>
        <v>2</v>
      </c>
      <c r="Y4" s="290" t="s">
        <v>672</v>
      </c>
      <c r="Z4" t="str">
        <f>IFERROR(VLOOKUP(ROWS($Z$3:Z4),$X$3:$Y$718,2,0),"")</f>
        <v>Lesnictví a těžba dřeva</v>
      </c>
    </row>
    <row r="5" spans="1:26" ht="12.75" customHeight="1">
      <c r="A5" s="266"/>
      <c r="B5" s="292" t="s">
        <v>673</v>
      </c>
      <c r="C5" s="293">
        <v>453</v>
      </c>
      <c r="D5" s="282">
        <f>IF(ISNUMBER(SEARCH(ZAKL_DATA!$B$14,E5)),MAX($D$2:D4)+1,0)</f>
        <v>3</v>
      </c>
      <c r="E5" s="294" t="s">
        <v>674</v>
      </c>
      <c r="F5" s="295">
        <v>2003</v>
      </c>
      <c r="G5" s="296"/>
      <c r="H5" s="297" t="str">
        <f>IFERROR(VLOOKUP(ROWS($H$3:H5),$D$3:$E$204,2,0),"")</f>
        <v>PRAHA 3</v>
      </c>
      <c r="I5" s="266"/>
      <c r="J5" s="298" t="s">
        <v>675</v>
      </c>
      <c r="K5" s="288" t="s">
        <v>676</v>
      </c>
      <c r="M5" s="289">
        <f>IF(ISNUMBER(SEARCH(ZAKL_DATA!$B$29,N5)),MAX($M$2:M4)+1,0)</f>
        <v>3</v>
      </c>
      <c r="N5" s="482" t="s">
        <v>2104</v>
      </c>
      <c r="O5" s="482" t="s">
        <v>2576</v>
      </c>
      <c r="Q5" s="291" t="str">
        <f>IFERROR(VLOOKUP(ROWS($Q$3:Q5),$M$3:$N$718,2,0),"")</f>
        <v>Architektonické činnosti</v>
      </c>
      <c r="R5">
        <f>IF(ISNUMBER(SEARCH('1Př1'!$A$32,N5)),MAX($M$2:M4)+1,0)</f>
        <v>3</v>
      </c>
      <c r="S5" s="290" t="s">
        <v>677</v>
      </c>
      <c r="T5" t="str">
        <f>IFERROR(VLOOKUP(ROWS($T$3:T5),$R$3:$S$718,2,0),"")</f>
        <v>Rybolov a akvakultura</v>
      </c>
      <c r="U5">
        <f>IF(ISNUMBER(SEARCH('1Př1'!$A$33,N5)),MAX($M$2:M4)+1,0)</f>
        <v>3</v>
      </c>
      <c r="V5" s="290" t="s">
        <v>677</v>
      </c>
      <c r="W5" t="str">
        <f>IFERROR(VLOOKUP(ROWS($W$3:W5),$U$3:$V$718,2,0),"")</f>
        <v>Rybolov a akvakultura</v>
      </c>
      <c r="X5">
        <f>IF(ISNUMBER(SEARCH('1Př1'!$A$34,N5)),MAX($M$2:M4)+1,0)</f>
        <v>3</v>
      </c>
      <c r="Y5" s="290" t="s">
        <v>677</v>
      </c>
      <c r="Z5" t="str">
        <f>IFERROR(VLOOKUP(ROWS($Z$3:Z5),$X$3:$Y$718,2,0),"")</f>
        <v>Rybolov a akvakultura</v>
      </c>
    </row>
    <row r="6" spans="1:26" ht="12.75" customHeight="1">
      <c r="A6" s="266"/>
      <c r="B6" s="292" t="s">
        <v>678</v>
      </c>
      <c r="C6" s="293">
        <v>454</v>
      </c>
      <c r="D6" s="282">
        <f>IF(ISNUMBER(SEARCH(ZAKL_DATA!$B$14,E6)),MAX($D$2:D5)+1,0)</f>
        <v>4</v>
      </c>
      <c r="E6" s="294" t="s">
        <v>679</v>
      </c>
      <c r="F6" s="295">
        <v>2004</v>
      </c>
      <c r="G6" s="296"/>
      <c r="H6" s="297" t="str">
        <f>IFERROR(VLOOKUP(ROWS($H$3:H6),$D$3:$E$204,2,0),"")</f>
        <v>PRAHA 4</v>
      </c>
      <c r="I6" s="266"/>
      <c r="J6" s="299" t="s">
        <v>680</v>
      </c>
      <c r="K6" s="288" t="s">
        <v>681</v>
      </c>
      <c r="M6" s="289">
        <f>IF(ISNUMBER(SEARCH(ZAKL_DATA!$B$29,N6)),MAX($M$2:M5)+1,0)</f>
        <v>4</v>
      </c>
      <c r="N6" s="482" t="s">
        <v>2123</v>
      </c>
      <c r="O6" s="482" t="s">
        <v>2577</v>
      </c>
      <c r="Q6" s="291" t="str">
        <f>IFERROR(VLOOKUP(ROWS($Q$3:Q6),$M$3:$N$718,2,0),"")</f>
        <v>Balicí činnosti</v>
      </c>
      <c r="R6">
        <f>IF(ISNUMBER(SEARCH('1Př1'!$A$32,N6)),MAX($M$2:M5)+1,0)</f>
        <v>4</v>
      </c>
      <c r="S6" s="290" t="s">
        <v>682</v>
      </c>
      <c r="T6" t="str">
        <f>IFERROR(VLOOKUP(ROWS($T$3:T6),$R$3:$S$718,2,0),"")</f>
        <v>Těžba a úprava černého a hnědého uhlí</v>
      </c>
      <c r="U6">
        <f>IF(ISNUMBER(SEARCH('1Př1'!$A$33,N6)),MAX($M$2:M5)+1,0)</f>
        <v>4</v>
      </c>
      <c r="V6" s="290" t="s">
        <v>682</v>
      </c>
      <c r="W6" t="str">
        <f>IFERROR(VLOOKUP(ROWS($W$3:W6),$U$3:$V$718,2,0),"")</f>
        <v>Těžba a úprava černého a hnědého uhlí</v>
      </c>
      <c r="X6">
        <f>IF(ISNUMBER(SEARCH('1Př1'!$A$34,N6)),MAX($M$2:M5)+1,0)</f>
        <v>4</v>
      </c>
      <c r="Y6" s="290" t="s">
        <v>682</v>
      </c>
      <c r="Z6" t="str">
        <f>IFERROR(VLOOKUP(ROWS($Z$3:Z6),$X$3:$Y$718,2,0),"")</f>
        <v>Těžba a úprava černého a hnědého uhlí</v>
      </c>
    </row>
    <row r="7" spans="1:26" ht="12.75" customHeight="1">
      <c r="A7" s="266"/>
      <c r="B7" s="292" t="s">
        <v>683</v>
      </c>
      <c r="C7" s="293">
        <v>455</v>
      </c>
      <c r="D7" s="282">
        <f>IF(ISNUMBER(SEARCH(ZAKL_DATA!$B$14,E7)),MAX($D$2:D6)+1,0)</f>
        <v>5</v>
      </c>
      <c r="E7" s="294" t="s">
        <v>684</v>
      </c>
      <c r="F7" s="295">
        <v>2005</v>
      </c>
      <c r="G7" s="296"/>
      <c r="H7" s="297" t="str">
        <f>IFERROR(VLOOKUP(ROWS($H$3:H7),$D$3:$E$204,2,0),"")</f>
        <v>PRAHA 5</v>
      </c>
      <c r="I7" s="266"/>
      <c r="J7" s="299" t="s">
        <v>685</v>
      </c>
      <c r="K7" s="288" t="s">
        <v>686</v>
      </c>
      <c r="M7" s="289">
        <f>IF(ISNUMBER(SEARCH(ZAKL_DATA!$B$29,N7)),MAX($M$2:M6)+1,0)</f>
        <v>5</v>
      </c>
      <c r="N7" s="482" t="s">
        <v>2578</v>
      </c>
      <c r="O7" s="482" t="s">
        <v>2579</v>
      </c>
      <c r="Q7" s="291" t="str">
        <f>IFERROR(VLOOKUP(ROWS($Q$3:Q7),$M$3:$N$718,2,0),"")</f>
        <v>Bezpečnostní činnosti j. n.</v>
      </c>
      <c r="R7">
        <f>IF(ISNUMBER(SEARCH('1Př1'!$A$32,N7)),MAX($M$2:M6)+1,0)</f>
        <v>5</v>
      </c>
      <c r="S7" s="290" t="s">
        <v>687</v>
      </c>
      <c r="T7" t="str">
        <f>IFERROR(VLOOKUP(ROWS($T$3:T7),$R$3:$S$718,2,0),"")</f>
        <v>Těžba ropy a zemního plynu</v>
      </c>
      <c r="U7">
        <f>IF(ISNUMBER(SEARCH('1Př1'!$A$33,N7)),MAX($M$2:M6)+1,0)</f>
        <v>5</v>
      </c>
      <c r="V7" s="290" t="s">
        <v>687</v>
      </c>
      <c r="W7" t="str">
        <f>IFERROR(VLOOKUP(ROWS($W$3:W7),$U$3:$V$718,2,0),"")</f>
        <v>Těžba ropy a zemního plynu</v>
      </c>
      <c r="X7">
        <f>IF(ISNUMBER(SEARCH('1Př1'!$A$34,N7)),MAX($M$2:M6)+1,0)</f>
        <v>5</v>
      </c>
      <c r="Y7" s="290" t="s">
        <v>687</v>
      </c>
      <c r="Z7" t="str">
        <f>IFERROR(VLOOKUP(ROWS($Z$3:Z7),$X$3:$Y$718,2,0),"")</f>
        <v>Těžba ropy a zemního plynu</v>
      </c>
    </row>
    <row r="8" spans="1:26" ht="12.75" customHeight="1">
      <c r="A8" s="266"/>
      <c r="B8" s="292" t="s">
        <v>688</v>
      </c>
      <c r="C8" s="293">
        <v>456</v>
      </c>
      <c r="D8" s="282">
        <f>IF(ISNUMBER(SEARCH(ZAKL_DATA!$B$14,E8)),MAX($D$2:D7)+1,0)</f>
        <v>6</v>
      </c>
      <c r="E8" s="294" t="s">
        <v>689</v>
      </c>
      <c r="F8" s="295">
        <v>2006</v>
      </c>
      <c r="G8" s="296"/>
      <c r="H8" s="297" t="str">
        <f>IFERROR(VLOOKUP(ROWS($H$3:H8),$D$3:$E$204,2,0),"")</f>
        <v>PRAHA 6</v>
      </c>
      <c r="I8" s="266"/>
      <c r="J8" s="299" t="s">
        <v>690</v>
      </c>
      <c r="K8" s="288" t="s">
        <v>691</v>
      </c>
      <c r="M8" s="289">
        <f>IF(ISNUMBER(SEARCH(ZAKL_DATA!$B$29,N8)),MAX($M$2:M7)+1,0)</f>
        <v>6</v>
      </c>
      <c r="N8" s="482" t="s">
        <v>2580</v>
      </c>
      <c r="O8" s="482" t="s">
        <v>2581</v>
      </c>
      <c r="Q8" s="291" t="str">
        <f>IFERROR(VLOOKUP(ROWS($Q$3:Q8),$M$3:$N$718,2,0),"")</f>
        <v>Cateringové činnosti</v>
      </c>
      <c r="R8">
        <f>IF(ISNUMBER(SEARCH('1Př1'!$A$32,N8)),MAX($M$2:M7)+1,0)</f>
        <v>6</v>
      </c>
      <c r="S8" s="290" t="s">
        <v>692</v>
      </c>
      <c r="T8" t="str">
        <f>IFERROR(VLOOKUP(ROWS($T$3:T8),$R$3:$S$718,2,0),"")</f>
        <v>Těžba a úprava rud</v>
      </c>
      <c r="U8">
        <f>IF(ISNUMBER(SEARCH('1Př1'!$A$33,N8)),MAX($M$2:M7)+1,0)</f>
        <v>6</v>
      </c>
      <c r="V8" s="290" t="s">
        <v>692</v>
      </c>
      <c r="W8" t="str">
        <f>IFERROR(VLOOKUP(ROWS($W$3:W8),$U$3:$V$718,2,0),"")</f>
        <v>Těžba a úprava rud</v>
      </c>
      <c r="X8">
        <f>IF(ISNUMBER(SEARCH('1Př1'!$A$34,N8)),MAX($M$2:M7)+1,0)</f>
        <v>6</v>
      </c>
      <c r="Y8" s="290" t="s">
        <v>692</v>
      </c>
      <c r="Z8" t="str">
        <f>IFERROR(VLOOKUP(ROWS($Z$3:Z8),$X$3:$Y$718,2,0),"")</f>
        <v>Těžba a úprava rud</v>
      </c>
    </row>
    <row r="9" spans="1:26" ht="12.75" customHeight="1">
      <c r="A9" s="266"/>
      <c r="B9" s="292" t="s">
        <v>693</v>
      </c>
      <c r="C9" s="293">
        <v>457</v>
      </c>
      <c r="D9" s="282">
        <f>IF(ISNUMBER(SEARCH(ZAKL_DATA!$B$14,E9)),MAX($D$2:D8)+1,0)</f>
        <v>7</v>
      </c>
      <c r="E9" s="294" t="s">
        <v>694</v>
      </c>
      <c r="F9" s="295">
        <v>2007</v>
      </c>
      <c r="G9" s="296"/>
      <c r="H9" s="297" t="str">
        <f>IFERROR(VLOOKUP(ROWS($H$3:H9),$D$3:$E$204,2,0),"")</f>
        <v>PRAHA 7</v>
      </c>
      <c r="I9" s="266"/>
      <c r="J9" s="299" t="s">
        <v>695</v>
      </c>
      <c r="K9" s="288" t="s">
        <v>696</v>
      </c>
      <c r="M9" s="289">
        <f>IF(ISNUMBER(SEARCH(ZAKL_DATA!$B$29,N9)),MAX($M$2:M8)+1,0)</f>
        <v>7</v>
      </c>
      <c r="N9" s="482" t="s">
        <v>2097</v>
      </c>
      <c r="O9" s="482" t="s">
        <v>2582</v>
      </c>
      <c r="Q9" s="291" t="str">
        <f>IFERROR(VLOOKUP(ROWS($Q$3:Q9),$M$3:$N$718,2,0),"")</f>
        <v>Centrální bankovnictví</v>
      </c>
      <c r="R9">
        <f>IF(ISNUMBER(SEARCH('1Př1'!$A$32,N9)),MAX($M$2:M8)+1,0)</f>
        <v>7</v>
      </c>
      <c r="S9" s="290" t="s">
        <v>697</v>
      </c>
      <c r="T9" t="str">
        <f>IFERROR(VLOOKUP(ROWS($T$3:T9),$R$3:$S$718,2,0),"")</f>
        <v>Ostatní těžba a dobývání</v>
      </c>
      <c r="U9">
        <f>IF(ISNUMBER(SEARCH('1Př1'!$A$33,N9)),MAX($M$2:M8)+1,0)</f>
        <v>7</v>
      </c>
      <c r="V9" s="290" t="s">
        <v>697</v>
      </c>
      <c r="W9" t="str">
        <f>IFERROR(VLOOKUP(ROWS($W$3:W9),$U$3:$V$718,2,0),"")</f>
        <v>Ostatní těžba a dobývání</v>
      </c>
      <c r="X9">
        <f>IF(ISNUMBER(SEARCH('1Př1'!$A$34,N9)),MAX($M$2:M8)+1,0)</f>
        <v>7</v>
      </c>
      <c r="Y9" s="290" t="s">
        <v>697</v>
      </c>
      <c r="Z9" t="str">
        <f>IFERROR(VLOOKUP(ROWS($Z$3:Z9),$X$3:$Y$718,2,0),"")</f>
        <v>Ostatní těžba a dobývání</v>
      </c>
    </row>
    <row r="10" spans="1:26" ht="12.75" customHeight="1">
      <c r="A10" s="266"/>
      <c r="B10" s="292" t="s">
        <v>698</v>
      </c>
      <c r="C10" s="293">
        <v>458</v>
      </c>
      <c r="D10" s="282">
        <f>IF(ISNUMBER(SEARCH(ZAKL_DATA!$B$14,E10)),MAX($D$2:D9)+1,0)</f>
        <v>8</v>
      </c>
      <c r="E10" s="294" t="s">
        <v>699</v>
      </c>
      <c r="F10" s="295">
        <v>2008</v>
      </c>
      <c r="G10" s="296"/>
      <c r="H10" s="297" t="str">
        <f>IFERROR(VLOOKUP(ROWS($H$3:H10),$D$3:$E$204,2,0),"")</f>
        <v>PRAHA 8</v>
      </c>
      <c r="I10" s="266"/>
      <c r="J10" s="299" t="s">
        <v>700</v>
      </c>
      <c r="K10" s="288" t="s">
        <v>701</v>
      </c>
      <c r="M10" s="289">
        <f>IF(ISNUMBER(SEARCH(ZAKL_DATA!$B$29,N10)),MAX($M$2:M9)+1,0)</f>
        <v>8</v>
      </c>
      <c r="N10" s="482" t="s">
        <v>2583</v>
      </c>
      <c r="O10" s="482" t="s">
        <v>2584</v>
      </c>
      <c r="Q10" s="291" t="str">
        <f>IFERROR(VLOOKUP(ROWS($Q$3:Q10),$M$3:$N$718,2,0),"")</f>
        <v>Činění, úprava, barvení usní a kožešin</v>
      </c>
      <c r="R10">
        <f>IF(ISNUMBER(SEARCH('1Př1'!$A$32,N10)),MAX($M$2:M9)+1,0)</f>
        <v>8</v>
      </c>
      <c r="S10" s="290" t="s">
        <v>702</v>
      </c>
      <c r="T10" t="str">
        <f>IFERROR(VLOOKUP(ROWS($T$3:T10),$R$3:$S$718,2,0),"")</f>
        <v>Podpůrné činnosti při těžbě</v>
      </c>
      <c r="U10">
        <f>IF(ISNUMBER(SEARCH('1Př1'!$A$33,N10)),MAX($M$2:M9)+1,0)</f>
        <v>8</v>
      </c>
      <c r="V10" s="290" t="s">
        <v>702</v>
      </c>
      <c r="W10" t="str">
        <f>IFERROR(VLOOKUP(ROWS($W$3:W10),$U$3:$V$718,2,0),"")</f>
        <v>Podpůrné činnosti při těžbě</v>
      </c>
      <c r="X10">
        <f>IF(ISNUMBER(SEARCH('1Př1'!$A$34,N10)),MAX($M$2:M9)+1,0)</f>
        <v>8</v>
      </c>
      <c r="Y10" s="290" t="s">
        <v>702</v>
      </c>
      <c r="Z10" t="str">
        <f>IFERROR(VLOOKUP(ROWS($Z$3:Z10),$X$3:$Y$718,2,0),"")</f>
        <v>Podpůrné činnosti při těžbě</v>
      </c>
    </row>
    <row r="11" spans="1:26" ht="12.75" customHeight="1">
      <c r="A11" s="266"/>
      <c r="B11" s="292" t="s">
        <v>703</v>
      </c>
      <c r="C11" s="293">
        <v>459</v>
      </c>
      <c r="D11" s="282">
        <f>IF(ISNUMBER(SEARCH(ZAKL_DATA!$B$14,E11)),MAX($D$2:D10)+1,0)</f>
        <v>9</v>
      </c>
      <c r="E11" s="294" t="s">
        <v>704</v>
      </c>
      <c r="F11" s="295">
        <v>2009</v>
      </c>
      <c r="G11" s="296"/>
      <c r="H11" s="297" t="str">
        <f>IFERROR(VLOOKUP(ROWS($H$3:H11),$D$3:$E$204,2,0),"")</f>
        <v>PRAHA 9</v>
      </c>
      <c r="I11" s="266"/>
      <c r="J11" s="299" t="s">
        <v>705</v>
      </c>
      <c r="K11" s="288" t="s">
        <v>706</v>
      </c>
      <c r="M11" s="289">
        <f>IF(ISNUMBER(SEARCH(ZAKL_DATA!$B$29,N11)),MAX($M$2:M10)+1,0)</f>
        <v>9</v>
      </c>
      <c r="N11" s="482" t="s">
        <v>2585</v>
      </c>
      <c r="O11" s="482" t="s">
        <v>2586</v>
      </c>
      <c r="Q11" s="291" t="str">
        <f>IFERROR(VLOOKUP(ROWS($Q$3:Q11),$M$3:$N$718,2,0),"")</f>
        <v>Činnosti agentur zprostředkujících práci na přechodnou dobu a ostatní poskytování lidských zdrojů</v>
      </c>
      <c r="R11">
        <f>IF(ISNUMBER(SEARCH('1Př1'!$A$32,N11)),MAX($M$2:M10)+1,0)</f>
        <v>9</v>
      </c>
      <c r="S11" s="290" t="s">
        <v>707</v>
      </c>
      <c r="T11" t="str">
        <f>IFERROR(VLOOKUP(ROWS($T$3:T11),$R$3:$S$718,2,0),"")</f>
        <v>Výroba potravinářských výrobků</v>
      </c>
      <c r="U11">
        <f>IF(ISNUMBER(SEARCH('1Př1'!$A$33,N11)),MAX($M$2:M10)+1,0)</f>
        <v>9</v>
      </c>
      <c r="V11" s="290" t="s">
        <v>707</v>
      </c>
      <c r="W11" t="str">
        <f>IFERROR(VLOOKUP(ROWS($W$3:W11),$U$3:$V$718,2,0),"")</f>
        <v>Výroba potravinářských výrobků</v>
      </c>
      <c r="X11">
        <f>IF(ISNUMBER(SEARCH('1Př1'!$A$34,N11)),MAX($M$2:M10)+1,0)</f>
        <v>9</v>
      </c>
      <c r="Y11" s="290" t="s">
        <v>707</v>
      </c>
      <c r="Z11" t="str">
        <f>IFERROR(VLOOKUP(ROWS($Z$3:Z11),$X$3:$Y$718,2,0),"")</f>
        <v>Výroba potravinářských výrobků</v>
      </c>
    </row>
    <row r="12" spans="1:26" ht="12.75" customHeight="1">
      <c r="A12" s="266"/>
      <c r="B12" s="292" t="s">
        <v>708</v>
      </c>
      <c r="C12" s="267">
        <v>460</v>
      </c>
      <c r="D12" s="282">
        <f>IF(ISNUMBER(SEARCH(ZAKL_DATA!$B$14,E12)),MAX($D$2:D11)+1,0)</f>
        <v>10</v>
      </c>
      <c r="E12" s="294" t="s">
        <v>709</v>
      </c>
      <c r="F12" s="295">
        <v>2010</v>
      </c>
      <c r="G12" s="296"/>
      <c r="H12" s="297" t="str">
        <f>IFERROR(VLOOKUP(ROWS($H$3:H12),$D$3:$E$204,2,0),"")</f>
        <v>PRAHA 10</v>
      </c>
      <c r="I12" s="266"/>
      <c r="J12" s="299" t="s">
        <v>710</v>
      </c>
      <c r="K12" s="288" t="s">
        <v>711</v>
      </c>
      <c r="M12" s="289">
        <f>IF(ISNUMBER(SEARCH(ZAKL_DATA!$B$29,N12)),MAX($M$2:M11)+1,0)</f>
        <v>10</v>
      </c>
      <c r="N12" s="482" t="s">
        <v>1716</v>
      </c>
      <c r="O12" s="482" t="s">
        <v>2587</v>
      </c>
      <c r="Q12" s="291" t="str">
        <f>IFERROR(VLOOKUP(ROWS($Q$3:Q12),$M$3:$N$718,2,0),"")</f>
        <v>Činnosti agentur zprostředkujících zaměstnání</v>
      </c>
      <c r="R12">
        <f>IF(ISNUMBER(SEARCH('1Př1'!$A$32,N12)),MAX($M$2:M11)+1,0)</f>
        <v>10</v>
      </c>
      <c r="S12" s="290" t="s">
        <v>712</v>
      </c>
      <c r="T12" t="str">
        <f>IFERROR(VLOOKUP(ROWS($T$3:T12),$R$3:$S$718,2,0),"")</f>
        <v>Výroba nápojů</v>
      </c>
      <c r="U12">
        <f>IF(ISNUMBER(SEARCH('1Př1'!$A$33,N12)),MAX($M$2:M11)+1,0)</f>
        <v>10</v>
      </c>
      <c r="V12" s="290" t="s">
        <v>712</v>
      </c>
      <c r="W12" t="str">
        <f>IFERROR(VLOOKUP(ROWS($W$3:W12),$U$3:$V$718,2,0),"")</f>
        <v>Výroba nápojů</v>
      </c>
      <c r="X12">
        <f>IF(ISNUMBER(SEARCH('1Př1'!$A$34,N12)),MAX($M$2:M11)+1,0)</f>
        <v>10</v>
      </c>
      <c r="Y12" s="290" t="s">
        <v>712</v>
      </c>
      <c r="Z12" t="str">
        <f>IFERROR(VLOOKUP(ROWS($Z$3:Z12),$X$3:$Y$718,2,0),"")</f>
        <v>Výroba nápojů</v>
      </c>
    </row>
    <row r="13" spans="1:26" ht="12.75" customHeight="1">
      <c r="A13" s="266"/>
      <c r="B13" s="292" t="s">
        <v>713</v>
      </c>
      <c r="C13" s="293">
        <v>461</v>
      </c>
      <c r="D13" s="282">
        <f>IF(ISNUMBER(SEARCH(ZAKL_DATA!$B$14,E13)),MAX($D$2:D12)+1,0)</f>
        <v>11</v>
      </c>
      <c r="E13" s="294" t="s">
        <v>714</v>
      </c>
      <c r="F13" s="295">
        <v>2011</v>
      </c>
      <c r="G13" s="296"/>
      <c r="H13" s="297" t="str">
        <f>IFERROR(VLOOKUP(ROWS($H$3:H13),$D$3:$E$204,2,0),"")</f>
        <v>PRAHA-JIŽNÍ MĚSTO</v>
      </c>
      <c r="I13" s="266"/>
      <c r="J13" s="299" t="s">
        <v>715</v>
      </c>
      <c r="K13" s="288" t="s">
        <v>716</v>
      </c>
      <c r="M13" s="289">
        <f>IF(ISNUMBER(SEARCH(ZAKL_DATA!$B$29,N13)),MAX($M$2:M12)+1,0)</f>
        <v>11</v>
      </c>
      <c r="N13" s="482" t="s">
        <v>2588</v>
      </c>
      <c r="O13" s="482" t="s">
        <v>2589</v>
      </c>
      <c r="Q13" s="291" t="str">
        <f>IFERROR(VLOOKUP(ROWS($Q$3:Q13),$M$3:$N$718,2,0),"")</f>
        <v>Činnosti archivů</v>
      </c>
      <c r="R13">
        <f>IF(ISNUMBER(SEARCH('1Př1'!$A$32,N13)),MAX($M$2:M12)+1,0)</f>
        <v>11</v>
      </c>
      <c r="S13" s="290" t="s">
        <v>717</v>
      </c>
      <c r="T13" t="str">
        <f>IFERROR(VLOOKUP(ROWS($T$3:T13),$R$3:$S$718,2,0),"")</f>
        <v>Pěstování plodin jiných než trvalých</v>
      </c>
      <c r="U13">
        <f>IF(ISNUMBER(SEARCH('1Př1'!$A$33,N13)),MAX($M$2:M12)+1,0)</f>
        <v>11</v>
      </c>
      <c r="V13" s="290" t="s">
        <v>717</v>
      </c>
      <c r="W13" t="str">
        <f>IFERROR(VLOOKUP(ROWS($W$3:W13),$U$3:$V$718,2,0),"")</f>
        <v>Pěstování plodin jiných než trvalých</v>
      </c>
      <c r="X13">
        <f>IF(ISNUMBER(SEARCH('1Př1'!$A$34,N13)),MAX($M$2:M12)+1,0)</f>
        <v>11</v>
      </c>
      <c r="Y13" s="290" t="s">
        <v>717</v>
      </c>
      <c r="Z13" t="str">
        <f>IFERROR(VLOOKUP(ROWS($Z$3:Z13),$X$3:$Y$718,2,0),"")</f>
        <v>Pěstování plodin jiných než trvalých</v>
      </c>
    </row>
    <row r="14" spans="1:26" ht="12.75" customHeight="1">
      <c r="A14" s="266"/>
      <c r="B14" s="292" t="s">
        <v>718</v>
      </c>
      <c r="C14" s="293">
        <v>462</v>
      </c>
      <c r="D14" s="282">
        <f>IF(ISNUMBER(SEARCH(ZAKL_DATA!$B$14,E14)),MAX($D$2:D13)+1,0)</f>
        <v>12</v>
      </c>
      <c r="E14" s="294" t="s">
        <v>719</v>
      </c>
      <c r="F14" s="295">
        <v>2012</v>
      </c>
      <c r="G14" s="296"/>
      <c r="H14" s="297" t="str">
        <f>IFERROR(VLOOKUP(ROWS($H$3:H14),$D$3:$E$204,2,0),"")</f>
        <v>PRAHA-MODŘANY</v>
      </c>
      <c r="I14" s="266"/>
      <c r="J14" s="299" t="s">
        <v>720</v>
      </c>
      <c r="K14" s="288" t="s">
        <v>721</v>
      </c>
      <c r="M14" s="289">
        <f>IF(ISNUMBER(SEARCH(ZAKL_DATA!$B$29,N14)),MAX($M$2:M13)+1,0)</f>
        <v>12</v>
      </c>
      <c r="N14" s="482" t="s">
        <v>2155</v>
      </c>
      <c r="O14" s="482" t="s">
        <v>2590</v>
      </c>
      <c r="Q14" s="291" t="str">
        <f>IFERROR(VLOOKUP(ROWS($Q$3:Q14),$M$3:$N$718,2,0),"")</f>
        <v>Činnosti autoškol</v>
      </c>
      <c r="R14">
        <f>IF(ISNUMBER(SEARCH('1Př1'!$A$32,N14)),MAX($M$2:M13)+1,0)</f>
        <v>12</v>
      </c>
      <c r="S14" s="290" t="s">
        <v>722</v>
      </c>
      <c r="T14" t="str">
        <f>IFERROR(VLOOKUP(ROWS($T$3:T14),$R$3:$S$718,2,0),"")</f>
        <v>Výroba tabákových výrobků</v>
      </c>
      <c r="U14">
        <f>IF(ISNUMBER(SEARCH('1Př1'!$A$33,N14)),MAX($M$2:M13)+1,0)</f>
        <v>12</v>
      </c>
      <c r="V14" s="290" t="s">
        <v>722</v>
      </c>
      <c r="W14" t="str">
        <f>IFERROR(VLOOKUP(ROWS($W$3:W14),$U$3:$V$718,2,0),"")</f>
        <v>Výroba tabákových výrobků</v>
      </c>
      <c r="X14">
        <f>IF(ISNUMBER(SEARCH('1Př1'!$A$34,N14)),MAX($M$2:M13)+1,0)</f>
        <v>12</v>
      </c>
      <c r="Y14" s="290" t="s">
        <v>722</v>
      </c>
      <c r="Z14" t="str">
        <f>IFERROR(VLOOKUP(ROWS($Z$3:Z14),$X$3:$Y$718,2,0),"")</f>
        <v>Výroba tabákových výrobků</v>
      </c>
    </row>
    <row r="15" spans="1:26" ht="12.75" customHeight="1">
      <c r="A15" s="266"/>
      <c r="B15" s="292" t="s">
        <v>723</v>
      </c>
      <c r="C15" s="293">
        <v>463</v>
      </c>
      <c r="D15" s="282">
        <f>IF(ISNUMBER(SEARCH(ZAKL_DATA!$B$14,E15)),MAX($D$2:D14)+1,0)</f>
        <v>13</v>
      </c>
      <c r="E15" s="294" t="s">
        <v>724</v>
      </c>
      <c r="F15" s="295">
        <v>2101</v>
      </c>
      <c r="G15" s="296"/>
      <c r="H15" s="297" t="str">
        <f>IFERROR(VLOOKUP(ROWS($H$3:H15),$D$3:$E$204,2,0),"")</f>
        <v>PRAHA - VÝCHOD</v>
      </c>
      <c r="I15" s="266"/>
      <c r="J15" s="299" t="s">
        <v>725</v>
      </c>
      <c r="K15" s="288" t="s">
        <v>726</v>
      </c>
      <c r="M15" s="289">
        <f>IF(ISNUMBER(SEARCH(ZAKL_DATA!$B$29,N15)),MAX($M$2:M14)+1,0)</f>
        <v>13</v>
      </c>
      <c r="N15" s="482" t="s">
        <v>2159</v>
      </c>
      <c r="O15" s="482" t="s">
        <v>2591</v>
      </c>
      <c r="Q15" s="291" t="str">
        <f>IFERROR(VLOOKUP(ROWS($Q$3:Q15),$M$3:$N$718,2,0),"")</f>
        <v>Činnosti botanických a zoologických zahrad</v>
      </c>
      <c r="R15">
        <f>IF(ISNUMBER(SEARCH('1Př1'!$A$32,N15)),MAX($M$2:M14)+1,0)</f>
        <v>13</v>
      </c>
      <c r="S15" s="290" t="s">
        <v>727</v>
      </c>
      <c r="T15" t="str">
        <f>IFERROR(VLOOKUP(ROWS($T$3:T15),$R$3:$S$718,2,0),"")</f>
        <v>Pěstování trvalých plodin</v>
      </c>
      <c r="U15">
        <f>IF(ISNUMBER(SEARCH('1Př1'!$A$33,N15)),MAX($M$2:M14)+1,0)</f>
        <v>13</v>
      </c>
      <c r="V15" s="290" t="s">
        <v>727</v>
      </c>
      <c r="W15" t="str">
        <f>IFERROR(VLOOKUP(ROWS($W$3:W15),$U$3:$V$718,2,0),"")</f>
        <v>Pěstování trvalých plodin</v>
      </c>
      <c r="X15">
        <f>IF(ISNUMBER(SEARCH('1Př1'!$A$34,N15)),MAX($M$2:M14)+1,0)</f>
        <v>13</v>
      </c>
      <c r="Y15" s="290" t="s">
        <v>727</v>
      </c>
      <c r="Z15" t="str">
        <f>IFERROR(VLOOKUP(ROWS($Z$3:Z15),$X$3:$Y$718,2,0),"")</f>
        <v>Pěstování trvalých plodin</v>
      </c>
    </row>
    <row r="16" spans="1:26" ht="12.75" customHeight="1">
      <c r="A16" s="266"/>
      <c r="B16" s="292" t="s">
        <v>728</v>
      </c>
      <c r="C16" s="293">
        <v>464</v>
      </c>
      <c r="D16" s="282">
        <f>IF(ISNUMBER(SEARCH(ZAKL_DATA!$B$14,E16)),MAX($D$2:D15)+1,0)</f>
        <v>14</v>
      </c>
      <c r="E16" s="294" t="s">
        <v>729</v>
      </c>
      <c r="F16" s="295">
        <v>2102</v>
      </c>
      <c r="G16" s="296"/>
      <c r="H16" s="297" t="str">
        <f>IFERROR(VLOOKUP(ROWS($H$3:H16),$D$3:$E$204,2,0),"")</f>
        <v>PRAHA ZÁPAD</v>
      </c>
      <c r="I16" s="266"/>
      <c r="J16" s="299" t="s">
        <v>730</v>
      </c>
      <c r="K16" s="288" t="s">
        <v>731</v>
      </c>
      <c r="M16" s="289">
        <f>IF(ISNUMBER(SEARCH(ZAKL_DATA!$B$29,N16)),MAX($M$2:M15)+1,0)</f>
        <v>14</v>
      </c>
      <c r="N16" s="482" t="s">
        <v>2592</v>
      </c>
      <c r="O16" s="482" t="s">
        <v>2593</v>
      </c>
      <c r="Q16" s="291" t="str">
        <f>IFERROR(VLOOKUP(ROWS($Q$3:Q16),$M$3:$N$718,2,0),"")</f>
        <v>Činnosti call center</v>
      </c>
      <c r="R16">
        <f>IF(ISNUMBER(SEARCH('1Př1'!$A$32,N16)),MAX($M$2:M15)+1,0)</f>
        <v>14</v>
      </c>
      <c r="S16" s="290" t="s">
        <v>732</v>
      </c>
      <c r="T16" t="str">
        <f>IFERROR(VLOOKUP(ROWS($T$3:T16),$R$3:$S$718,2,0),"")</f>
        <v>Výroba textilií</v>
      </c>
      <c r="U16">
        <f>IF(ISNUMBER(SEARCH('1Př1'!$A$33,N16)),MAX($M$2:M15)+1,0)</f>
        <v>14</v>
      </c>
      <c r="V16" s="290" t="s">
        <v>732</v>
      </c>
      <c r="W16" t="str">
        <f>IFERROR(VLOOKUP(ROWS($W$3:W16),$U$3:$V$718,2,0),"")</f>
        <v>Výroba textilií</v>
      </c>
      <c r="X16">
        <f>IF(ISNUMBER(SEARCH('1Př1'!$A$34,N16)),MAX($M$2:M15)+1,0)</f>
        <v>14</v>
      </c>
      <c r="Y16" s="290" t="s">
        <v>732</v>
      </c>
      <c r="Z16" t="str">
        <f>IFERROR(VLOOKUP(ROWS($Z$3:Z16),$X$3:$Y$718,2,0),"")</f>
        <v>Výroba textilií</v>
      </c>
    </row>
    <row r="17" spans="1:26" ht="12.75" customHeight="1" thickBot="1">
      <c r="A17" s="266"/>
      <c r="B17" s="300" t="s">
        <v>733</v>
      </c>
      <c r="C17" s="301">
        <v>13</v>
      </c>
      <c r="D17" s="282">
        <f>IF(ISNUMBER(SEARCH(ZAKL_DATA!$B$14,E17)),MAX($D$2:D16)+1,0)</f>
        <v>15</v>
      </c>
      <c r="E17" s="294" t="s">
        <v>734</v>
      </c>
      <c r="F17" s="295">
        <v>2103</v>
      </c>
      <c r="G17" s="296"/>
      <c r="H17" s="297" t="str">
        <f>IFERROR(VLOOKUP(ROWS($H$3:H17),$D$3:$E$204,2,0),"")</f>
        <v>BENEŠOV</v>
      </c>
      <c r="I17" s="266"/>
      <c r="J17" s="299" t="s">
        <v>735</v>
      </c>
      <c r="K17" s="288" t="s">
        <v>736</v>
      </c>
      <c r="M17" s="289">
        <f>IF(ISNUMBER(SEARCH(ZAKL_DATA!$B$29,N17)),MAX($M$2:M16)+1,0)</f>
        <v>15</v>
      </c>
      <c r="N17" s="482" t="s">
        <v>2117</v>
      </c>
      <c r="O17" s="482" t="s">
        <v>2594</v>
      </c>
      <c r="Q17" s="291" t="str">
        <f>IFERROR(VLOOKUP(ROWS($Q$3:Q17),$M$3:$N$718,2,0),"")</f>
        <v>Činnosti cestovních agentur</v>
      </c>
      <c r="R17">
        <f>IF(ISNUMBER(SEARCH('1Př1'!$A$32,N17)),MAX($M$2:M16)+1,0)</f>
        <v>15</v>
      </c>
      <c r="S17" s="290" t="s">
        <v>737</v>
      </c>
      <c r="T17" t="str">
        <f>IFERROR(VLOOKUP(ROWS($T$3:T17),$R$3:$S$718,2,0),"")</f>
        <v>Množení rostlin</v>
      </c>
      <c r="U17">
        <f>IF(ISNUMBER(SEARCH('1Př1'!$A$33,N17)),MAX($M$2:M16)+1,0)</f>
        <v>15</v>
      </c>
      <c r="V17" s="290" t="s">
        <v>737</v>
      </c>
      <c r="W17" t="str">
        <f>IFERROR(VLOOKUP(ROWS($W$3:W17),$U$3:$V$718,2,0),"")</f>
        <v>Množení rostlin</v>
      </c>
      <c r="X17">
        <f>IF(ISNUMBER(SEARCH('1Př1'!$A$34,N17)),MAX($M$2:M16)+1,0)</f>
        <v>15</v>
      </c>
      <c r="Y17" s="290" t="s">
        <v>737</v>
      </c>
      <c r="Z17" t="str">
        <f>IFERROR(VLOOKUP(ROWS($Z$3:Z17),$X$3:$Y$718,2,0),"")</f>
        <v>Množení rostlin</v>
      </c>
    </row>
    <row r="18" spans="1:26" ht="12.75" customHeight="1">
      <c r="A18" s="266"/>
      <c r="B18" s="266"/>
      <c r="C18" s="266"/>
      <c r="D18" s="282">
        <f>IF(ISNUMBER(SEARCH(ZAKL_DATA!$B$14,E18)),MAX($D$2:D17)+1,0)</f>
        <v>16</v>
      </c>
      <c r="E18" s="294" t="s">
        <v>738</v>
      </c>
      <c r="F18" s="295">
        <v>2104</v>
      </c>
      <c r="G18" s="296"/>
      <c r="H18" s="297" t="str">
        <f>IFERROR(VLOOKUP(ROWS($H$3:H18),$D$3:$E$204,2,0),"")</f>
        <v>BEROUN</v>
      </c>
      <c r="I18" s="266"/>
      <c r="J18" s="299" t="s">
        <v>739</v>
      </c>
      <c r="K18" s="288" t="s">
        <v>740</v>
      </c>
      <c r="M18" s="289">
        <f>IF(ISNUMBER(SEARCH(ZAKL_DATA!$B$29,N18)),MAX($M$2:M17)+1,0)</f>
        <v>16</v>
      </c>
      <c r="N18" s="482" t="s">
        <v>2118</v>
      </c>
      <c r="O18" s="482" t="s">
        <v>2595</v>
      </c>
      <c r="Q18" s="291" t="str">
        <f>IFERROR(VLOOKUP(ROWS($Q$3:Q18),$M$3:$N$718,2,0),"")</f>
        <v>Činnosti cestovních kanceláří</v>
      </c>
      <c r="R18">
        <f>IF(ISNUMBER(SEARCH('1Př1'!$A$32,N18)),MAX($M$2:M17)+1,0)</f>
        <v>16</v>
      </c>
      <c r="S18" s="290" t="s">
        <v>741</v>
      </c>
      <c r="T18" t="str">
        <f>IFERROR(VLOOKUP(ROWS($T$3:T18),$R$3:$S$718,2,0),"")</f>
        <v>Výroba oděvů</v>
      </c>
      <c r="U18">
        <f>IF(ISNUMBER(SEARCH('1Př1'!$A$33,N18)),MAX($M$2:M17)+1,0)</f>
        <v>16</v>
      </c>
      <c r="V18" s="290" t="s">
        <v>741</v>
      </c>
      <c r="W18" t="str">
        <f>IFERROR(VLOOKUP(ROWS($W$3:W18),$U$3:$V$718,2,0),"")</f>
        <v>Výroba oděvů</v>
      </c>
      <c r="X18">
        <f>IF(ISNUMBER(SEARCH('1Př1'!$A$34,N18)),MAX($M$2:M17)+1,0)</f>
        <v>16</v>
      </c>
      <c r="Y18" s="290" t="s">
        <v>741</v>
      </c>
      <c r="Z18" t="str">
        <f>IFERROR(VLOOKUP(ROWS($Z$3:Z18),$X$3:$Y$718,2,0),"")</f>
        <v>Výroba oděvů</v>
      </c>
    </row>
    <row r="19" spans="1:26" ht="12.75" customHeight="1">
      <c r="A19" s="266"/>
      <c r="B19" s="266"/>
      <c r="C19" s="266"/>
      <c r="D19" s="282">
        <f>IF(ISNUMBER(SEARCH(ZAKL_DATA!$B$14,E19)),MAX($D$2:D18)+1,0)</f>
        <v>17</v>
      </c>
      <c r="E19" s="294" t="s">
        <v>742</v>
      </c>
      <c r="F19" s="295">
        <v>2105</v>
      </c>
      <c r="G19" s="296"/>
      <c r="H19" s="297" t="str">
        <f>IFERROR(VLOOKUP(ROWS($H$3:H19),$D$3:$E$204,2,0),"")</f>
        <v>BRANDÝS N.L. - ST.BOL.</v>
      </c>
      <c r="I19" s="266"/>
      <c r="J19" s="299" t="s">
        <v>743</v>
      </c>
      <c r="K19" s="288" t="s">
        <v>744</v>
      </c>
      <c r="M19" s="289">
        <f>IF(ISNUMBER(SEARCH(ZAKL_DATA!$B$29,N19)),MAX($M$2:M18)+1,0)</f>
        <v>17</v>
      </c>
      <c r="N19" s="482" t="s">
        <v>2596</v>
      </c>
      <c r="O19" s="482" t="s">
        <v>2597</v>
      </c>
      <c r="Q19" s="291" t="str">
        <f>IFERROR(VLOOKUP(ROWS($Q$3:Q19),$M$3:$N$718,2,0),"")</f>
        <v>Činnosti denních lázní, saun a parních lázní</v>
      </c>
      <c r="R19">
        <f>IF(ISNUMBER(SEARCH('1Př1'!$A$32,N19)),MAX($M$2:M18)+1,0)</f>
        <v>17</v>
      </c>
      <c r="S19" s="290" t="s">
        <v>745</v>
      </c>
      <c r="T19" t="str">
        <f>IFERROR(VLOOKUP(ROWS($T$3:T19),$R$3:$S$718,2,0),"")</f>
        <v>živočišná výroba</v>
      </c>
      <c r="U19">
        <f>IF(ISNUMBER(SEARCH('1Př1'!$A$33,N19)),MAX($M$2:M18)+1,0)</f>
        <v>17</v>
      </c>
      <c r="V19" s="290" t="s">
        <v>745</v>
      </c>
      <c r="W19" t="str">
        <f>IFERROR(VLOOKUP(ROWS($W$3:W19),$U$3:$V$718,2,0),"")</f>
        <v>živočišná výroba</v>
      </c>
      <c r="X19">
        <f>IF(ISNUMBER(SEARCH('1Př1'!$A$34,N19)),MAX($M$2:M18)+1,0)</f>
        <v>17</v>
      </c>
      <c r="Y19" s="290" t="s">
        <v>745</v>
      </c>
      <c r="Z19" t="str">
        <f>IFERROR(VLOOKUP(ROWS($Z$3:Z19),$X$3:$Y$718,2,0),"")</f>
        <v>živočišná výroba</v>
      </c>
    </row>
    <row r="20" spans="1:26" ht="12.75" customHeight="1">
      <c r="A20" s="266"/>
      <c r="B20" s="266"/>
      <c r="C20" s="266"/>
      <c r="D20" s="282">
        <f>IF(ISNUMBER(SEARCH(ZAKL_DATA!$B$14,E20)),MAX($D$2:D19)+1,0)</f>
        <v>18</v>
      </c>
      <c r="E20" s="294" t="s">
        <v>746</v>
      </c>
      <c r="F20" s="295">
        <v>2106</v>
      </c>
      <c r="G20" s="296"/>
      <c r="H20" s="297" t="str">
        <f>IFERROR(VLOOKUP(ROWS($H$3:H20),$D$3:$E$204,2,0),"")</f>
        <v>ČÁSLAV</v>
      </c>
      <c r="I20" s="266"/>
      <c r="J20" s="299" t="s">
        <v>747</v>
      </c>
      <c r="K20" s="288" t="s">
        <v>748</v>
      </c>
      <c r="M20" s="289">
        <f>IF(ISNUMBER(SEARCH(ZAKL_DATA!$B$29,N20)),MAX($M$2:M19)+1,0)</f>
        <v>18</v>
      </c>
      <c r="N20" s="482" t="s">
        <v>1107</v>
      </c>
      <c r="O20" s="482" t="s">
        <v>2598</v>
      </c>
      <c r="Q20" s="291" t="str">
        <f>IFERROR(VLOOKUP(ROWS($Q$3:Q20),$M$3:$N$718,2,0),"")</f>
        <v>Činnosti domácností jako zaměstnavatelů domácího personálu</v>
      </c>
      <c r="R20">
        <f>IF(ISNUMBER(SEARCH('1Př1'!$A$32,N20)),MAX($M$2:M19)+1,0)</f>
        <v>18</v>
      </c>
      <c r="S20" s="290" t="s">
        <v>749</v>
      </c>
      <c r="T20" t="str">
        <f>IFERROR(VLOOKUP(ROWS($T$3:T20),$R$3:$S$718,2,0),"")</f>
        <v>Výroba usní a souvisejících výrobků</v>
      </c>
      <c r="U20">
        <f>IF(ISNUMBER(SEARCH('1Př1'!$A$33,N20)),MAX($M$2:M19)+1,0)</f>
        <v>18</v>
      </c>
      <c r="V20" s="290" t="s">
        <v>749</v>
      </c>
      <c r="W20" t="str">
        <f>IFERROR(VLOOKUP(ROWS($W$3:W20),$U$3:$V$718,2,0),"")</f>
        <v>Výroba usní a souvisejících výrobků</v>
      </c>
      <c r="X20">
        <f>IF(ISNUMBER(SEARCH('1Př1'!$A$34,N20)),MAX($M$2:M19)+1,0)</f>
        <v>18</v>
      </c>
      <c r="Y20" s="290" t="s">
        <v>749</v>
      </c>
      <c r="Z20" t="str">
        <f>IFERROR(VLOOKUP(ROWS($Z$3:Z20),$X$3:$Y$718,2,0),"")</f>
        <v>Výroba usní a souvisejících výrobků</v>
      </c>
    </row>
    <row r="21" spans="1:26" ht="12.75" customHeight="1">
      <c r="A21" s="266"/>
      <c r="B21" s="266"/>
      <c r="C21" s="266"/>
      <c r="D21" s="282">
        <f>IF(ISNUMBER(SEARCH(ZAKL_DATA!$B$14,E21)),MAX($D$2:D20)+1,0)</f>
        <v>19</v>
      </c>
      <c r="E21" s="294" t="s">
        <v>750</v>
      </c>
      <c r="F21" s="295">
        <v>2107</v>
      </c>
      <c r="G21" s="296"/>
      <c r="H21" s="297" t="str">
        <f>IFERROR(VLOOKUP(ROWS($H$3:H21),$D$3:$E$204,2,0),"")</f>
        <v>ČESKÝ BROD</v>
      </c>
      <c r="I21" s="266"/>
      <c r="J21" s="299" t="s">
        <v>751</v>
      </c>
      <c r="K21" s="288" t="s">
        <v>752</v>
      </c>
      <c r="M21" s="289">
        <f>IF(ISNUMBER(SEARCH(ZAKL_DATA!$B$29,N21)),MAX($M$2:M20)+1,0)</f>
        <v>19</v>
      </c>
      <c r="N21" s="482" t="s">
        <v>2599</v>
      </c>
      <c r="O21" s="482" t="s">
        <v>2600</v>
      </c>
      <c r="Q21" s="291" t="str">
        <f>IFERROR(VLOOKUP(ROWS($Q$3:Q21),$M$3:$N$718,2,0),"")</f>
        <v>Činnosti domácností poskytujících blíže neurčené služby pro vlastní potřebu</v>
      </c>
      <c r="R21">
        <f>IF(ISNUMBER(SEARCH('1Př1'!$A$32,N21)),MAX($M$2:M20)+1,0)</f>
        <v>19</v>
      </c>
      <c r="S21" s="290" t="s">
        <v>753</v>
      </c>
      <c r="T21" t="str">
        <f>IFERROR(VLOOKUP(ROWS($T$3:T21),$R$3:$S$718,2,0),"")</f>
        <v>Smíšené hospodářství</v>
      </c>
      <c r="U21">
        <f>IF(ISNUMBER(SEARCH('1Př1'!$A$33,N21)),MAX($M$2:M20)+1,0)</f>
        <v>19</v>
      </c>
      <c r="V21" s="290" t="s">
        <v>753</v>
      </c>
      <c r="W21" t="str">
        <f>IFERROR(VLOOKUP(ROWS($W$3:W21),$U$3:$V$718,2,0),"")</f>
        <v>Smíšené hospodářství</v>
      </c>
      <c r="X21">
        <f>IF(ISNUMBER(SEARCH('1Př1'!$A$34,N21)),MAX($M$2:M20)+1,0)</f>
        <v>19</v>
      </c>
      <c r="Y21" s="290" t="s">
        <v>753</v>
      </c>
      <c r="Z21" t="str">
        <f>IFERROR(VLOOKUP(ROWS($Z$3:Z21),$X$3:$Y$718,2,0),"")</f>
        <v>Smíšené hospodářství</v>
      </c>
    </row>
    <row r="22" spans="1:26" ht="12.75" customHeight="1">
      <c r="A22" s="266"/>
      <c r="B22" s="266"/>
      <c r="C22" s="266"/>
      <c r="D22" s="282">
        <f>IF(ISNUMBER(SEARCH(ZAKL_DATA!$B$14,E22)),MAX($D$2:D21)+1,0)</f>
        <v>20</v>
      </c>
      <c r="E22" s="294" t="s">
        <v>754</v>
      </c>
      <c r="F22" s="295">
        <v>2108</v>
      </c>
      <c r="G22" s="296"/>
      <c r="H22" s="297" t="str">
        <f>IFERROR(VLOOKUP(ROWS($H$3:H22),$D$3:$E$204,2,0),"")</f>
        <v>DOBŘÍŠ</v>
      </c>
      <c r="I22" s="266"/>
      <c r="J22" s="299" t="s">
        <v>755</v>
      </c>
      <c r="K22" s="288" t="s">
        <v>756</v>
      </c>
      <c r="M22" s="289">
        <f>IF(ISNUMBER(SEARCH(ZAKL_DATA!$B$29,N22)),MAX($M$2:M21)+1,0)</f>
        <v>20</v>
      </c>
      <c r="N22" s="482" t="s">
        <v>2601</v>
      </c>
      <c r="O22" s="482" t="s">
        <v>2602</v>
      </c>
      <c r="Q22" s="291" t="str">
        <f>IFERROR(VLOOKUP(ROWS($Q$3:Q22),$M$3:$N$718,2,0),"")</f>
        <v>Činnosti domácností produkujících blíže neurčené výrobky pro vlastní potřebu</v>
      </c>
      <c r="R22">
        <f>IF(ISNUMBER(SEARCH('1Př1'!$A$32,N22)),MAX($M$2:M21)+1,0)</f>
        <v>20</v>
      </c>
      <c r="S22" s="290" t="s">
        <v>757</v>
      </c>
      <c r="T22" t="str">
        <f>IFERROR(VLOOKUP(ROWS($T$3:T22),$R$3:$S$718,2,0),"")</f>
        <v>Zprac.dřeva,výroba dřevěných,korkových,proutěných a slam.výr.,kromě nábytku</v>
      </c>
      <c r="U22">
        <f>IF(ISNUMBER(SEARCH('1Př1'!$A$33,N22)),MAX($M$2:M21)+1,0)</f>
        <v>20</v>
      </c>
      <c r="V22" s="290" t="s">
        <v>757</v>
      </c>
      <c r="W22" t="str">
        <f>IFERROR(VLOOKUP(ROWS($W$3:W22),$U$3:$V$718,2,0),"")</f>
        <v>Zprac.dřeva,výroba dřevěných,korkových,proutěných a slam.výr.,kromě nábytku</v>
      </c>
      <c r="X22">
        <f>IF(ISNUMBER(SEARCH('1Př1'!$A$34,N22)),MAX($M$2:M21)+1,0)</f>
        <v>20</v>
      </c>
      <c r="Y22" s="290" t="s">
        <v>757</v>
      </c>
      <c r="Z22" t="str">
        <f>IFERROR(VLOOKUP(ROWS($Z$3:Z22),$X$3:$Y$718,2,0),"")</f>
        <v>Zprac.dřeva,výroba dřevěných,korkových,proutěných a slam.výr.,kromě nábytku</v>
      </c>
    </row>
    <row r="23" spans="1:26" ht="12.75" customHeight="1">
      <c r="A23" s="266"/>
      <c r="B23" s="266"/>
      <c r="C23" s="266"/>
      <c r="D23" s="282">
        <f>IF(ISNUMBER(SEARCH(ZAKL_DATA!$B$14,E23)),MAX($D$2:D22)+1,0)</f>
        <v>21</v>
      </c>
      <c r="E23" s="294" t="s">
        <v>758</v>
      </c>
      <c r="F23" s="295">
        <v>2109</v>
      </c>
      <c r="G23" s="296"/>
      <c r="H23" s="297" t="str">
        <f>IFERROR(VLOOKUP(ROWS($H$3:H23),$D$3:$E$204,2,0),"")</f>
        <v>HOŘOVICE</v>
      </c>
      <c r="I23" s="266"/>
      <c r="J23" s="299" t="s">
        <v>759</v>
      </c>
      <c r="K23" s="288" t="s">
        <v>760</v>
      </c>
      <c r="M23" s="289">
        <f>IF(ISNUMBER(SEARCH(ZAKL_DATA!$B$29,N23)),MAX($M$2:M22)+1,0)</f>
        <v>21</v>
      </c>
      <c r="N23" s="482" t="s">
        <v>2165</v>
      </c>
      <c r="O23" s="482" t="s">
        <v>2603</v>
      </c>
      <c r="Q23" s="291" t="str">
        <f>IFERROR(VLOOKUP(ROWS($Q$3:Q23),$M$3:$N$718,2,0),"")</f>
        <v>Činnosti environmentálních a ekologických hnutí</v>
      </c>
      <c r="R23">
        <f>IF(ISNUMBER(SEARCH('1Př1'!$A$32,N23)),MAX($M$2:M22)+1,0)</f>
        <v>21</v>
      </c>
      <c r="S23" s="290" t="s">
        <v>761</v>
      </c>
      <c r="T23" t="str">
        <f>IFERROR(VLOOKUP(ROWS($T$3:T23),$R$3:$S$718,2,0),"")</f>
        <v>Podpůrné činnosti pro zemědělství a posklizňové činnosti</v>
      </c>
      <c r="U23">
        <f>IF(ISNUMBER(SEARCH('1Př1'!$A$33,N23)),MAX($M$2:M22)+1,0)</f>
        <v>21</v>
      </c>
      <c r="V23" s="290" t="s">
        <v>761</v>
      </c>
      <c r="W23" t="str">
        <f>IFERROR(VLOOKUP(ROWS($W$3:W23),$U$3:$V$718,2,0),"")</f>
        <v>Podpůrné činnosti pro zemědělství a posklizňové činnosti</v>
      </c>
      <c r="X23">
        <f>IF(ISNUMBER(SEARCH('1Př1'!$A$34,N23)),MAX($M$2:M22)+1,0)</f>
        <v>21</v>
      </c>
      <c r="Y23" s="290" t="s">
        <v>761</v>
      </c>
      <c r="Z23" t="str">
        <f>IFERROR(VLOOKUP(ROWS($Z$3:Z23),$X$3:$Y$718,2,0),"")</f>
        <v>Podpůrné činnosti pro zemědělství a posklizňové činnosti</v>
      </c>
    </row>
    <row r="24" spans="1:26" ht="12.75" customHeight="1">
      <c r="A24" s="266"/>
      <c r="B24" s="266"/>
      <c r="C24" s="266"/>
      <c r="D24" s="282">
        <f>IF(ISNUMBER(SEARCH(ZAKL_DATA!$B$14,E24)),MAX($D$2:D23)+1,0)</f>
        <v>22</v>
      </c>
      <c r="E24" s="294" t="s">
        <v>762</v>
      </c>
      <c r="F24" s="295">
        <v>2110</v>
      </c>
      <c r="G24" s="296"/>
      <c r="H24" s="297" t="str">
        <f>IFERROR(VLOOKUP(ROWS($H$3:H24),$D$3:$E$204,2,0),"")</f>
        <v>KLADNO</v>
      </c>
      <c r="I24" s="266"/>
      <c r="J24" s="299" t="s">
        <v>763</v>
      </c>
      <c r="K24" s="288" t="s">
        <v>764</v>
      </c>
      <c r="M24" s="289">
        <f>IF(ISNUMBER(SEARCH(ZAKL_DATA!$B$29,N24)),MAX($M$2:M23)+1,0)</f>
        <v>22</v>
      </c>
      <c r="N24" s="482" t="s">
        <v>2604</v>
      </c>
      <c r="O24" s="482" t="s">
        <v>2605</v>
      </c>
      <c r="Q24" s="291" t="str">
        <f>IFERROR(VLOOKUP(ROWS($Q$3:Q24),$M$3:$N$718,2,0),"")</f>
        <v>Činnosti exteritoriálních organizací a institucí</v>
      </c>
      <c r="R24">
        <f>IF(ISNUMBER(SEARCH('1Př1'!$A$32,N24)),MAX($M$2:M23)+1,0)</f>
        <v>22</v>
      </c>
      <c r="S24" s="290" t="s">
        <v>765</v>
      </c>
      <c r="T24" t="str">
        <f>IFERROR(VLOOKUP(ROWS($T$3:T24),$R$3:$S$718,2,0),"")</f>
        <v>Výroba papíru a výrobků z papíru</v>
      </c>
      <c r="U24">
        <f>IF(ISNUMBER(SEARCH('1Př1'!$A$33,N24)),MAX($M$2:M23)+1,0)</f>
        <v>22</v>
      </c>
      <c r="V24" s="290" t="s">
        <v>765</v>
      </c>
      <c r="W24" t="str">
        <f>IFERROR(VLOOKUP(ROWS($W$3:W24),$U$3:$V$718,2,0),"")</f>
        <v>Výroba papíru a výrobků z papíru</v>
      </c>
      <c r="X24">
        <f>IF(ISNUMBER(SEARCH('1Př1'!$A$34,N24)),MAX($M$2:M23)+1,0)</f>
        <v>22</v>
      </c>
      <c r="Y24" s="290" t="s">
        <v>765</v>
      </c>
      <c r="Z24" t="str">
        <f>IFERROR(VLOOKUP(ROWS($Z$3:Z24),$X$3:$Y$718,2,0),"")</f>
        <v>Výroba papíru a výrobků z papíru</v>
      </c>
    </row>
    <row r="25" spans="1:26" ht="12.75" customHeight="1">
      <c r="A25" s="266"/>
      <c r="B25" s="266"/>
      <c r="C25" s="266"/>
      <c r="D25" s="282">
        <f>IF(ISNUMBER(SEARCH(ZAKL_DATA!$B$14,E25)),MAX($D$2:D24)+1,0)</f>
        <v>23</v>
      </c>
      <c r="E25" s="294" t="s">
        <v>766</v>
      </c>
      <c r="F25" s="295">
        <v>2111</v>
      </c>
      <c r="G25" s="296"/>
      <c r="H25" s="297" t="str">
        <f>IFERROR(VLOOKUP(ROWS($H$3:H25),$D$3:$E$204,2,0),"")</f>
        <v>KOLÍN</v>
      </c>
      <c r="I25" s="266"/>
      <c r="J25" s="299" t="s">
        <v>767</v>
      </c>
      <c r="K25" s="288" t="s">
        <v>768</v>
      </c>
      <c r="M25" s="289">
        <f>IF(ISNUMBER(SEARCH(ZAKL_DATA!$B$29,N25)),MAX($M$2:M24)+1,0)</f>
        <v>23</v>
      </c>
      <c r="N25" s="482" t="s">
        <v>2139</v>
      </c>
      <c r="O25" s="482" t="s">
        <v>2606</v>
      </c>
      <c r="Q25" s="291" t="str">
        <f>IFERROR(VLOOKUP(ROWS($Q$3:Q25),$M$3:$N$718,2,0),"")</f>
        <v>Činnosti fitcenter</v>
      </c>
      <c r="R25">
        <f>IF(ISNUMBER(SEARCH('1Př1'!$A$32,N25)),MAX($M$2:M24)+1,0)</f>
        <v>23</v>
      </c>
      <c r="S25" s="290" t="s">
        <v>769</v>
      </c>
      <c r="T25" t="str">
        <f>IFERROR(VLOOKUP(ROWS($T$3:T25),$R$3:$S$718,2,0),"")</f>
        <v>Lov a odchyt divokých zvířat a související činnosti</v>
      </c>
      <c r="U25">
        <f>IF(ISNUMBER(SEARCH('1Př1'!$A$33,N25)),MAX($M$2:M24)+1,0)</f>
        <v>23</v>
      </c>
      <c r="V25" s="290" t="s">
        <v>769</v>
      </c>
      <c r="W25" t="str">
        <f>IFERROR(VLOOKUP(ROWS($W$3:W25),$U$3:$V$718,2,0),"")</f>
        <v>Lov a odchyt divokých zvířat a související činnosti</v>
      </c>
      <c r="X25">
        <f>IF(ISNUMBER(SEARCH('1Př1'!$A$34,N25)),MAX($M$2:M24)+1,0)</f>
        <v>23</v>
      </c>
      <c r="Y25" s="290" t="s">
        <v>769</v>
      </c>
      <c r="Z25" t="str">
        <f>IFERROR(VLOOKUP(ROWS($Z$3:Z25),$X$3:$Y$718,2,0),"")</f>
        <v>Lov a odchyt divokých zvířat a související činnosti</v>
      </c>
    </row>
    <row r="26" spans="1:26" ht="12.75" customHeight="1">
      <c r="A26" s="266"/>
      <c r="B26" s="266"/>
      <c r="C26" s="266"/>
      <c r="D26" s="282">
        <f>IF(ISNUMBER(SEARCH(ZAKL_DATA!$B$14,E26)),MAX($D$2:D25)+1,0)</f>
        <v>24</v>
      </c>
      <c r="E26" s="294" t="s">
        <v>770</v>
      </c>
      <c r="F26" s="295">
        <v>2112</v>
      </c>
      <c r="G26" s="296"/>
      <c r="H26" s="297" t="str">
        <f>IFERROR(VLOOKUP(ROWS($H$3:H26),$D$3:$E$204,2,0),"")</f>
        <v>KRALUPY NAD VLTAVOU</v>
      </c>
      <c r="I26" s="266"/>
      <c r="J26" s="299" t="s">
        <v>771</v>
      </c>
      <c r="K26" s="288" t="s">
        <v>772</v>
      </c>
      <c r="M26" s="289">
        <f>IF(ISNUMBER(SEARCH(ZAKL_DATA!$B$29,N26)),MAX($M$2:M25)+1,0)</f>
        <v>24</v>
      </c>
      <c r="N26" s="482" t="s">
        <v>2607</v>
      </c>
      <c r="O26" s="482" t="s">
        <v>2608</v>
      </c>
      <c r="Q26" s="291" t="str">
        <f>IFERROR(VLOOKUP(ROWS($Q$3:Q26),$M$3:$N$718,2,0),"")</f>
        <v>Činnosti fyzioterapeutů</v>
      </c>
      <c r="R26">
        <f>IF(ISNUMBER(SEARCH('1Př1'!$A$32,N26)),MAX($M$2:M25)+1,0)</f>
        <v>24</v>
      </c>
      <c r="S26" s="290" t="s">
        <v>773</v>
      </c>
      <c r="T26" t="str">
        <f>IFERROR(VLOOKUP(ROWS($T$3:T26),$R$3:$S$718,2,0),"")</f>
        <v>Tisk a rozmnožování nahraných nosičů</v>
      </c>
      <c r="U26">
        <f>IF(ISNUMBER(SEARCH('1Př1'!$A$33,N26)),MAX($M$2:M25)+1,0)</f>
        <v>24</v>
      </c>
      <c r="V26" s="290" t="s">
        <v>773</v>
      </c>
      <c r="W26" t="str">
        <f>IFERROR(VLOOKUP(ROWS($W$3:W26),$U$3:$V$718,2,0),"")</f>
        <v>Tisk a rozmnožování nahraných nosičů</v>
      </c>
      <c r="X26">
        <f>IF(ISNUMBER(SEARCH('1Př1'!$A$34,N26)),MAX($M$2:M25)+1,0)</f>
        <v>24</v>
      </c>
      <c r="Y26" s="290" t="s">
        <v>773</v>
      </c>
      <c r="Z26" t="str">
        <f>IFERROR(VLOOKUP(ROWS($Z$3:Z26),$X$3:$Y$718,2,0),"")</f>
        <v>Tisk a rozmnožování nahraných nosičů</v>
      </c>
    </row>
    <row r="27" spans="1:26" ht="12.75" customHeight="1">
      <c r="A27" s="266"/>
      <c r="B27" s="266"/>
      <c r="C27" s="266"/>
      <c r="D27" s="282">
        <f>IF(ISNUMBER(SEARCH(ZAKL_DATA!$B$14,E27)),MAX($D$2:D26)+1,0)</f>
        <v>25</v>
      </c>
      <c r="E27" s="294" t="s">
        <v>774</v>
      </c>
      <c r="F27" s="295">
        <v>2113</v>
      </c>
      <c r="G27" s="296"/>
      <c r="H27" s="297" t="str">
        <f>IFERROR(VLOOKUP(ROWS($H$3:H27),$D$3:$E$204,2,0),"")</f>
        <v>KUTNÁ HORA</v>
      </c>
      <c r="I27" s="266"/>
      <c r="J27" s="299" t="s">
        <v>775</v>
      </c>
      <c r="K27" s="288" t="s">
        <v>776</v>
      </c>
      <c r="M27" s="289">
        <f>IF(ISNUMBER(SEARCH(ZAKL_DATA!$B$29,N27)),MAX($M$2:M26)+1,0)</f>
        <v>25</v>
      </c>
      <c r="N27" s="482" t="s">
        <v>1087</v>
      </c>
      <c r="O27" s="482" t="s">
        <v>2609</v>
      </c>
      <c r="Q27" s="291" t="str">
        <f>IFERROR(VLOOKUP(ROWS($Q$3:Q27),$M$3:$N$718,2,0),"")</f>
        <v>Činnosti heren, kasin a sázkových kanceláří</v>
      </c>
      <c r="R27">
        <f>IF(ISNUMBER(SEARCH('1Př1'!$A$32,N27)),MAX($M$2:M26)+1,0)</f>
        <v>25</v>
      </c>
      <c r="S27" s="290" t="s">
        <v>777</v>
      </c>
      <c r="T27" t="str">
        <f>IFERROR(VLOOKUP(ROWS($T$3:T27),$R$3:$S$718,2,0),"")</f>
        <v>Výroba koksu a rafinovaných ropných produktů</v>
      </c>
      <c r="U27">
        <f>IF(ISNUMBER(SEARCH('1Př1'!$A$33,N27)),MAX($M$2:M26)+1,0)</f>
        <v>25</v>
      </c>
      <c r="V27" s="290" t="s">
        <v>777</v>
      </c>
      <c r="W27" t="str">
        <f>IFERROR(VLOOKUP(ROWS($W$3:W27),$U$3:$V$718,2,0),"")</f>
        <v>Výroba koksu a rafinovaných ropných produktů</v>
      </c>
      <c r="X27">
        <f>IF(ISNUMBER(SEARCH('1Př1'!$A$34,N27)),MAX($M$2:M26)+1,0)</f>
        <v>25</v>
      </c>
      <c r="Y27" s="290" t="s">
        <v>777</v>
      </c>
      <c r="Z27" t="str">
        <f>IFERROR(VLOOKUP(ROWS($Z$3:Z27),$X$3:$Y$718,2,0),"")</f>
        <v>Výroba koksu a rafinovaných ropných produktů</v>
      </c>
    </row>
    <row r="28" spans="1:26" ht="12.75" customHeight="1">
      <c r="A28" s="266"/>
      <c r="B28" s="266"/>
      <c r="C28" s="266"/>
      <c r="D28" s="282">
        <f>IF(ISNUMBER(SEARCH(ZAKL_DATA!$B$14,E28)),MAX($D$2:D27)+1,0)</f>
        <v>26</v>
      </c>
      <c r="E28" s="294" t="s">
        <v>778</v>
      </c>
      <c r="F28" s="295">
        <v>2114</v>
      </c>
      <c r="G28" s="296"/>
      <c r="H28" s="297" t="str">
        <f>IFERROR(VLOOKUP(ROWS($H$3:H28),$D$3:$E$204,2,0),"")</f>
        <v>MĚLNÍK</v>
      </c>
      <c r="I28" s="266"/>
      <c r="J28" s="299" t="s">
        <v>779</v>
      </c>
      <c r="K28" s="288" t="s">
        <v>780</v>
      </c>
      <c r="M28" s="289">
        <f>IF(ISNUMBER(SEARCH(ZAKL_DATA!$B$29,N28)),MAX($M$2:M27)+1,0)</f>
        <v>26</v>
      </c>
      <c r="N28" s="482" t="s">
        <v>1685</v>
      </c>
      <c r="O28" s="482" t="s">
        <v>2610</v>
      </c>
      <c r="Q28" s="291" t="str">
        <f>IFERROR(VLOOKUP(ROWS($Q$3:Q28),$M$3:$N$718,2,0),"")</f>
        <v>Činnosti holdingových společností</v>
      </c>
      <c r="R28">
        <f>IF(ISNUMBER(SEARCH('1Př1'!$A$32,N28)),MAX($M$2:M27)+1,0)</f>
        <v>26</v>
      </c>
      <c r="S28" s="290" t="s">
        <v>781</v>
      </c>
      <c r="T28" t="str">
        <f>IFERROR(VLOOKUP(ROWS($T$3:T28),$R$3:$S$718,2,0),"")</f>
        <v>Výroba chemických látek a chemických přípravků</v>
      </c>
      <c r="U28">
        <f>IF(ISNUMBER(SEARCH('1Př1'!$A$33,N28)),MAX($M$2:M27)+1,0)</f>
        <v>26</v>
      </c>
      <c r="V28" s="290" t="s">
        <v>781</v>
      </c>
      <c r="W28" t="str">
        <f>IFERROR(VLOOKUP(ROWS($W$3:W28),$U$3:$V$718,2,0),"")</f>
        <v>Výroba chemických látek a chemických přípravků</v>
      </c>
      <c r="X28">
        <f>IF(ISNUMBER(SEARCH('1Př1'!$A$34,N28)),MAX($M$2:M27)+1,0)</f>
        <v>26</v>
      </c>
      <c r="Y28" s="290" t="s">
        <v>781</v>
      </c>
      <c r="Z28" t="str">
        <f>IFERROR(VLOOKUP(ROWS($Z$3:Z28),$X$3:$Y$718,2,0),"")</f>
        <v>Výroba chemických látek a chemických přípravků</v>
      </c>
    </row>
    <row r="29" spans="1:26" ht="12.75" customHeight="1">
      <c r="A29" s="266"/>
      <c r="B29" s="266"/>
      <c r="C29" s="266"/>
      <c r="D29" s="282">
        <f>IF(ISNUMBER(SEARCH(ZAKL_DATA!$B$14,E29)),MAX($D$2:D28)+1,0)</f>
        <v>27</v>
      </c>
      <c r="E29" s="294" t="s">
        <v>782</v>
      </c>
      <c r="F29" s="295">
        <v>2115</v>
      </c>
      <c r="G29" s="296"/>
      <c r="H29" s="297" t="str">
        <f>IFERROR(VLOOKUP(ROWS($H$3:H29),$D$3:$E$204,2,0),"")</f>
        <v>MLADÁ BOLESLAV</v>
      </c>
      <c r="I29" s="266"/>
      <c r="J29" s="299" t="s">
        <v>783</v>
      </c>
      <c r="K29" s="288" t="s">
        <v>784</v>
      </c>
      <c r="M29" s="289">
        <f>IF(ISNUMBER(SEARCH(ZAKL_DATA!$B$29,N29)),MAX($M$2:M28)+1,0)</f>
        <v>27</v>
      </c>
      <c r="N29" s="482" t="s">
        <v>2611</v>
      </c>
      <c r="O29" s="482" t="s">
        <v>2612</v>
      </c>
      <c r="Q29" s="291" t="str">
        <f>IFERROR(VLOOKUP(ROWS($Q$3:Q29),$M$3:$N$718,2,0),"")</f>
        <v>Činnosti investičních fondů peněžního trhu a investičních fondů jiných než peněžního trhu</v>
      </c>
      <c r="R29">
        <f>IF(ISNUMBER(SEARCH('1Př1'!$A$32,N29)),MAX($M$2:M28)+1,0)</f>
        <v>27</v>
      </c>
      <c r="S29" s="290" t="s">
        <v>785</v>
      </c>
      <c r="T29" t="str">
        <f>IFERROR(VLOOKUP(ROWS($T$3:T29),$R$3:$S$718,2,0),"")</f>
        <v>Výroba základních farmaceutických výrobků a farmaceutických přípravků</v>
      </c>
      <c r="U29">
        <f>IF(ISNUMBER(SEARCH('1Př1'!$A$33,N29)),MAX($M$2:M28)+1,0)</f>
        <v>27</v>
      </c>
      <c r="V29" s="290" t="s">
        <v>785</v>
      </c>
      <c r="W29" t="str">
        <f>IFERROR(VLOOKUP(ROWS($W$3:W29),$U$3:$V$718,2,0),"")</f>
        <v>Výroba základních farmaceutických výrobků a farmaceutických přípravků</v>
      </c>
      <c r="X29">
        <f>IF(ISNUMBER(SEARCH('1Př1'!$A$34,N29)),MAX($M$2:M28)+1,0)</f>
        <v>27</v>
      </c>
      <c r="Y29" s="290" t="s">
        <v>785</v>
      </c>
      <c r="Z29" t="str">
        <f>IFERROR(VLOOKUP(ROWS($Z$3:Z29),$X$3:$Y$718,2,0),"")</f>
        <v>Výroba základních farmaceutických výrobků a farmaceutických přípravků</v>
      </c>
    </row>
    <row r="30" spans="1:26" ht="12.75" customHeight="1">
      <c r="A30" s="266"/>
      <c r="B30" s="266"/>
      <c r="C30" s="266"/>
      <c r="D30" s="282">
        <f>IF(ISNUMBER(SEARCH(ZAKL_DATA!$B$14,E30)),MAX($D$2:D29)+1,0)</f>
        <v>28</v>
      </c>
      <c r="E30" s="294" t="s">
        <v>786</v>
      </c>
      <c r="F30" s="295">
        <v>2116</v>
      </c>
      <c r="G30" s="296"/>
      <c r="H30" s="297" t="str">
        <f>IFERROR(VLOOKUP(ROWS($H$3:H30),$D$3:$E$204,2,0),"")</f>
        <v>MNICHOVO HRADIŠTĚ</v>
      </c>
      <c r="I30" s="266"/>
      <c r="J30" s="299" t="s">
        <v>787</v>
      </c>
      <c r="K30" s="288" t="s">
        <v>788</v>
      </c>
      <c r="M30" s="289">
        <f>IF(ISNUMBER(SEARCH(ZAKL_DATA!$B$29,N30)),MAX($M$2:M29)+1,0)</f>
        <v>28</v>
      </c>
      <c r="N30" s="482" t="s">
        <v>2613</v>
      </c>
      <c r="O30" s="482" t="s">
        <v>2614</v>
      </c>
      <c r="Q30" s="291" t="str">
        <f>IFERROR(VLOOKUP(ROWS($Q$3:Q30),$M$3:$N$718,2,0),"")</f>
        <v>Činnosti jiných organizací sdružujících osoby za účelem prosazování společných a veřejných zájmů j. n.</v>
      </c>
      <c r="R30">
        <f>IF(ISNUMBER(SEARCH('1Př1'!$A$32,N30)),MAX($M$2:M29)+1,0)</f>
        <v>28</v>
      </c>
      <c r="S30" s="290" t="s">
        <v>789</v>
      </c>
      <c r="T30" t="str">
        <f>IFERROR(VLOOKUP(ROWS($T$3:T30),$R$3:$S$718,2,0),"")</f>
        <v>Lesní hospodářství a jiné činnosti v oblasti lesnictví</v>
      </c>
      <c r="U30">
        <f>IF(ISNUMBER(SEARCH('1Př1'!$A$33,N30)),MAX($M$2:M29)+1,0)</f>
        <v>28</v>
      </c>
      <c r="V30" s="290" t="s">
        <v>789</v>
      </c>
      <c r="W30" t="str">
        <f>IFERROR(VLOOKUP(ROWS($W$3:W30),$U$3:$V$718,2,0),"")</f>
        <v>Lesní hospodářství a jiné činnosti v oblasti lesnictví</v>
      </c>
      <c r="X30">
        <f>IF(ISNUMBER(SEARCH('1Př1'!$A$34,N30)),MAX($M$2:M29)+1,0)</f>
        <v>28</v>
      </c>
      <c r="Y30" s="290" t="s">
        <v>789</v>
      </c>
      <c r="Z30" t="str">
        <f>IFERROR(VLOOKUP(ROWS($Z$3:Z30),$X$3:$Y$718,2,0),"")</f>
        <v>Lesní hospodářství a jiné činnosti v oblasti lesnictví</v>
      </c>
    </row>
    <row r="31" spans="1:26" ht="12.75" customHeight="1">
      <c r="A31" s="266"/>
      <c r="B31" s="266"/>
      <c r="C31" s="266"/>
      <c r="D31" s="282">
        <f>IF(ISNUMBER(SEARCH(ZAKL_DATA!$B$14,E31)),MAX($D$2:D30)+1,0)</f>
        <v>29</v>
      </c>
      <c r="E31" s="294" t="s">
        <v>790</v>
      </c>
      <c r="F31" s="295">
        <v>2117</v>
      </c>
      <c r="G31" s="296"/>
      <c r="H31" s="297" t="str">
        <f>IFERROR(VLOOKUP(ROWS($H$3:H31),$D$3:$E$204,2,0),"")</f>
        <v>NERATOVICE</v>
      </c>
      <c r="I31" s="266"/>
      <c r="J31" s="299" t="s">
        <v>791</v>
      </c>
      <c r="K31" s="288" t="s">
        <v>792</v>
      </c>
      <c r="M31" s="289">
        <f>IF(ISNUMBER(SEARCH(ZAKL_DATA!$B$29,N31)),MAX($M$2:M30)+1,0)</f>
        <v>29</v>
      </c>
      <c r="N31" s="482" t="s">
        <v>2615</v>
      </c>
      <c r="O31" s="482" t="s">
        <v>2616</v>
      </c>
      <c r="Q31" s="291" t="str">
        <f>IFERROR(VLOOKUP(ROWS($Q$3:Q31),$M$3:$N$718,2,0),"")</f>
        <v>Činnosti knihoven</v>
      </c>
      <c r="R31">
        <f>IF(ISNUMBER(SEARCH('1Př1'!$A$32,N31)),MAX($M$2:M30)+1,0)</f>
        <v>29</v>
      </c>
      <c r="S31" s="290" t="s">
        <v>793</v>
      </c>
      <c r="T31" t="str">
        <f>IFERROR(VLOOKUP(ROWS($T$3:T31),$R$3:$S$718,2,0),"")</f>
        <v>Výroba pryžových a plastových výrobků</v>
      </c>
      <c r="U31">
        <f>IF(ISNUMBER(SEARCH('1Př1'!$A$33,N31)),MAX($M$2:M30)+1,0)</f>
        <v>29</v>
      </c>
      <c r="V31" s="290" t="s">
        <v>793</v>
      </c>
      <c r="W31" t="str">
        <f>IFERROR(VLOOKUP(ROWS($W$3:W31),$U$3:$V$718,2,0),"")</f>
        <v>Výroba pryžových a plastových výrobků</v>
      </c>
      <c r="X31">
        <f>IF(ISNUMBER(SEARCH('1Př1'!$A$34,N31)),MAX($M$2:M30)+1,0)</f>
        <v>29</v>
      </c>
      <c r="Y31" s="290" t="s">
        <v>793</v>
      </c>
      <c r="Z31" t="str">
        <f>IFERROR(VLOOKUP(ROWS($Z$3:Z31),$X$3:$Y$718,2,0),"")</f>
        <v>Výroba pryžových a plastových výrobků</v>
      </c>
    </row>
    <row r="32" spans="1:26" ht="12.75" customHeight="1">
      <c r="A32" s="266"/>
      <c r="B32" s="266"/>
      <c r="C32" s="266"/>
      <c r="D32" s="282">
        <f>IF(ISNUMBER(SEARCH(ZAKL_DATA!$B$14,E32)),MAX($D$2:D31)+1,0)</f>
        <v>30</v>
      </c>
      <c r="E32" s="294" t="s">
        <v>794</v>
      </c>
      <c r="F32" s="295">
        <v>2118</v>
      </c>
      <c r="G32" s="296"/>
      <c r="H32" s="297" t="str">
        <f>IFERROR(VLOOKUP(ROWS($H$3:H32),$D$3:$E$204,2,0),"")</f>
        <v>NYMBURK</v>
      </c>
      <c r="I32" s="266"/>
      <c r="J32" s="299" t="s">
        <v>795</v>
      </c>
      <c r="K32" s="288" t="s">
        <v>796</v>
      </c>
      <c r="M32" s="289">
        <f>IF(ISNUMBER(SEARCH(ZAKL_DATA!$B$29,N32)),MAX($M$2:M31)+1,0)</f>
        <v>30</v>
      </c>
      <c r="N32" s="482" t="s">
        <v>2617</v>
      </c>
      <c r="O32" s="482" t="s">
        <v>2618</v>
      </c>
      <c r="Q32" s="291" t="str">
        <f>IFERROR(VLOOKUP(ROWS($Q$3:Q32),$M$3:$N$718,2,0),"")</f>
        <v>Činnosti makléřů a agentů v oblasti elektrické energie a zemního plynu</v>
      </c>
      <c r="R32">
        <f>IF(ISNUMBER(SEARCH('1Př1'!$A$32,N32)),MAX($M$2:M31)+1,0)</f>
        <v>30</v>
      </c>
      <c r="S32" s="290" t="s">
        <v>797</v>
      </c>
      <c r="T32" t="str">
        <f>IFERROR(VLOOKUP(ROWS($T$3:T32),$R$3:$S$718,2,0),"")</f>
        <v>Těžba dřeva</v>
      </c>
      <c r="U32">
        <f>IF(ISNUMBER(SEARCH('1Př1'!$A$33,N32)),MAX($M$2:M31)+1,0)</f>
        <v>30</v>
      </c>
      <c r="V32" s="290" t="s">
        <v>797</v>
      </c>
      <c r="W32" t="str">
        <f>IFERROR(VLOOKUP(ROWS($W$3:W32),$U$3:$V$718,2,0),"")</f>
        <v>Těžba dřeva</v>
      </c>
      <c r="X32">
        <f>IF(ISNUMBER(SEARCH('1Př1'!$A$34,N32)),MAX($M$2:M31)+1,0)</f>
        <v>30</v>
      </c>
      <c r="Y32" s="290" t="s">
        <v>797</v>
      </c>
      <c r="Z32" t="str">
        <f>IFERROR(VLOOKUP(ROWS($Z$3:Z32),$X$3:$Y$718,2,0),"")</f>
        <v>Těžba dřeva</v>
      </c>
    </row>
    <row r="33" spans="1:26" ht="12.75" customHeight="1">
      <c r="A33" s="266"/>
      <c r="B33" s="266"/>
      <c r="C33" s="266"/>
      <c r="D33" s="282">
        <f>IF(ISNUMBER(SEARCH(ZAKL_DATA!$B$14,E33)),MAX($D$2:D32)+1,0)</f>
        <v>31</v>
      </c>
      <c r="E33" s="294" t="s">
        <v>798</v>
      </c>
      <c r="F33" s="295">
        <v>2119</v>
      </c>
      <c r="G33" s="296"/>
      <c r="H33" s="297" t="str">
        <f>IFERROR(VLOOKUP(ROWS($H$3:H33),$D$3:$E$204,2,0),"")</f>
        <v>PODĚBRADY</v>
      </c>
      <c r="I33" s="266"/>
      <c r="J33" s="299" t="s">
        <v>799</v>
      </c>
      <c r="K33" s="288" t="s">
        <v>800</v>
      </c>
      <c r="M33" s="289">
        <f>IF(ISNUMBER(SEARCH(ZAKL_DATA!$B$29,N33)),MAX($M$2:M32)+1,0)</f>
        <v>31</v>
      </c>
      <c r="N33" s="482" t="s">
        <v>2619</v>
      </c>
      <c r="O33" s="482" t="s">
        <v>2620</v>
      </c>
      <c r="Q33" s="291" t="str">
        <f>IFERROR(VLOOKUP(ROWS($Q$3:Q33),$M$3:$N$718,2,0),"")</f>
        <v>Činnosti muzeí a galerií</v>
      </c>
      <c r="R33">
        <f>IF(ISNUMBER(SEARCH('1Př1'!$A$32,N33)),MAX($M$2:M32)+1,0)</f>
        <v>31</v>
      </c>
      <c r="S33" s="290" t="s">
        <v>801</v>
      </c>
      <c r="T33" t="str">
        <f>IFERROR(VLOOKUP(ROWS($T$3:T33),$R$3:$S$718,2,0),"")</f>
        <v>Výroba ostatních nekovových minerálních výrobků</v>
      </c>
      <c r="U33">
        <f>IF(ISNUMBER(SEARCH('1Př1'!$A$33,N33)),MAX($M$2:M32)+1,0)</f>
        <v>31</v>
      </c>
      <c r="V33" s="290" t="s">
        <v>801</v>
      </c>
      <c r="W33" t="str">
        <f>IFERROR(VLOOKUP(ROWS($W$3:W33),$U$3:$V$718,2,0),"")</f>
        <v>Výroba ostatních nekovových minerálních výrobků</v>
      </c>
      <c r="X33">
        <f>IF(ISNUMBER(SEARCH('1Př1'!$A$34,N33)),MAX($M$2:M32)+1,0)</f>
        <v>31</v>
      </c>
      <c r="Y33" s="290" t="s">
        <v>801</v>
      </c>
      <c r="Z33" t="str">
        <f>IFERROR(VLOOKUP(ROWS($Z$3:Z33),$X$3:$Y$718,2,0),"")</f>
        <v>Výroba ostatních nekovových minerálních výrobků</v>
      </c>
    </row>
    <row r="34" spans="1:26" ht="12.75" customHeight="1">
      <c r="A34" s="266"/>
      <c r="B34" s="266"/>
      <c r="C34" s="266"/>
      <c r="D34" s="282">
        <f>IF(ISNUMBER(SEARCH(ZAKL_DATA!$B$14,E34)),MAX($D$2:D33)+1,0)</f>
        <v>32</v>
      </c>
      <c r="E34" s="294" t="s">
        <v>802</v>
      </c>
      <c r="F34" s="295">
        <v>2120</v>
      </c>
      <c r="G34" s="296"/>
      <c r="H34" s="297" t="str">
        <f>IFERROR(VLOOKUP(ROWS($H$3:H34),$D$3:$E$204,2,0),"")</f>
        <v>PŘÍBRAM</v>
      </c>
      <c r="I34" s="266"/>
      <c r="J34" s="299" t="s">
        <v>803</v>
      </c>
      <c r="K34" s="288" t="s">
        <v>804</v>
      </c>
      <c r="M34" s="289">
        <f>IF(ISNUMBER(SEARCH(ZAKL_DATA!$B$29,N34)),MAX($M$2:M33)+1,0)</f>
        <v>32</v>
      </c>
      <c r="N34" s="482" t="s">
        <v>2142</v>
      </c>
      <c r="O34" s="482" t="s">
        <v>2621</v>
      </c>
      <c r="Q34" s="291" t="str">
        <f>IFERROR(VLOOKUP(ROWS($Q$3:Q34),$M$3:$N$718,2,0),"")</f>
        <v>Činnosti náboženských organizací</v>
      </c>
      <c r="R34">
        <f>IF(ISNUMBER(SEARCH('1Př1'!$A$32,N34)),MAX($M$2:M33)+1,0)</f>
        <v>32</v>
      </c>
      <c r="S34" s="290" t="s">
        <v>805</v>
      </c>
      <c r="T34" t="str">
        <f>IFERROR(VLOOKUP(ROWS($T$3:T34),$R$3:$S$718,2,0),"")</f>
        <v>Sběr a získávání volně rostoucích plodů a materiálů, kromě dřeva</v>
      </c>
      <c r="U34">
        <f>IF(ISNUMBER(SEARCH('1Př1'!$A$33,N34)),MAX($M$2:M33)+1,0)</f>
        <v>32</v>
      </c>
      <c r="V34" s="290" t="s">
        <v>805</v>
      </c>
      <c r="W34" t="str">
        <f>IFERROR(VLOOKUP(ROWS($W$3:W34),$U$3:$V$718,2,0),"")</f>
        <v>Sběr a získávání volně rostoucích plodů a materiálů, kromě dřeva</v>
      </c>
      <c r="X34">
        <f>IF(ISNUMBER(SEARCH('1Př1'!$A$34,N34)),MAX($M$2:M33)+1,0)</f>
        <v>32</v>
      </c>
      <c r="Y34" s="290" t="s">
        <v>805</v>
      </c>
      <c r="Z34" t="str">
        <f>IFERROR(VLOOKUP(ROWS($Z$3:Z34),$X$3:$Y$718,2,0),"")</f>
        <v>Sběr a získávání volně rostoucích plodů a materiálů, kromě dřeva</v>
      </c>
    </row>
    <row r="35" spans="1:26" ht="12.75" customHeight="1">
      <c r="A35" s="266"/>
      <c r="B35" s="266"/>
      <c r="C35" s="266"/>
      <c r="D35" s="282">
        <f>IF(ISNUMBER(SEARCH(ZAKL_DATA!$B$14,E35)),MAX($D$2:D34)+1,0)</f>
        <v>33</v>
      </c>
      <c r="E35" s="294" t="s">
        <v>806</v>
      </c>
      <c r="F35" s="295">
        <v>2121</v>
      </c>
      <c r="G35" s="296"/>
      <c r="H35" s="297" t="str">
        <f>IFERROR(VLOOKUP(ROWS($H$3:H35),$D$3:$E$204,2,0),"")</f>
        <v>RAKOVNÍK</v>
      </c>
      <c r="I35" s="266"/>
      <c r="J35" s="299" t="s">
        <v>807</v>
      </c>
      <c r="K35" s="288" t="s">
        <v>808</v>
      </c>
      <c r="M35" s="289">
        <f>IF(ISNUMBER(SEARCH(ZAKL_DATA!$B$29,N35)),MAX($M$2:M34)+1,0)</f>
        <v>33</v>
      </c>
      <c r="N35" s="482" t="s">
        <v>2166</v>
      </c>
      <c r="O35" s="482" t="s">
        <v>2622</v>
      </c>
      <c r="Q35" s="291" t="str">
        <f>IFERROR(VLOOKUP(ROWS($Q$3:Q35),$M$3:$N$718,2,0),"")</f>
        <v>Činnosti občanských iniciativ, protestních hnutí</v>
      </c>
      <c r="R35">
        <f>IF(ISNUMBER(SEARCH('1Př1'!$A$32,N35)),MAX($M$2:M34)+1,0)</f>
        <v>33</v>
      </c>
      <c r="S35" s="290" t="s">
        <v>809</v>
      </c>
      <c r="T35" t="str">
        <f>IFERROR(VLOOKUP(ROWS($T$3:T35),$R$3:$S$718,2,0),"")</f>
        <v>Výroba základních kovů, hutní zpracování kovů; slévárenství</v>
      </c>
      <c r="U35">
        <f>IF(ISNUMBER(SEARCH('1Př1'!$A$33,N35)),MAX($M$2:M34)+1,0)</f>
        <v>33</v>
      </c>
      <c r="V35" s="290" t="s">
        <v>809</v>
      </c>
      <c r="W35" t="str">
        <f>IFERROR(VLOOKUP(ROWS($W$3:W35),$U$3:$V$718,2,0),"")</f>
        <v>Výroba základních kovů, hutní zpracování kovů; slévárenství</v>
      </c>
      <c r="X35">
        <f>IF(ISNUMBER(SEARCH('1Př1'!$A$34,N35)),MAX($M$2:M34)+1,0)</f>
        <v>33</v>
      </c>
      <c r="Y35" s="290" t="s">
        <v>809</v>
      </c>
      <c r="Z35" t="str">
        <f>IFERROR(VLOOKUP(ROWS($Z$3:Z35),$X$3:$Y$718,2,0),"")</f>
        <v>Výroba základních kovů, hutní zpracování kovů; slévárenství</v>
      </c>
    </row>
    <row r="36" spans="1:26" ht="12.75" customHeight="1">
      <c r="A36" s="266"/>
      <c r="B36" s="266"/>
      <c r="C36" s="266"/>
      <c r="D36" s="282">
        <f>IF(ISNUMBER(SEARCH(ZAKL_DATA!$B$14,E36)),MAX($D$2:D35)+1,0)</f>
        <v>34</v>
      </c>
      <c r="E36" s="294" t="s">
        <v>810</v>
      </c>
      <c r="F36" s="295">
        <v>2122</v>
      </c>
      <c r="G36" s="296"/>
      <c r="H36" s="297" t="str">
        <f>IFERROR(VLOOKUP(ROWS($H$3:H36),$D$3:$E$204,2,0),"")</f>
        <v>ŘÍČANY</v>
      </c>
      <c r="I36" s="266"/>
      <c r="J36" s="299" t="s">
        <v>811</v>
      </c>
      <c r="K36" s="288" t="s">
        <v>812</v>
      </c>
      <c r="M36" s="289">
        <f>IF(ISNUMBER(SEARCH(ZAKL_DATA!$B$29,N36)),MAX($M$2:M35)+1,0)</f>
        <v>34</v>
      </c>
      <c r="N36" s="482" t="s">
        <v>1759</v>
      </c>
      <c r="O36" s="482" t="s">
        <v>2623</v>
      </c>
      <c r="Q36" s="291" t="str">
        <f>IFERROR(VLOOKUP(ROWS($Q$3:Q36),$M$3:$N$718,2,0),"")</f>
        <v>Činnosti odborových svazů</v>
      </c>
      <c r="R36">
        <f>IF(ISNUMBER(SEARCH('1Př1'!$A$32,N36)),MAX($M$2:M35)+1,0)</f>
        <v>34</v>
      </c>
      <c r="S36" s="290" t="s">
        <v>813</v>
      </c>
      <c r="T36" t="str">
        <f>IFERROR(VLOOKUP(ROWS($T$3:T36),$R$3:$S$718,2,0),"")</f>
        <v>Podpůrné činnosti pro lesnictví</v>
      </c>
      <c r="U36">
        <f>IF(ISNUMBER(SEARCH('1Př1'!$A$33,N36)),MAX($M$2:M35)+1,0)</f>
        <v>34</v>
      </c>
      <c r="V36" s="290" t="s">
        <v>813</v>
      </c>
      <c r="W36" t="str">
        <f>IFERROR(VLOOKUP(ROWS($W$3:W36),$U$3:$V$718,2,0),"")</f>
        <v>Podpůrné činnosti pro lesnictví</v>
      </c>
      <c r="X36">
        <f>IF(ISNUMBER(SEARCH('1Př1'!$A$34,N36)),MAX($M$2:M35)+1,0)</f>
        <v>34</v>
      </c>
      <c r="Y36" s="290" t="s">
        <v>813</v>
      </c>
      <c r="Z36" t="str">
        <f>IFERROR(VLOOKUP(ROWS($Z$3:Z36),$X$3:$Y$718,2,0),"")</f>
        <v>Podpůrné činnosti pro lesnictví</v>
      </c>
    </row>
    <row r="37" spans="1:26" ht="12.75" customHeight="1">
      <c r="A37" s="266"/>
      <c r="B37" s="266"/>
      <c r="C37" s="266"/>
      <c r="D37" s="282">
        <f>IF(ISNUMBER(SEARCH(ZAKL_DATA!$B$14,E37)),MAX($D$2:D36)+1,0)</f>
        <v>35</v>
      </c>
      <c r="E37" s="294" t="s">
        <v>814</v>
      </c>
      <c r="F37" s="295">
        <v>2123</v>
      </c>
      <c r="G37" s="296"/>
      <c r="H37" s="297" t="str">
        <f>IFERROR(VLOOKUP(ROWS($H$3:H37),$D$3:$E$204,2,0),"")</f>
        <v>SEDLČANY</v>
      </c>
      <c r="I37" s="266"/>
      <c r="J37" s="299" t="s">
        <v>815</v>
      </c>
      <c r="K37" s="288" t="s">
        <v>816</v>
      </c>
      <c r="M37" s="289">
        <f>IF(ISNUMBER(SEARCH(ZAKL_DATA!$B$29,N37)),MAX($M$2:M36)+1,0)</f>
        <v>35</v>
      </c>
      <c r="N37" s="482" t="s">
        <v>2161</v>
      </c>
      <c r="O37" s="482" t="s">
        <v>2624</v>
      </c>
      <c r="Q37" s="291" t="str">
        <f>IFERROR(VLOOKUP(ROWS($Q$3:Q37),$M$3:$N$718,2,0),"")</f>
        <v>Činnosti organizací dětí a mládeže</v>
      </c>
      <c r="R37">
        <f>IF(ISNUMBER(SEARCH('1Př1'!$A$32,N37)),MAX($M$2:M36)+1,0)</f>
        <v>35</v>
      </c>
      <c r="S37" s="290" t="s">
        <v>817</v>
      </c>
      <c r="T37" t="str">
        <f>IFERROR(VLOOKUP(ROWS($T$3:T37),$R$3:$S$718,2,0),"")</f>
        <v>Výroba kovových konstrukcí a kovodělných výrobků, kromě strojů a zařízení</v>
      </c>
      <c r="U37">
        <f>IF(ISNUMBER(SEARCH('1Př1'!$A$33,N37)),MAX($M$2:M36)+1,0)</f>
        <v>35</v>
      </c>
      <c r="V37" s="290" t="s">
        <v>817</v>
      </c>
      <c r="W37" t="str">
        <f>IFERROR(VLOOKUP(ROWS($W$3:W37),$U$3:$V$718,2,0),"")</f>
        <v>Výroba kovových konstrukcí a kovodělných výrobků, kromě strojů a zařízení</v>
      </c>
      <c r="X37">
        <f>IF(ISNUMBER(SEARCH('1Př1'!$A$34,N37)),MAX($M$2:M36)+1,0)</f>
        <v>35</v>
      </c>
      <c r="Y37" s="290" t="s">
        <v>817</v>
      </c>
      <c r="Z37" t="str">
        <f>IFERROR(VLOOKUP(ROWS($Z$3:Z37),$X$3:$Y$718,2,0),"")</f>
        <v>Výroba kovových konstrukcí a kovodělných výrobků, kromě strojů a zařízení</v>
      </c>
    </row>
    <row r="38" spans="1:26" ht="12.75" customHeight="1">
      <c r="A38" s="266"/>
      <c r="B38" s="266"/>
      <c r="C38" s="266"/>
      <c r="D38" s="282">
        <f>IF(ISNUMBER(SEARCH(ZAKL_DATA!$B$14,E38)),MAX($D$2:D37)+1,0)</f>
        <v>36</v>
      </c>
      <c r="E38" s="294" t="s">
        <v>818</v>
      </c>
      <c r="F38" s="295">
        <v>2124</v>
      </c>
      <c r="G38" s="296"/>
      <c r="H38" s="297" t="str">
        <f>IFERROR(VLOOKUP(ROWS($H$3:H38),$D$3:$E$204,2,0),"")</f>
        <v>SLANÝ</v>
      </c>
      <c r="I38" s="266"/>
      <c r="J38" s="299" t="s">
        <v>819</v>
      </c>
      <c r="K38" s="288" t="s">
        <v>820</v>
      </c>
      <c r="M38" s="289">
        <f>IF(ISNUMBER(SEARCH(ZAKL_DATA!$B$29,N38)),MAX($M$2:M37)+1,0)</f>
        <v>36</v>
      </c>
      <c r="N38" s="482" t="s">
        <v>2625</v>
      </c>
      <c r="O38" s="482" t="s">
        <v>2626</v>
      </c>
      <c r="Q38" s="291" t="str">
        <f>IFERROR(VLOOKUP(ROWS($Q$3:Q38),$M$3:$N$718,2,0),"")</f>
        <v>Činnosti organizací na ochranu a zlepšení postavení etnických, menšinových a jiných speciálních skupin</v>
      </c>
      <c r="R38">
        <f>IF(ISNUMBER(SEARCH('1Př1'!$A$32,N38)),MAX($M$2:M37)+1,0)</f>
        <v>36</v>
      </c>
      <c r="S38" s="290" t="s">
        <v>821</v>
      </c>
      <c r="T38" t="str">
        <f>IFERROR(VLOOKUP(ROWS($T$3:T38),$R$3:$S$718,2,0),"")</f>
        <v>Výroba počítačů, elektronických a optických přístrojů a zařízení</v>
      </c>
      <c r="U38">
        <f>IF(ISNUMBER(SEARCH('1Př1'!$A$33,N38)),MAX($M$2:M37)+1,0)</f>
        <v>36</v>
      </c>
      <c r="V38" s="290" t="s">
        <v>821</v>
      </c>
      <c r="W38" t="str">
        <f>IFERROR(VLOOKUP(ROWS($W$3:W38),$U$3:$V$718,2,0),"")</f>
        <v>Výroba počítačů, elektronických a optických přístrojů a zařízení</v>
      </c>
      <c r="X38">
        <f>IF(ISNUMBER(SEARCH('1Př1'!$A$34,N38)),MAX($M$2:M37)+1,0)</f>
        <v>36</v>
      </c>
      <c r="Y38" s="290" t="s">
        <v>821</v>
      </c>
      <c r="Z38" t="str">
        <f>IFERROR(VLOOKUP(ROWS($Z$3:Z38),$X$3:$Y$718,2,0),"")</f>
        <v>Výroba počítačů, elektronických a optických přístrojů a zařízení</v>
      </c>
    </row>
    <row r="39" spans="1:26" ht="12.75" customHeight="1">
      <c r="A39" s="266"/>
      <c r="B39" s="266"/>
      <c r="C39" s="266"/>
      <c r="D39" s="282">
        <f>IF(ISNUMBER(SEARCH(ZAKL_DATA!$B$14,E39)),MAX($D$2:D38)+1,0)</f>
        <v>37</v>
      </c>
      <c r="E39" s="294" t="s">
        <v>822</v>
      </c>
      <c r="F39" s="295">
        <v>2125</v>
      </c>
      <c r="G39" s="296"/>
      <c r="H39" s="297" t="str">
        <f>IFERROR(VLOOKUP(ROWS($H$3:H39),$D$3:$E$204,2,0),"")</f>
        <v>VLAŠIM</v>
      </c>
      <c r="I39" s="266"/>
      <c r="J39" s="299" t="s">
        <v>823</v>
      </c>
      <c r="K39" s="288" t="s">
        <v>824</v>
      </c>
      <c r="M39" s="289">
        <f>IF(ISNUMBER(SEARCH(ZAKL_DATA!$B$29,N39)),MAX($M$2:M38)+1,0)</f>
        <v>37</v>
      </c>
      <c r="N39" s="482" t="s">
        <v>2162</v>
      </c>
      <c r="O39" s="482" t="s">
        <v>2627</v>
      </c>
      <c r="Q39" s="291" t="str">
        <f>IFERROR(VLOOKUP(ROWS($Q$3:Q39),$M$3:$N$718,2,0),"")</f>
        <v>Činnosti organizací na podporu kulturní činnosti</v>
      </c>
      <c r="R39">
        <f>IF(ISNUMBER(SEARCH('1Př1'!$A$32,N39)),MAX($M$2:M38)+1,0)</f>
        <v>37</v>
      </c>
      <c r="S39" s="290" t="s">
        <v>825</v>
      </c>
      <c r="T39" t="str">
        <f>IFERROR(VLOOKUP(ROWS($T$3:T39),$R$3:$S$718,2,0),"")</f>
        <v>Výroba elektrických zařízení</v>
      </c>
      <c r="U39">
        <f>IF(ISNUMBER(SEARCH('1Př1'!$A$33,N39)),MAX($M$2:M38)+1,0)</f>
        <v>37</v>
      </c>
      <c r="V39" s="290" t="s">
        <v>825</v>
      </c>
      <c r="W39" t="str">
        <f>IFERROR(VLOOKUP(ROWS($W$3:W39),$U$3:$V$718,2,0),"")</f>
        <v>Výroba elektrických zařízení</v>
      </c>
      <c r="X39">
        <f>IF(ISNUMBER(SEARCH('1Př1'!$A$34,N39)),MAX($M$2:M38)+1,0)</f>
        <v>37</v>
      </c>
      <c r="Y39" s="290" t="s">
        <v>825</v>
      </c>
      <c r="Z39" t="str">
        <f>IFERROR(VLOOKUP(ROWS($Z$3:Z39),$X$3:$Y$718,2,0),"")</f>
        <v>Výroba elektrických zařízení</v>
      </c>
    </row>
    <row r="40" spans="1:26" ht="12.75" customHeight="1">
      <c r="A40" s="266"/>
      <c r="B40" s="266"/>
      <c r="C40" s="266"/>
      <c r="D40" s="282">
        <f>IF(ISNUMBER(SEARCH(ZAKL_DATA!$B$14,E40)),MAX($D$2:D39)+1,0)</f>
        <v>38</v>
      </c>
      <c r="E40" s="294" t="s">
        <v>826</v>
      </c>
      <c r="F40" s="295">
        <v>2126</v>
      </c>
      <c r="G40" s="296"/>
      <c r="H40" s="297" t="str">
        <f>IFERROR(VLOOKUP(ROWS($H$3:H40),$D$3:$E$204,2,0),"")</f>
        <v>VOTICE</v>
      </c>
      <c r="I40" s="266"/>
      <c r="J40" s="299" t="s">
        <v>827</v>
      </c>
      <c r="K40" s="288" t="s">
        <v>828</v>
      </c>
      <c r="M40" s="289">
        <f>IF(ISNUMBER(SEARCH(ZAKL_DATA!$B$29,N40)),MAX($M$2:M39)+1,0)</f>
        <v>38</v>
      </c>
      <c r="N40" s="482" t="s">
        <v>2163</v>
      </c>
      <c r="O40" s="482" t="s">
        <v>2628</v>
      </c>
      <c r="Q40" s="291" t="str">
        <f>IFERROR(VLOOKUP(ROWS($Q$3:Q40),$M$3:$N$718,2,0),"")</f>
        <v>Činnosti organizací na podporu rekreační a zájmové činnosti</v>
      </c>
      <c r="R40">
        <f>IF(ISNUMBER(SEARCH('1Př1'!$A$32,N40)),MAX($M$2:M39)+1,0)</f>
        <v>38</v>
      </c>
      <c r="S40" s="290" t="s">
        <v>829</v>
      </c>
      <c r="T40" t="str">
        <f>IFERROR(VLOOKUP(ROWS($T$3:T40),$R$3:$S$718,2,0),"")</f>
        <v>Výroba strojů a zařízení j. n.</v>
      </c>
      <c r="U40">
        <f>IF(ISNUMBER(SEARCH('1Př1'!$A$33,N40)),MAX($M$2:M39)+1,0)</f>
        <v>38</v>
      </c>
      <c r="V40" s="290" t="s">
        <v>829</v>
      </c>
      <c r="W40" t="str">
        <f>IFERROR(VLOOKUP(ROWS($W$3:W40),$U$3:$V$718,2,0),"")</f>
        <v>Výroba strojů a zařízení j. n.</v>
      </c>
      <c r="X40">
        <f>IF(ISNUMBER(SEARCH('1Př1'!$A$34,N40)),MAX($M$2:M39)+1,0)</f>
        <v>38</v>
      </c>
      <c r="Y40" s="290" t="s">
        <v>829</v>
      </c>
      <c r="Z40" t="str">
        <f>IFERROR(VLOOKUP(ROWS($Z$3:Z40),$X$3:$Y$718,2,0),"")</f>
        <v>Výroba strojů a zařízení j. n.</v>
      </c>
    </row>
    <row r="41" spans="1:26" ht="12.75" customHeight="1">
      <c r="A41" s="266"/>
      <c r="B41" s="266"/>
      <c r="C41" s="266"/>
      <c r="D41" s="282">
        <f>IF(ISNUMBER(SEARCH(ZAKL_DATA!$B$14,E41)),MAX($D$2:D40)+1,0)</f>
        <v>39</v>
      </c>
      <c r="E41" s="294" t="s">
        <v>830</v>
      </c>
      <c r="F41" s="295">
        <v>2201</v>
      </c>
      <c r="G41" s="296"/>
      <c r="H41" s="297" t="str">
        <f>IFERROR(VLOOKUP(ROWS($H$3:H41),$D$3:$E$204,2,0),"")</f>
        <v>ČESKÉ BUDĚJOVICE</v>
      </c>
      <c r="I41" s="266"/>
      <c r="J41" s="299" t="s">
        <v>831</v>
      </c>
      <c r="K41" s="288" t="s">
        <v>832</v>
      </c>
      <c r="M41" s="289">
        <f>IF(ISNUMBER(SEARCH(ZAKL_DATA!$B$29,N41)),MAX($M$2:M40)+1,0)</f>
        <v>39</v>
      </c>
      <c r="N41" s="482" t="s">
        <v>2140</v>
      </c>
      <c r="O41" s="482" t="s">
        <v>2629</v>
      </c>
      <c r="Q41" s="291" t="str">
        <f>IFERROR(VLOOKUP(ROWS($Q$3:Q41),$M$3:$N$718,2,0),"")</f>
        <v>Činnosti podnikatelských a zaměstnavatelských organizací</v>
      </c>
      <c r="R41">
        <f>IF(ISNUMBER(SEARCH('1Př1'!$A$32,N41)),MAX($M$2:M40)+1,0)</f>
        <v>39</v>
      </c>
      <c r="S41" s="290" t="s">
        <v>833</v>
      </c>
      <c r="T41" t="str">
        <f>IFERROR(VLOOKUP(ROWS($T$3:T41),$R$3:$S$718,2,0),"")</f>
        <v>Výroba motorových vozidel (kromě motocyklů), přívěsů a návěsů</v>
      </c>
      <c r="U41">
        <f>IF(ISNUMBER(SEARCH('1Př1'!$A$33,N41)),MAX($M$2:M40)+1,0)</f>
        <v>39</v>
      </c>
      <c r="V41" s="290" t="s">
        <v>833</v>
      </c>
      <c r="W41" t="str">
        <f>IFERROR(VLOOKUP(ROWS($W$3:W41),$U$3:$V$718,2,0),"")</f>
        <v>Výroba motorových vozidel (kromě motocyklů), přívěsů a návěsů</v>
      </c>
      <c r="X41">
        <f>IF(ISNUMBER(SEARCH('1Př1'!$A$34,N41)),MAX($M$2:M40)+1,0)</f>
        <v>39</v>
      </c>
      <c r="Y41" s="290" t="s">
        <v>833</v>
      </c>
      <c r="Z41" t="str">
        <f>IFERROR(VLOOKUP(ROWS($Z$3:Z41),$X$3:$Y$718,2,0),"")</f>
        <v>Výroba motorových vozidel (kromě motocyklů), přívěsů a návěsů</v>
      </c>
    </row>
    <row r="42" spans="1:26" ht="12.75" customHeight="1">
      <c r="A42" s="266"/>
      <c r="B42" s="266"/>
      <c r="C42" s="266"/>
      <c r="D42" s="282">
        <f>IF(ISNUMBER(SEARCH(ZAKL_DATA!$B$14,E42)),MAX($D$2:D41)+1,0)</f>
        <v>40</v>
      </c>
      <c r="E42" s="294" t="s">
        <v>834</v>
      </c>
      <c r="F42" s="295">
        <v>2202</v>
      </c>
      <c r="G42" s="296"/>
      <c r="H42" s="297" t="str">
        <f>IFERROR(VLOOKUP(ROWS($H$3:H42),$D$3:$E$204,2,0),"")</f>
        <v>BLATNÁ</v>
      </c>
      <c r="I42" s="266"/>
      <c r="J42" s="299" t="s">
        <v>835</v>
      </c>
      <c r="K42" s="288" t="s">
        <v>836</v>
      </c>
      <c r="M42" s="289">
        <f>IF(ISNUMBER(SEARCH(ZAKL_DATA!$B$29,N42)),MAX($M$2:M41)+1,0)</f>
        <v>40</v>
      </c>
      <c r="N42" s="482" t="s">
        <v>2630</v>
      </c>
      <c r="O42" s="482" t="s">
        <v>2631</v>
      </c>
      <c r="Q42" s="291" t="str">
        <f>IFERROR(VLOOKUP(ROWS($Q$3:Q42),$M$3:$N$718,2,0),"")</f>
        <v>Činnosti pojišťovacích makléřů a agentů</v>
      </c>
      <c r="R42">
        <f>IF(ISNUMBER(SEARCH('1Př1'!$A$32,N42)),MAX($M$2:M41)+1,0)</f>
        <v>40</v>
      </c>
      <c r="S42" s="290" t="s">
        <v>837</v>
      </c>
      <c r="T42" t="str">
        <f>IFERROR(VLOOKUP(ROWS($T$3:T42),$R$3:$S$718,2,0),"")</f>
        <v>Výroba ostatních dopravních prostředků a zařízení</v>
      </c>
      <c r="U42">
        <f>IF(ISNUMBER(SEARCH('1Př1'!$A$33,N42)),MAX($M$2:M41)+1,0)</f>
        <v>40</v>
      </c>
      <c r="V42" s="290" t="s">
        <v>837</v>
      </c>
      <c r="W42" t="str">
        <f>IFERROR(VLOOKUP(ROWS($W$3:W42),$U$3:$V$718,2,0),"")</f>
        <v>Výroba ostatních dopravních prostředků a zařízení</v>
      </c>
      <c r="X42">
        <f>IF(ISNUMBER(SEARCH('1Př1'!$A$34,N42)),MAX($M$2:M41)+1,0)</f>
        <v>40</v>
      </c>
      <c r="Y42" s="290" t="s">
        <v>837</v>
      </c>
      <c r="Z42" t="str">
        <f>IFERROR(VLOOKUP(ROWS($Z$3:Z42),$X$3:$Y$718,2,0),"")</f>
        <v>Výroba ostatních dopravních prostředků a zařízení</v>
      </c>
    </row>
    <row r="43" spans="1:26" ht="12.75" customHeight="1">
      <c r="A43" s="266"/>
      <c r="B43" s="266"/>
      <c r="C43" s="266"/>
      <c r="D43" s="282">
        <f>IF(ISNUMBER(SEARCH(ZAKL_DATA!$B$14,E43)),MAX($D$2:D42)+1,0)</f>
        <v>41</v>
      </c>
      <c r="E43" s="294" t="s">
        <v>838</v>
      </c>
      <c r="F43" s="295">
        <v>2203</v>
      </c>
      <c r="G43" s="296"/>
      <c r="H43" s="297" t="str">
        <f>IFERROR(VLOOKUP(ROWS($H$3:H43),$D$3:$E$204,2,0),"")</f>
        <v>ČESKÝ KRUMLOV</v>
      </c>
      <c r="I43" s="266"/>
      <c r="J43" s="299" t="s">
        <v>839</v>
      </c>
      <c r="K43" s="288" t="s">
        <v>840</v>
      </c>
      <c r="M43" s="289">
        <f>IF(ISNUMBER(SEARCH(ZAKL_DATA!$B$29,N43)),MAX($M$2:M42)+1,0)</f>
        <v>41</v>
      </c>
      <c r="N43" s="482" t="s">
        <v>2632</v>
      </c>
      <c r="O43" s="482" t="s">
        <v>2633</v>
      </c>
      <c r="Q43" s="291" t="str">
        <f>IFERROR(VLOOKUP(ROWS($Q$3:Q43),$M$3:$N$718,2,0),"")</f>
        <v>Činnosti politických organizací</v>
      </c>
      <c r="R43">
        <f>IF(ISNUMBER(SEARCH('1Př1'!$A$32,N43)),MAX($M$2:M42)+1,0)</f>
        <v>41</v>
      </c>
      <c r="S43" s="290" t="s">
        <v>841</v>
      </c>
      <c r="T43" t="str">
        <f>IFERROR(VLOOKUP(ROWS($T$3:T43),$R$3:$S$718,2,0),"")</f>
        <v>Výroba nábytku</v>
      </c>
      <c r="U43">
        <f>IF(ISNUMBER(SEARCH('1Př1'!$A$33,N43)),MAX($M$2:M42)+1,0)</f>
        <v>41</v>
      </c>
      <c r="V43" s="290" t="s">
        <v>841</v>
      </c>
      <c r="W43" t="str">
        <f>IFERROR(VLOOKUP(ROWS($W$3:W43),$U$3:$V$718,2,0),"")</f>
        <v>Výroba nábytku</v>
      </c>
      <c r="X43">
        <f>IF(ISNUMBER(SEARCH('1Př1'!$A$34,N43)),MAX($M$2:M42)+1,0)</f>
        <v>41</v>
      </c>
      <c r="Y43" s="290" t="s">
        <v>841</v>
      </c>
      <c r="Z43" t="str">
        <f>IFERROR(VLOOKUP(ROWS($Z$3:Z43),$X$3:$Y$718,2,0),"")</f>
        <v>Výroba nábytku</v>
      </c>
    </row>
    <row r="44" spans="1:26" ht="12.75" customHeight="1">
      <c r="A44" s="266"/>
      <c r="B44" s="266"/>
      <c r="C44" s="266"/>
      <c r="D44" s="282">
        <f>IF(ISNUMBER(SEARCH(ZAKL_DATA!$B$14,E44)),MAX($D$2:D43)+1,0)</f>
        <v>42</v>
      </c>
      <c r="E44" s="294" t="s">
        <v>842</v>
      </c>
      <c r="F44" s="295">
        <v>2204</v>
      </c>
      <c r="G44" s="296"/>
      <c r="H44" s="297" t="str">
        <f>IFERROR(VLOOKUP(ROWS($H$3:H44),$D$3:$E$204,2,0),"")</f>
        <v>DAČICE</v>
      </c>
      <c r="I44" s="266"/>
      <c r="J44" s="299" t="s">
        <v>843</v>
      </c>
      <c r="K44" s="288" t="s">
        <v>844</v>
      </c>
      <c r="M44" s="289">
        <f>IF(ISNUMBER(SEARCH(ZAKL_DATA!$B$29,N44)),MAX($M$2:M43)+1,0)</f>
        <v>42</v>
      </c>
      <c r="N44" s="482" t="s">
        <v>2141</v>
      </c>
      <c r="O44" s="482" t="s">
        <v>2634</v>
      </c>
      <c r="Q44" s="291" t="str">
        <f>IFERROR(VLOOKUP(ROWS($Q$3:Q44),$M$3:$N$718,2,0),"")</f>
        <v>Činnosti profesních organizací</v>
      </c>
      <c r="R44">
        <f>IF(ISNUMBER(SEARCH('1Př1'!$A$32,N44)),MAX($M$2:M43)+1,0)</f>
        <v>42</v>
      </c>
      <c r="S44" s="290" t="s">
        <v>845</v>
      </c>
      <c r="T44" t="str">
        <f>IFERROR(VLOOKUP(ROWS($T$3:T44),$R$3:$S$718,2,0),"")</f>
        <v>Rybolov</v>
      </c>
      <c r="U44">
        <f>IF(ISNUMBER(SEARCH('1Př1'!$A$33,N44)),MAX($M$2:M43)+1,0)</f>
        <v>42</v>
      </c>
      <c r="V44" s="290" t="s">
        <v>845</v>
      </c>
      <c r="W44" t="str">
        <f>IFERROR(VLOOKUP(ROWS($W$3:W44),$U$3:$V$718,2,0),"")</f>
        <v>Rybolov</v>
      </c>
      <c r="X44">
        <f>IF(ISNUMBER(SEARCH('1Př1'!$A$34,N44)),MAX($M$2:M43)+1,0)</f>
        <v>42</v>
      </c>
      <c r="Y44" s="290" t="s">
        <v>845</v>
      </c>
      <c r="Z44" t="str">
        <f>IFERROR(VLOOKUP(ROWS($Z$3:Z44),$X$3:$Y$718,2,0),"")</f>
        <v>Rybolov</v>
      </c>
    </row>
    <row r="45" spans="1:26" ht="12.75" customHeight="1">
      <c r="A45" s="266"/>
      <c r="B45" s="266"/>
      <c r="C45" s="266"/>
      <c r="D45" s="282">
        <f>IF(ISNUMBER(SEARCH(ZAKL_DATA!$B$14,E45)),MAX($D$2:D44)+1,0)</f>
        <v>43</v>
      </c>
      <c r="E45" s="294" t="s">
        <v>846</v>
      </c>
      <c r="F45" s="295">
        <v>2205</v>
      </c>
      <c r="G45" s="296"/>
      <c r="H45" s="297" t="str">
        <f>IFERROR(VLOOKUP(ROWS($H$3:H45),$D$3:$E$204,2,0),"")</f>
        <v>JINDŘICHŮV HRADEC</v>
      </c>
      <c r="I45" s="266"/>
      <c r="J45" s="298" t="s">
        <v>847</v>
      </c>
      <c r="K45" s="288" t="s">
        <v>848</v>
      </c>
      <c r="M45" s="289">
        <f>IF(ISNUMBER(SEARCH(ZAKL_DATA!$B$29,N45)),MAX($M$2:M44)+1,0)</f>
        <v>43</v>
      </c>
      <c r="N45" s="482" t="s">
        <v>2160</v>
      </c>
      <c r="O45" s="482" t="s">
        <v>2635</v>
      </c>
      <c r="Q45" s="291" t="str">
        <f>IFERROR(VLOOKUP(ROWS($Q$3:Q45),$M$3:$N$718,2,0),"")</f>
        <v>Činnosti přírodních rezervací a národních parků</v>
      </c>
      <c r="R45">
        <f>IF(ISNUMBER(SEARCH('1Př1'!$A$32,N45)),MAX($M$2:M44)+1,0)</f>
        <v>43</v>
      </c>
      <c r="S45" s="290" t="s">
        <v>849</v>
      </c>
      <c r="T45" t="str">
        <f>IFERROR(VLOOKUP(ROWS($T$3:T45),$R$3:$S$718,2,0),"")</f>
        <v>Ostatní zpracovatelský průmysl</v>
      </c>
      <c r="U45">
        <f>IF(ISNUMBER(SEARCH('1Př1'!$A$33,N45)),MAX($M$2:M44)+1,0)</f>
        <v>43</v>
      </c>
      <c r="V45" s="290" t="s">
        <v>849</v>
      </c>
      <c r="W45" t="str">
        <f>IFERROR(VLOOKUP(ROWS($W$3:W45),$U$3:$V$718,2,0),"")</f>
        <v>Ostatní zpracovatelský průmysl</v>
      </c>
      <c r="X45">
        <f>IF(ISNUMBER(SEARCH('1Př1'!$A$34,N45)),MAX($M$2:M44)+1,0)</f>
        <v>43</v>
      </c>
      <c r="Y45" s="290" t="s">
        <v>849</v>
      </c>
      <c r="Z45" t="str">
        <f>IFERROR(VLOOKUP(ROWS($Z$3:Z45),$X$3:$Y$718,2,0),"")</f>
        <v>Ostatní zpracovatelský průmysl</v>
      </c>
    </row>
    <row r="46" spans="1:26" ht="12.75" customHeight="1">
      <c r="A46" s="266"/>
      <c r="B46" s="266"/>
      <c r="C46" s="266"/>
      <c r="D46" s="282">
        <f>IF(ISNUMBER(SEARCH(ZAKL_DATA!$B$14,E46)),MAX($D$2:D45)+1,0)</f>
        <v>44</v>
      </c>
      <c r="E46" s="294" t="s">
        <v>850</v>
      </c>
      <c r="F46" s="295">
        <v>2206</v>
      </c>
      <c r="G46" s="296"/>
      <c r="H46" s="297" t="str">
        <f>IFERROR(VLOOKUP(ROWS($H$3:H46),$D$3:$E$204,2,0),"")</f>
        <v>KAPLICE</v>
      </c>
      <c r="I46" s="266"/>
      <c r="J46" s="299" t="s">
        <v>851</v>
      </c>
      <c r="K46" s="288" t="s">
        <v>146</v>
      </c>
      <c r="M46" s="289">
        <f>IF(ISNUMBER(SEARCH(ZAKL_DATA!$B$29,N46)),MAX($M$2:M45)+1,0)</f>
        <v>44</v>
      </c>
      <c r="N46" s="482" t="s">
        <v>2636</v>
      </c>
      <c r="O46" s="482" t="s">
        <v>2637</v>
      </c>
      <c r="Q46" s="291" t="str">
        <f>IFERROR(VLOOKUP(ROWS($Q$3:Q46),$M$3:$N$718,2,0),"")</f>
        <v>Činnosti psychologů a psychoterapeutů, kromě lékařů</v>
      </c>
      <c r="R46">
        <f>IF(ISNUMBER(SEARCH('1Př1'!$A$32,N46)),MAX($M$2:M45)+1,0)</f>
        <v>44</v>
      </c>
      <c r="S46" s="290" t="s">
        <v>852</v>
      </c>
      <c r="T46" t="str">
        <f>IFERROR(VLOOKUP(ROWS($T$3:T46),$R$3:$S$718,2,0),"")</f>
        <v>Akvakultura</v>
      </c>
      <c r="U46">
        <f>IF(ISNUMBER(SEARCH('1Př1'!$A$33,N46)),MAX($M$2:M45)+1,0)</f>
        <v>44</v>
      </c>
      <c r="V46" s="290" t="s">
        <v>852</v>
      </c>
      <c r="W46" t="str">
        <f>IFERROR(VLOOKUP(ROWS($W$3:W46),$U$3:$V$718,2,0),"")</f>
        <v>Akvakultura</v>
      </c>
      <c r="X46">
        <f>IF(ISNUMBER(SEARCH('1Př1'!$A$34,N46)),MAX($M$2:M45)+1,0)</f>
        <v>44</v>
      </c>
      <c r="Y46" s="290" t="s">
        <v>852</v>
      </c>
      <c r="Z46" t="str">
        <f>IFERROR(VLOOKUP(ROWS($Z$3:Z46),$X$3:$Y$718,2,0),"")</f>
        <v>Akvakultura</v>
      </c>
    </row>
    <row r="47" spans="1:26" ht="12.75" customHeight="1">
      <c r="A47" s="266"/>
      <c r="B47" s="266"/>
      <c r="C47" s="266"/>
      <c r="D47" s="282">
        <f>IF(ISNUMBER(SEARCH(ZAKL_DATA!$B$14,E47)),MAX($D$2:D46)+1,0)</f>
        <v>45</v>
      </c>
      <c r="E47" s="294" t="s">
        <v>853</v>
      </c>
      <c r="F47" s="295">
        <v>2207</v>
      </c>
      <c r="G47" s="296"/>
      <c r="H47" s="297" t="str">
        <f>IFERROR(VLOOKUP(ROWS($H$3:H47),$D$3:$E$204,2,0),"")</f>
        <v>MILEVSKO</v>
      </c>
      <c r="I47" s="266"/>
      <c r="J47" s="299" t="s">
        <v>854</v>
      </c>
      <c r="K47" s="288" t="s">
        <v>855</v>
      </c>
      <c r="M47" s="289">
        <f>IF(ISNUMBER(SEARCH(ZAKL_DATA!$B$29,N47)),MAX($M$2:M46)+1,0)</f>
        <v>45</v>
      </c>
      <c r="N47" s="482" t="s">
        <v>2108</v>
      </c>
      <c r="O47" s="482" t="s">
        <v>2638</v>
      </c>
      <c r="Q47" s="291" t="str">
        <f>IFERROR(VLOOKUP(ROWS($Q$3:Q47),$M$3:$N$718,2,0),"")</f>
        <v>Činnosti reklamních agentur</v>
      </c>
      <c r="R47">
        <f>IF(ISNUMBER(SEARCH('1Př1'!$A$32,N47)),MAX($M$2:M46)+1,0)</f>
        <v>45</v>
      </c>
      <c r="S47" s="290" t="s">
        <v>856</v>
      </c>
      <c r="T47" t="str">
        <f>IFERROR(VLOOKUP(ROWS($T$3:T47),$R$3:$S$718,2,0),"")</f>
        <v>Opravy a instalace strojů a zařízení</v>
      </c>
      <c r="U47">
        <f>IF(ISNUMBER(SEARCH('1Př1'!$A$33,N47)),MAX($M$2:M46)+1,0)</f>
        <v>45</v>
      </c>
      <c r="V47" s="290" t="s">
        <v>856</v>
      </c>
      <c r="W47" t="str">
        <f>IFERROR(VLOOKUP(ROWS($W$3:W47),$U$3:$V$718,2,0),"")</f>
        <v>Opravy a instalace strojů a zařízení</v>
      </c>
      <c r="X47">
        <f>IF(ISNUMBER(SEARCH('1Př1'!$A$34,N47)),MAX($M$2:M46)+1,0)</f>
        <v>45</v>
      </c>
      <c r="Y47" s="290" t="s">
        <v>856</v>
      </c>
      <c r="Z47" t="str">
        <f>IFERROR(VLOOKUP(ROWS($Z$3:Z47),$X$3:$Y$718,2,0),"")</f>
        <v>Opravy a instalace strojů a zařízení</v>
      </c>
    </row>
    <row r="48" spans="1:26" ht="12.75" customHeight="1">
      <c r="A48" s="266"/>
      <c r="B48" s="266"/>
      <c r="C48" s="266"/>
      <c r="D48" s="282">
        <f>IF(ISNUMBER(SEARCH(ZAKL_DATA!$B$14,E48)),MAX($D$2:D47)+1,0)</f>
        <v>46</v>
      </c>
      <c r="E48" s="294" t="s">
        <v>857</v>
      </c>
      <c r="F48" s="295">
        <v>2208</v>
      </c>
      <c r="G48" s="296"/>
      <c r="H48" s="297" t="str">
        <f>IFERROR(VLOOKUP(ROWS($H$3:H48),$D$3:$E$204,2,0),"")</f>
        <v>PÍSEK</v>
      </c>
      <c r="I48" s="266"/>
      <c r="J48" s="299" t="s">
        <v>858</v>
      </c>
      <c r="K48" s="288" t="s">
        <v>859</v>
      </c>
      <c r="M48" s="289">
        <f>IF(ISNUMBER(SEARCH(ZAKL_DATA!$B$29,N48)),MAX($M$2:M47)+1,0)</f>
        <v>46</v>
      </c>
      <c r="N48" s="482" t="s">
        <v>2639</v>
      </c>
      <c r="O48" s="482" t="s">
        <v>2640</v>
      </c>
      <c r="Q48" s="291" t="str">
        <f>IFERROR(VLOOKUP(ROWS($Q$3:Q48),$M$3:$N$718,2,0),"")</f>
        <v>Činnosti řízení podniků</v>
      </c>
      <c r="R48">
        <f>IF(ISNUMBER(SEARCH('1Př1'!$A$32,N48)),MAX($M$2:M47)+1,0)</f>
        <v>46</v>
      </c>
      <c r="S48" s="290" t="s">
        <v>860</v>
      </c>
      <c r="T48" t="str">
        <f>IFERROR(VLOOKUP(ROWS($T$3:T48),$R$3:$S$718,2,0),"")</f>
        <v>Výroba a rozvod elektřiny, plynu, tepla a klimatizovaného vzduchu</v>
      </c>
      <c r="U48">
        <f>IF(ISNUMBER(SEARCH('1Př1'!$A$33,N48)),MAX($M$2:M47)+1,0)</f>
        <v>46</v>
      </c>
      <c r="V48" s="290" t="s">
        <v>860</v>
      </c>
      <c r="W48" t="str">
        <f>IFERROR(VLOOKUP(ROWS($W$3:W48),$U$3:$V$718,2,0),"")</f>
        <v>Výroba a rozvod elektřiny, plynu, tepla a klimatizovaného vzduchu</v>
      </c>
      <c r="X48">
        <f>IF(ISNUMBER(SEARCH('1Př1'!$A$34,N48)),MAX($M$2:M47)+1,0)</f>
        <v>46</v>
      </c>
      <c r="Y48" s="290" t="s">
        <v>860</v>
      </c>
      <c r="Z48" t="str">
        <f>IFERROR(VLOOKUP(ROWS($Z$3:Z48),$X$3:$Y$718,2,0),"")</f>
        <v>Výroba a rozvod elektřiny, plynu, tepla a klimatizovaného vzduchu</v>
      </c>
    </row>
    <row r="49" spans="1:26" ht="12.75" customHeight="1">
      <c r="A49" s="266"/>
      <c r="B49" s="266"/>
      <c r="C49" s="266"/>
      <c r="D49" s="282">
        <f>IF(ISNUMBER(SEARCH(ZAKL_DATA!$B$14,E49)),MAX($D$2:D48)+1,0)</f>
        <v>47</v>
      </c>
      <c r="E49" s="294" t="s">
        <v>861</v>
      </c>
      <c r="F49" s="295">
        <v>2209</v>
      </c>
      <c r="G49" s="296"/>
      <c r="H49" s="297" t="str">
        <f>IFERROR(VLOOKUP(ROWS($H$3:H49),$D$3:$E$204,2,0),"")</f>
        <v>PRACHATICE</v>
      </c>
      <c r="I49" s="266"/>
      <c r="J49" s="299" t="s">
        <v>862</v>
      </c>
      <c r="K49" s="288" t="s">
        <v>863</v>
      </c>
      <c r="M49" s="289">
        <f>IF(ISNUMBER(SEARCH(ZAKL_DATA!$B$29,N49)),MAX($M$2:M48)+1,0)</f>
        <v>47</v>
      </c>
      <c r="N49" s="482" t="s">
        <v>2641</v>
      </c>
      <c r="O49" s="482" t="s">
        <v>2642</v>
      </c>
      <c r="Q49" s="291" t="str">
        <f>IFERROR(VLOOKUP(ROWS($Q$3:Q49),$M$3:$N$718,2,0),"")</f>
        <v>Činnosti související s diagnostickým zobrazováním a zdravotnické laboratorní činnosti</v>
      </c>
      <c r="R49">
        <f>IF(ISNUMBER(SEARCH('1Př1'!$A$32,N49)),MAX($M$2:M48)+1,0)</f>
        <v>47</v>
      </c>
      <c r="S49" s="290" t="s">
        <v>864</v>
      </c>
      <c r="T49" t="str">
        <f>IFERROR(VLOOKUP(ROWS($T$3:T49),$R$3:$S$718,2,0),"")</f>
        <v>Shromažďování, úprava a rozvod vody</v>
      </c>
      <c r="U49">
        <f>IF(ISNUMBER(SEARCH('1Př1'!$A$33,N49)),MAX($M$2:M48)+1,0)</f>
        <v>47</v>
      </c>
      <c r="V49" s="290" t="s">
        <v>864</v>
      </c>
      <c r="W49" t="str">
        <f>IFERROR(VLOOKUP(ROWS($W$3:W49),$U$3:$V$718,2,0),"")</f>
        <v>Shromažďování, úprava a rozvod vody</v>
      </c>
      <c r="X49">
        <f>IF(ISNUMBER(SEARCH('1Př1'!$A$34,N49)),MAX($M$2:M48)+1,0)</f>
        <v>47</v>
      </c>
      <c r="Y49" s="290" t="s">
        <v>864</v>
      </c>
      <c r="Z49" t="str">
        <f>IFERROR(VLOOKUP(ROWS($Z$3:Z49),$X$3:$Y$718,2,0),"")</f>
        <v>Shromažďování, úprava a rozvod vody</v>
      </c>
    </row>
    <row r="50" spans="1:26" ht="12.75" customHeight="1">
      <c r="A50" s="266"/>
      <c r="B50" s="266"/>
      <c r="C50" s="266"/>
      <c r="D50" s="282">
        <f>IF(ISNUMBER(SEARCH(ZAKL_DATA!$B$14,E50)),MAX($D$2:D49)+1,0)</f>
        <v>48</v>
      </c>
      <c r="E50" s="294" t="s">
        <v>865</v>
      </c>
      <c r="F50" s="295">
        <v>2210</v>
      </c>
      <c r="G50" s="296"/>
      <c r="H50" s="297" t="str">
        <f>IFERROR(VLOOKUP(ROWS($H$3:H50),$D$3:$E$204,2,0),"")</f>
        <v>SOBĚSLAV</v>
      </c>
      <c r="I50" s="266"/>
      <c r="J50" s="299" t="s">
        <v>866</v>
      </c>
      <c r="K50" s="288" t="s">
        <v>867</v>
      </c>
      <c r="M50" s="289">
        <f>IF(ISNUMBER(SEARCH(ZAKL_DATA!$B$29,N50)),MAX($M$2:M49)+1,0)</f>
        <v>48</v>
      </c>
      <c r="N50" s="482" t="s">
        <v>2643</v>
      </c>
      <c r="O50" s="482" t="s">
        <v>2644</v>
      </c>
      <c r="Q50" s="291" t="str">
        <f>IFERROR(VLOOKUP(ROWS($Q$3:Q50),$M$3:$N$718,2,0),"")</f>
        <v>Činnosti související s kabelovou, bezdrátovou a satelitní telekomunikační sítí</v>
      </c>
      <c r="R50">
        <f>IF(ISNUMBER(SEARCH('1Př1'!$A$32,N50)),MAX($M$2:M49)+1,0)</f>
        <v>48</v>
      </c>
      <c r="S50" s="290" t="s">
        <v>868</v>
      </c>
      <c r="T50" t="str">
        <f>IFERROR(VLOOKUP(ROWS($T$3:T50),$R$3:$S$718,2,0),"")</f>
        <v>Činnosti související s odpadními vodami</v>
      </c>
      <c r="U50">
        <f>IF(ISNUMBER(SEARCH('1Př1'!$A$33,N50)),MAX($M$2:M49)+1,0)</f>
        <v>48</v>
      </c>
      <c r="V50" s="290" t="s">
        <v>868</v>
      </c>
      <c r="W50" t="str">
        <f>IFERROR(VLOOKUP(ROWS($W$3:W50),$U$3:$V$718,2,0),"")</f>
        <v>Činnosti související s odpadními vodami</v>
      </c>
      <c r="X50">
        <f>IF(ISNUMBER(SEARCH('1Př1'!$A$34,N50)),MAX($M$2:M49)+1,0)</f>
        <v>48</v>
      </c>
      <c r="Y50" s="290" t="s">
        <v>868</v>
      </c>
      <c r="Z50" t="str">
        <f>IFERROR(VLOOKUP(ROWS($Z$3:Z50),$X$3:$Y$718,2,0),"")</f>
        <v>Činnosti související s odpadními vodami</v>
      </c>
    </row>
    <row r="51" spans="1:26" ht="12.75" customHeight="1">
      <c r="A51" s="266"/>
      <c r="B51" s="266"/>
      <c r="C51" s="266"/>
      <c r="D51" s="282">
        <f>IF(ISNUMBER(SEARCH(ZAKL_DATA!$B$14,E51)),MAX($D$2:D50)+1,0)</f>
        <v>49</v>
      </c>
      <c r="E51" s="294" t="s">
        <v>869</v>
      </c>
      <c r="F51" s="295">
        <v>2211</v>
      </c>
      <c r="G51" s="296"/>
      <c r="H51" s="297" t="str">
        <f>IFERROR(VLOOKUP(ROWS($H$3:H51),$D$3:$E$204,2,0),"")</f>
        <v>STRAKONICE</v>
      </c>
      <c r="I51" s="266"/>
      <c r="J51" s="299" t="s">
        <v>870</v>
      </c>
      <c r="K51" s="288" t="s">
        <v>871</v>
      </c>
      <c r="M51" s="289">
        <f>IF(ISNUMBER(SEARCH(ZAKL_DATA!$B$29,N51)),MAX($M$2:M50)+1,0)</f>
        <v>49</v>
      </c>
      <c r="N51" s="482" t="s">
        <v>2092</v>
      </c>
      <c r="O51" s="482" t="s">
        <v>2645</v>
      </c>
      <c r="Q51" s="291" t="str">
        <f>IFERROR(VLOOKUP(ROWS($Q$3:Q51),$M$3:$N$718,2,0),"")</f>
        <v>Činnosti související s leteckou dopravou</v>
      </c>
      <c r="R51">
        <f>IF(ISNUMBER(SEARCH('1Př1'!$A$32,N51)),MAX($M$2:M50)+1,0)</f>
        <v>49</v>
      </c>
      <c r="S51" s="290" t="s">
        <v>872</v>
      </c>
      <c r="T51" t="str">
        <f>IFERROR(VLOOKUP(ROWS($T$3:T51),$R$3:$S$718,2,0),"")</f>
        <v>Shromažďování,sběr a odstraňování odpadů,úprava odpadů k dalšímu využití</v>
      </c>
      <c r="U51">
        <f>IF(ISNUMBER(SEARCH('1Př1'!$A$33,N51)),MAX($M$2:M50)+1,0)</f>
        <v>49</v>
      </c>
      <c r="V51" s="290" t="s">
        <v>872</v>
      </c>
      <c r="W51" t="str">
        <f>IFERROR(VLOOKUP(ROWS($W$3:W51),$U$3:$V$718,2,0),"")</f>
        <v>Shromažďování,sběr a odstraňování odpadů,úprava odpadů k dalšímu využití</v>
      </c>
      <c r="X51">
        <f>IF(ISNUMBER(SEARCH('1Př1'!$A$34,N51)),MAX($M$2:M50)+1,0)</f>
        <v>49</v>
      </c>
      <c r="Y51" s="290" t="s">
        <v>872</v>
      </c>
      <c r="Z51" t="str">
        <f>IFERROR(VLOOKUP(ROWS($Z$3:Z51),$X$3:$Y$718,2,0),"")</f>
        <v>Shromažďování,sběr a odstraňování odpadů,úprava odpadů k dalšímu využití</v>
      </c>
    </row>
    <row r="52" spans="1:26" ht="12.75" customHeight="1">
      <c r="A52" s="266"/>
      <c r="B52" s="266"/>
      <c r="C52" s="266"/>
      <c r="D52" s="282">
        <f>IF(ISNUMBER(SEARCH(ZAKL_DATA!$B$14,E52)),MAX($D$2:D51)+1,0)</f>
        <v>50</v>
      </c>
      <c r="E52" s="294" t="s">
        <v>873</v>
      </c>
      <c r="F52" s="295">
        <v>2212</v>
      </c>
      <c r="G52" s="296"/>
      <c r="H52" s="297" t="str">
        <f>IFERROR(VLOOKUP(ROWS($H$3:H52),$D$3:$E$204,2,0),"")</f>
        <v>TÁBOR</v>
      </c>
      <c r="I52" s="266"/>
      <c r="J52" s="299" t="s">
        <v>874</v>
      </c>
      <c r="K52" s="288" t="s">
        <v>875</v>
      </c>
      <c r="M52" s="289">
        <f>IF(ISNUMBER(SEARCH(ZAKL_DATA!$B$29,N52)),MAX($M$2:M51)+1,0)</f>
        <v>50</v>
      </c>
      <c r="N52" s="482" t="s">
        <v>868</v>
      </c>
      <c r="O52" s="482" t="s">
        <v>2646</v>
      </c>
      <c r="Q52" s="291" t="str">
        <f>IFERROR(VLOOKUP(ROWS($Q$3:Q52),$M$3:$N$718,2,0),"")</f>
        <v>Činnosti související s odpadními vodami</v>
      </c>
      <c r="R52">
        <f>IF(ISNUMBER(SEARCH('1Př1'!$A$32,N52)),MAX($M$2:M51)+1,0)</f>
        <v>50</v>
      </c>
      <c r="S52" s="290" t="s">
        <v>876</v>
      </c>
      <c r="T52" t="str">
        <f>IFERROR(VLOOKUP(ROWS($T$3:T52),$R$3:$S$718,2,0),"")</f>
        <v>Sanace a jiné činnosti související s odpady</v>
      </c>
      <c r="U52">
        <f>IF(ISNUMBER(SEARCH('1Př1'!$A$33,N52)),MAX($M$2:M51)+1,0)</f>
        <v>50</v>
      </c>
      <c r="V52" s="290" t="s">
        <v>876</v>
      </c>
      <c r="W52" t="str">
        <f>IFERROR(VLOOKUP(ROWS($W$3:W52),$U$3:$V$718,2,0),"")</f>
        <v>Sanace a jiné činnosti související s odpady</v>
      </c>
      <c r="X52">
        <f>IF(ISNUMBER(SEARCH('1Př1'!$A$34,N52)),MAX($M$2:M51)+1,0)</f>
        <v>50</v>
      </c>
      <c r="Y52" s="290" t="s">
        <v>876</v>
      </c>
      <c r="Z52" t="str">
        <f>IFERROR(VLOOKUP(ROWS($Z$3:Z52),$X$3:$Y$718,2,0),"")</f>
        <v>Sanace a jiné činnosti související s odpady</v>
      </c>
    </row>
    <row r="53" spans="1:26" ht="12.75" customHeight="1">
      <c r="A53" s="266"/>
      <c r="B53" s="266"/>
      <c r="C53" s="266"/>
      <c r="D53" s="282">
        <f>IF(ISNUMBER(SEARCH(ZAKL_DATA!$B$14,E53)),MAX($D$2:D52)+1,0)</f>
        <v>51</v>
      </c>
      <c r="E53" s="294" t="s">
        <v>877</v>
      </c>
      <c r="F53" s="295">
        <v>2213</v>
      </c>
      <c r="G53" s="296"/>
      <c r="H53" s="297" t="str">
        <f>IFERROR(VLOOKUP(ROWS($H$3:H53),$D$3:$E$204,2,0),"")</f>
        <v>TRHOVÉ SVINY</v>
      </c>
      <c r="I53" s="266"/>
      <c r="J53" s="299" t="s">
        <v>878</v>
      </c>
      <c r="K53" s="288" t="s">
        <v>879</v>
      </c>
      <c r="M53" s="289">
        <f>IF(ISNUMBER(SEARCH(ZAKL_DATA!$B$29,N53)),MAX($M$2:M52)+1,0)</f>
        <v>51</v>
      </c>
      <c r="N53" s="482" t="s">
        <v>2090</v>
      </c>
      <c r="O53" s="482" t="s">
        <v>2647</v>
      </c>
      <c r="Q53" s="291" t="str">
        <f>IFERROR(VLOOKUP(ROWS($Q$3:Q53),$M$3:$N$718,2,0),"")</f>
        <v>Činnosti související s pozemní dopravou</v>
      </c>
      <c r="R53">
        <f>IF(ISNUMBER(SEARCH('1Př1'!$A$32,N53)),MAX($M$2:M52)+1,0)</f>
        <v>51</v>
      </c>
      <c r="S53" s="290" t="s">
        <v>880</v>
      </c>
      <c r="T53" t="str">
        <f>IFERROR(VLOOKUP(ROWS($T$3:T53),$R$3:$S$718,2,0),"")</f>
        <v>Výstavba budov</v>
      </c>
      <c r="U53">
        <f>IF(ISNUMBER(SEARCH('1Př1'!$A$33,N53)),MAX($M$2:M52)+1,0)</f>
        <v>51</v>
      </c>
      <c r="V53" s="290" t="s">
        <v>880</v>
      </c>
      <c r="W53" t="str">
        <f>IFERROR(VLOOKUP(ROWS($W$3:W53),$U$3:$V$718,2,0),"")</f>
        <v>Výstavba budov</v>
      </c>
      <c r="X53">
        <f>IF(ISNUMBER(SEARCH('1Př1'!$A$34,N53)),MAX($M$2:M52)+1,0)</f>
        <v>51</v>
      </c>
      <c r="Y53" s="290" t="s">
        <v>880</v>
      </c>
      <c r="Z53" t="str">
        <f>IFERROR(VLOOKUP(ROWS($Z$3:Z53),$X$3:$Y$718,2,0),"")</f>
        <v>Výstavba budov</v>
      </c>
    </row>
    <row r="54" spans="1:26" ht="12.75" customHeight="1">
      <c r="A54" s="266"/>
      <c r="B54" s="266"/>
      <c r="C54" s="266"/>
      <c r="D54" s="282">
        <f>IF(ISNUMBER(SEARCH(ZAKL_DATA!$B$14,E54)),MAX($D$2:D53)+1,0)</f>
        <v>52</v>
      </c>
      <c r="E54" s="294" t="s">
        <v>881</v>
      </c>
      <c r="F54" s="295">
        <v>2214</v>
      </c>
      <c r="G54" s="296"/>
      <c r="H54" s="297" t="str">
        <f>IFERROR(VLOOKUP(ROWS($H$3:H54),$D$3:$E$204,2,0),"")</f>
        <v>TŘEBOŇ</v>
      </c>
      <c r="I54" s="266"/>
      <c r="J54" s="299" t="s">
        <v>882</v>
      </c>
      <c r="K54" s="288" t="s">
        <v>883</v>
      </c>
      <c r="M54" s="289">
        <f>IF(ISNUMBER(SEARCH(ZAKL_DATA!$B$29,N54)),MAX($M$2:M53)+1,0)</f>
        <v>52</v>
      </c>
      <c r="N54" s="482" t="s">
        <v>1728</v>
      </c>
      <c r="O54" s="482" t="s">
        <v>2648</v>
      </c>
      <c r="Q54" s="291" t="str">
        <f>IFERROR(VLOOKUP(ROWS($Q$3:Q54),$M$3:$N$718,2,0),"")</f>
        <v>Činnosti související s úpravou krajiny</v>
      </c>
      <c r="R54">
        <f>IF(ISNUMBER(SEARCH('1Př1'!$A$32,N54)),MAX($M$2:M53)+1,0)</f>
        <v>52</v>
      </c>
      <c r="S54" s="290" t="s">
        <v>884</v>
      </c>
      <c r="T54" t="str">
        <f>IFERROR(VLOOKUP(ROWS($T$3:T54),$R$3:$S$718,2,0),"")</f>
        <v>Inženýrské stavitelství</v>
      </c>
      <c r="U54">
        <f>IF(ISNUMBER(SEARCH('1Př1'!$A$33,N54)),MAX($M$2:M53)+1,0)</f>
        <v>52</v>
      </c>
      <c r="V54" s="290" t="s">
        <v>884</v>
      </c>
      <c r="W54" t="str">
        <f>IFERROR(VLOOKUP(ROWS($W$3:W54),$U$3:$V$718,2,0),"")</f>
        <v>Inženýrské stavitelství</v>
      </c>
      <c r="X54">
        <f>IF(ISNUMBER(SEARCH('1Př1'!$A$34,N54)),MAX($M$2:M53)+1,0)</f>
        <v>52</v>
      </c>
      <c r="Y54" s="290" t="s">
        <v>884</v>
      </c>
      <c r="Z54" t="str">
        <f>IFERROR(VLOOKUP(ROWS($Z$3:Z54),$X$3:$Y$718,2,0),"")</f>
        <v>Inženýrské stavitelství</v>
      </c>
    </row>
    <row r="55" spans="1:26" ht="12.75" customHeight="1">
      <c r="A55" s="266"/>
      <c r="B55" s="266"/>
      <c r="C55" s="266"/>
      <c r="D55" s="282">
        <f>IF(ISNUMBER(SEARCH(ZAKL_DATA!$B$14,E55)),MAX($D$2:D54)+1,0)</f>
        <v>53</v>
      </c>
      <c r="E55" s="294" t="s">
        <v>885</v>
      </c>
      <c r="F55" s="295">
        <v>2215</v>
      </c>
      <c r="G55" s="296"/>
      <c r="H55" s="297" t="str">
        <f>IFERROR(VLOOKUP(ROWS($H$3:H55),$D$3:$E$204,2,0),"")</f>
        <v>TÝN NAD VLTAVOU</v>
      </c>
      <c r="I55" s="266"/>
      <c r="J55" s="299" t="s">
        <v>886</v>
      </c>
      <c r="K55" s="288" t="s">
        <v>887</v>
      </c>
      <c r="M55" s="289">
        <f>IF(ISNUMBER(SEARCH(ZAKL_DATA!$B$29,N55)),MAX($M$2:M54)+1,0)</f>
        <v>53</v>
      </c>
      <c r="N55" s="482" t="s">
        <v>2091</v>
      </c>
      <c r="O55" s="482" t="s">
        <v>2649</v>
      </c>
      <c r="Q55" s="291" t="str">
        <f>IFERROR(VLOOKUP(ROWS($Q$3:Q55),$M$3:$N$718,2,0),"")</f>
        <v>Činnosti související s vodní dopravou</v>
      </c>
      <c r="R55">
        <f>IF(ISNUMBER(SEARCH('1Př1'!$A$32,N55)),MAX($M$2:M54)+1,0)</f>
        <v>53</v>
      </c>
      <c r="S55" s="290" t="s">
        <v>888</v>
      </c>
      <c r="T55" t="str">
        <f>IFERROR(VLOOKUP(ROWS($T$3:T55),$R$3:$S$718,2,0),"")</f>
        <v>Specializované stavební činnosti</v>
      </c>
      <c r="U55">
        <f>IF(ISNUMBER(SEARCH('1Př1'!$A$33,N55)),MAX($M$2:M54)+1,0)</f>
        <v>53</v>
      </c>
      <c r="V55" s="290" t="s">
        <v>888</v>
      </c>
      <c r="W55" t="str">
        <f>IFERROR(VLOOKUP(ROWS($W$3:W55),$U$3:$V$718,2,0),"")</f>
        <v>Specializované stavební činnosti</v>
      </c>
      <c r="X55">
        <f>IF(ISNUMBER(SEARCH('1Př1'!$A$34,N55)),MAX($M$2:M54)+1,0)</f>
        <v>53</v>
      </c>
      <c r="Y55" s="290" t="s">
        <v>888</v>
      </c>
      <c r="Z55" t="str">
        <f>IFERROR(VLOOKUP(ROWS($Z$3:Z55),$X$3:$Y$718,2,0),"")</f>
        <v>Specializované stavební činnosti</v>
      </c>
    </row>
    <row r="56" spans="1:26" ht="12.75" customHeight="1">
      <c r="A56" s="266"/>
      <c r="B56" s="266"/>
      <c r="C56" s="266"/>
      <c r="D56" s="282">
        <f>IF(ISNUMBER(SEARCH(ZAKL_DATA!$B$14,E56)),MAX($D$2:D55)+1,0)</f>
        <v>54</v>
      </c>
      <c r="E56" s="294" t="s">
        <v>889</v>
      </c>
      <c r="F56" s="295">
        <v>2216</v>
      </c>
      <c r="G56" s="296"/>
      <c r="H56" s="297" t="str">
        <f>IFERROR(VLOOKUP(ROWS($H$3:H56),$D$3:$E$204,2,0),"")</f>
        <v>VIMPERK</v>
      </c>
      <c r="I56" s="266"/>
      <c r="J56" s="299" t="s">
        <v>890</v>
      </c>
      <c r="K56" s="288" t="s">
        <v>891</v>
      </c>
      <c r="M56" s="289">
        <f>IF(ISNUMBER(SEARCH(ZAKL_DATA!$B$29,N56)),MAX($M$2:M55)+1,0)</f>
        <v>54</v>
      </c>
      <c r="N56" s="482" t="s">
        <v>2138</v>
      </c>
      <c r="O56" s="482" t="s">
        <v>2650</v>
      </c>
      <c r="Q56" s="291" t="str">
        <f>IFERROR(VLOOKUP(ROWS($Q$3:Q56),$M$3:$N$718,2,0),"")</f>
        <v>Činnosti sportovních klubů</v>
      </c>
      <c r="R56">
        <f>IF(ISNUMBER(SEARCH('1Př1'!$A$32,N56)),MAX($M$2:M55)+1,0)</f>
        <v>54</v>
      </c>
      <c r="S56" s="290" t="s">
        <v>892</v>
      </c>
      <c r="T56" t="str">
        <f>IFERROR(VLOOKUP(ROWS($T$3:T56),$R$3:$S$718,2,0),"")</f>
        <v>Velkoobchod, maloobchod a opravy motorových vozidel</v>
      </c>
      <c r="U56">
        <f>IF(ISNUMBER(SEARCH('1Př1'!$A$33,N56)),MAX($M$2:M55)+1,0)</f>
        <v>54</v>
      </c>
      <c r="V56" s="290" t="s">
        <v>892</v>
      </c>
      <c r="W56" t="str">
        <f>IFERROR(VLOOKUP(ROWS($W$3:W56),$U$3:$V$718,2,0),"")</f>
        <v>Velkoobchod, maloobchod a opravy motorových vozidel</v>
      </c>
      <c r="X56">
        <f>IF(ISNUMBER(SEARCH('1Př1'!$A$34,N56)),MAX($M$2:M55)+1,0)</f>
        <v>54</v>
      </c>
      <c r="Y56" s="290" t="s">
        <v>892</v>
      </c>
      <c r="Z56" t="str">
        <f>IFERROR(VLOOKUP(ROWS($Z$3:Z56),$X$3:$Y$718,2,0),"")</f>
        <v>Velkoobchod, maloobchod a opravy motorových vozidel</v>
      </c>
    </row>
    <row r="57" spans="1:26" ht="12.75" customHeight="1">
      <c r="A57" s="266"/>
      <c r="B57" s="266"/>
      <c r="C57" s="266"/>
      <c r="D57" s="282">
        <f>IF(ISNUMBER(SEARCH(ZAKL_DATA!$B$14,E57)),MAX($D$2:D56)+1,0)</f>
        <v>55</v>
      </c>
      <c r="E57" s="294" t="s">
        <v>893</v>
      </c>
      <c r="F57" s="295">
        <v>2217</v>
      </c>
      <c r="G57" s="296"/>
      <c r="H57" s="297" t="str">
        <f>IFERROR(VLOOKUP(ROWS($H$3:H57),$D$3:$E$204,2,0),"")</f>
        <v>VODŇANY</v>
      </c>
      <c r="I57" s="266"/>
      <c r="J57" s="299" t="s">
        <v>894</v>
      </c>
      <c r="K57" s="288" t="s">
        <v>895</v>
      </c>
      <c r="M57" s="289">
        <f>IF(ISNUMBER(SEARCH(ZAKL_DATA!$B$29,N57)),MAX($M$2:M56)+1,0)</f>
        <v>55</v>
      </c>
      <c r="N57" s="482" t="s">
        <v>2164</v>
      </c>
      <c r="O57" s="482" t="s">
        <v>2651</v>
      </c>
      <c r="Q57" s="291" t="str">
        <f>IFERROR(VLOOKUP(ROWS($Q$3:Q57),$M$3:$N$718,2,0),"")</f>
        <v>Činnosti spotřebitelských organizací</v>
      </c>
      <c r="R57">
        <f>IF(ISNUMBER(SEARCH('1Př1'!$A$32,N57)),MAX($M$2:M56)+1,0)</f>
        <v>55</v>
      </c>
      <c r="S57" s="290" t="s">
        <v>896</v>
      </c>
      <c r="T57" t="str">
        <f>IFERROR(VLOOKUP(ROWS($T$3:T57),$R$3:$S$718,2,0),"")</f>
        <v>Velkoobchod, kromě motorových vozidel</v>
      </c>
      <c r="U57">
        <f>IF(ISNUMBER(SEARCH('1Př1'!$A$33,N57)),MAX($M$2:M56)+1,0)</f>
        <v>55</v>
      </c>
      <c r="V57" s="290" t="s">
        <v>896</v>
      </c>
      <c r="W57" t="str">
        <f>IFERROR(VLOOKUP(ROWS($W$3:W57),$U$3:$V$718,2,0),"")</f>
        <v>Velkoobchod, kromě motorových vozidel</v>
      </c>
      <c r="X57">
        <f>IF(ISNUMBER(SEARCH('1Př1'!$A$34,N57)),MAX($M$2:M56)+1,0)</f>
        <v>55</v>
      </c>
      <c r="Y57" s="290" t="s">
        <v>896</v>
      </c>
      <c r="Z57" t="str">
        <f>IFERROR(VLOOKUP(ROWS($Z$3:Z57),$X$3:$Y$718,2,0),"")</f>
        <v>Velkoobchod, kromě motorových vozidel</v>
      </c>
    </row>
    <row r="58" spans="1:26" ht="12.75" customHeight="1">
      <c r="A58" s="266"/>
      <c r="B58" s="266"/>
      <c r="C58" s="266"/>
      <c r="D58" s="282">
        <f>IF(ISNUMBER(SEARCH(ZAKL_DATA!$B$14,E58)),MAX($D$2:D57)+1,0)</f>
        <v>56</v>
      </c>
      <c r="E58" s="294" t="s">
        <v>897</v>
      </c>
      <c r="F58" s="295">
        <v>2301</v>
      </c>
      <c r="G58" s="296"/>
      <c r="H58" s="297" t="str">
        <f>IFERROR(VLOOKUP(ROWS($H$3:H58),$D$3:$E$204,2,0),"")</f>
        <v>PLZEŇ</v>
      </c>
      <c r="I58" s="266"/>
      <c r="J58" s="299" t="s">
        <v>898</v>
      </c>
      <c r="K58" s="288" t="s">
        <v>899</v>
      </c>
      <c r="M58" s="289">
        <f>IF(ISNUMBER(SEARCH(ZAKL_DATA!$B$29,N58)),MAX($M$2:M57)+1,0)</f>
        <v>56</v>
      </c>
      <c r="N58" s="482" t="s">
        <v>2652</v>
      </c>
      <c r="O58" s="482" t="s">
        <v>2653</v>
      </c>
      <c r="Q58" s="291" t="str">
        <f>IFERROR(VLOOKUP(ROWS($Q$3:Q58),$M$3:$N$718,2,0),"")</f>
        <v>Činnosti svěřenských fondů, majetkových a agenturních účtů</v>
      </c>
      <c r="R58">
        <f>IF(ISNUMBER(SEARCH('1Př1'!$A$32,N58)),MAX($M$2:M57)+1,0)</f>
        <v>56</v>
      </c>
      <c r="S58" s="290" t="s">
        <v>900</v>
      </c>
      <c r="T58" t="str">
        <f>IFERROR(VLOOKUP(ROWS($T$3:T58),$R$3:$S$718,2,0),"")</f>
        <v>Maloobchod, kromě motorových vozidel</v>
      </c>
      <c r="U58">
        <f>IF(ISNUMBER(SEARCH('1Př1'!$A$33,N58)),MAX($M$2:M57)+1,0)</f>
        <v>56</v>
      </c>
      <c r="V58" s="290" t="s">
        <v>900</v>
      </c>
      <c r="W58" t="str">
        <f>IFERROR(VLOOKUP(ROWS($W$3:W58),$U$3:$V$718,2,0),"")</f>
        <v>Maloobchod, kromě motorových vozidel</v>
      </c>
      <c r="X58">
        <f>IF(ISNUMBER(SEARCH('1Př1'!$A$34,N58)),MAX($M$2:M57)+1,0)</f>
        <v>56</v>
      </c>
      <c r="Y58" s="290" t="s">
        <v>900</v>
      </c>
      <c r="Z58" t="str">
        <f>IFERROR(VLOOKUP(ROWS($Z$3:Z58),$X$3:$Y$718,2,0),"")</f>
        <v>Maloobchod, kromě motorových vozidel</v>
      </c>
    </row>
    <row r="59" spans="1:26" ht="12.75" customHeight="1">
      <c r="A59" s="266"/>
      <c r="B59" s="266"/>
      <c r="C59" s="266"/>
      <c r="D59" s="282">
        <f>IF(ISNUMBER(SEARCH(ZAKL_DATA!$B$14,E59)),MAX($D$2:D58)+1,0)</f>
        <v>57</v>
      </c>
      <c r="E59" s="294" t="s">
        <v>901</v>
      </c>
      <c r="F59" s="295">
        <v>2302</v>
      </c>
      <c r="G59" s="296"/>
      <c r="H59" s="297" t="str">
        <f>IFERROR(VLOOKUP(ROWS($H$3:H59),$D$3:$E$204,2,0),"")</f>
        <v>PLZEŇ-SEVER</v>
      </c>
      <c r="I59" s="266"/>
      <c r="J59" s="298" t="s">
        <v>902</v>
      </c>
      <c r="K59" s="288" t="s">
        <v>903</v>
      </c>
      <c r="M59" s="289">
        <f>IF(ISNUMBER(SEARCH(ZAKL_DATA!$B$29,N59)),MAX($M$2:M58)+1,0)</f>
        <v>57</v>
      </c>
      <c r="N59" s="482" t="s">
        <v>2654</v>
      </c>
      <c r="O59" s="482" t="s">
        <v>2655</v>
      </c>
      <c r="Q59" s="291" t="str">
        <f>IFERROR(VLOOKUP(ROWS($Q$3:Q59),$M$3:$N$718,2,0),"")</f>
        <v>Činnosti účelových finančních společností</v>
      </c>
      <c r="R59">
        <f>IF(ISNUMBER(SEARCH('1Př1'!$A$32,N59)),MAX($M$2:M58)+1,0)</f>
        <v>57</v>
      </c>
      <c r="S59" s="290" t="s">
        <v>904</v>
      </c>
      <c r="T59" t="str">
        <f>IFERROR(VLOOKUP(ROWS($T$3:T59),$R$3:$S$718,2,0),"")</f>
        <v>Pozemní a potrubní doprava</v>
      </c>
      <c r="U59">
        <f>IF(ISNUMBER(SEARCH('1Př1'!$A$33,N59)),MAX($M$2:M58)+1,0)</f>
        <v>57</v>
      </c>
      <c r="V59" s="290" t="s">
        <v>904</v>
      </c>
      <c r="W59" t="str">
        <f>IFERROR(VLOOKUP(ROWS($W$3:W59),$U$3:$V$718,2,0),"")</f>
        <v>Pozemní a potrubní doprava</v>
      </c>
      <c r="X59">
        <f>IF(ISNUMBER(SEARCH('1Př1'!$A$34,N59)),MAX($M$2:M58)+1,0)</f>
        <v>57</v>
      </c>
      <c r="Y59" s="290" t="s">
        <v>904</v>
      </c>
      <c r="Z59" t="str">
        <f>IFERROR(VLOOKUP(ROWS($Z$3:Z59),$X$3:$Y$718,2,0),"")</f>
        <v>Pozemní a potrubní doprava</v>
      </c>
    </row>
    <row r="60" spans="1:26" ht="12.75" customHeight="1">
      <c r="A60" s="266"/>
      <c r="B60" s="266"/>
      <c r="C60" s="266"/>
      <c r="D60" s="282">
        <f>IF(ISNUMBER(SEARCH(ZAKL_DATA!$B$14,E60)),MAX($D$2:D59)+1,0)</f>
        <v>58</v>
      </c>
      <c r="E60" s="294" t="s">
        <v>905</v>
      </c>
      <c r="F60" s="295">
        <v>2303</v>
      </c>
      <c r="G60" s="296"/>
      <c r="H60" s="297" t="str">
        <f>IFERROR(VLOOKUP(ROWS($H$3:H60),$D$3:$E$204,2,0),"")</f>
        <v>PLZEŇ-JIH</v>
      </c>
      <c r="I60" s="266"/>
      <c r="J60" s="299" t="s">
        <v>906</v>
      </c>
      <c r="K60" s="288" t="s">
        <v>907</v>
      </c>
      <c r="M60" s="289">
        <f>IF(ISNUMBER(SEARCH(ZAKL_DATA!$B$29,N60)),MAX($M$2:M59)+1,0)</f>
        <v>58</v>
      </c>
      <c r="N60" s="482" t="s">
        <v>2656</v>
      </c>
      <c r="O60" s="482" t="s">
        <v>2657</v>
      </c>
      <c r="Q60" s="291" t="str">
        <f>IFERROR(VLOOKUP(ROWS($Q$3:Q60),$M$3:$N$718,2,0),"")</f>
        <v>Činnosti v oblasti grafického designu a vizuální komunikace</v>
      </c>
      <c r="R60">
        <f>IF(ISNUMBER(SEARCH('1Př1'!$A$32,N60)),MAX($M$2:M59)+1,0)</f>
        <v>58</v>
      </c>
      <c r="S60" s="290" t="s">
        <v>908</v>
      </c>
      <c r="T60" t="str">
        <f>IFERROR(VLOOKUP(ROWS($T$3:T60),$R$3:$S$718,2,0),"")</f>
        <v>Vodní doprava</v>
      </c>
      <c r="U60">
        <f>IF(ISNUMBER(SEARCH('1Př1'!$A$33,N60)),MAX($M$2:M59)+1,0)</f>
        <v>58</v>
      </c>
      <c r="V60" s="290" t="s">
        <v>908</v>
      </c>
      <c r="W60" t="str">
        <f>IFERROR(VLOOKUP(ROWS($W$3:W60),$U$3:$V$718,2,0),"")</f>
        <v>Vodní doprava</v>
      </c>
      <c r="X60">
        <f>IF(ISNUMBER(SEARCH('1Př1'!$A$34,N60)),MAX($M$2:M59)+1,0)</f>
        <v>58</v>
      </c>
      <c r="Y60" s="290" t="s">
        <v>908</v>
      </c>
      <c r="Z60" t="str">
        <f>IFERROR(VLOOKUP(ROWS($Z$3:Z60),$X$3:$Y$718,2,0),"")</f>
        <v>Vodní doprava</v>
      </c>
    </row>
    <row r="61" spans="1:26" ht="12.75" customHeight="1">
      <c r="A61" s="266"/>
      <c r="B61" s="266"/>
      <c r="C61" s="266"/>
      <c r="D61" s="282">
        <f>IF(ISNUMBER(SEARCH(ZAKL_DATA!$B$14,E61)),MAX($D$2:D60)+1,0)</f>
        <v>59</v>
      </c>
      <c r="E61" s="294" t="s">
        <v>909</v>
      </c>
      <c r="F61" s="295">
        <v>2304</v>
      </c>
      <c r="G61" s="296"/>
      <c r="H61" s="297" t="str">
        <f>IFERROR(VLOOKUP(ROWS($H$3:H61),$D$3:$E$204,2,0),"")</f>
        <v>BLOVICE</v>
      </c>
      <c r="I61" s="266"/>
      <c r="J61" s="299" t="s">
        <v>910</v>
      </c>
      <c r="K61" s="288" t="s">
        <v>911</v>
      </c>
      <c r="M61" s="289">
        <f>IF(ISNUMBER(SEARCH(ZAKL_DATA!$B$29,N61)),MAX($M$2:M60)+1,0)</f>
        <v>59</v>
      </c>
      <c r="N61" s="482" t="s">
        <v>2658</v>
      </c>
      <c r="O61" s="482" t="s">
        <v>2659</v>
      </c>
      <c r="Q61" s="291" t="str">
        <f>IFERROR(VLOOKUP(ROWS($Q$3:Q61),$M$3:$N$718,2,0),"")</f>
        <v>Činnosti v oblasti módního designu</v>
      </c>
      <c r="R61">
        <f>IF(ISNUMBER(SEARCH('1Př1'!$A$32,N61)),MAX($M$2:M60)+1,0)</f>
        <v>59</v>
      </c>
      <c r="S61" s="290" t="s">
        <v>912</v>
      </c>
      <c r="T61" t="str">
        <f>IFERROR(VLOOKUP(ROWS($T$3:T61),$R$3:$S$718,2,0),"")</f>
        <v>Letecká doprava</v>
      </c>
      <c r="U61">
        <f>IF(ISNUMBER(SEARCH('1Př1'!$A$33,N61)),MAX($M$2:M60)+1,0)</f>
        <v>59</v>
      </c>
      <c r="V61" s="290" t="s">
        <v>912</v>
      </c>
      <c r="W61" t="str">
        <f>IFERROR(VLOOKUP(ROWS($W$3:W61),$U$3:$V$718,2,0),"")</f>
        <v>Letecká doprava</v>
      </c>
      <c r="X61">
        <f>IF(ISNUMBER(SEARCH('1Př1'!$A$34,N61)),MAX($M$2:M60)+1,0)</f>
        <v>59</v>
      </c>
      <c r="Y61" s="290" t="s">
        <v>912</v>
      </c>
      <c r="Z61" t="str">
        <f>IFERROR(VLOOKUP(ROWS($Z$3:Z61),$X$3:$Y$718,2,0),"")</f>
        <v>Letecká doprava</v>
      </c>
    </row>
    <row r="62" spans="1:26" ht="12.75" customHeight="1">
      <c r="A62" s="266"/>
      <c r="B62" s="266"/>
      <c r="C62" s="266"/>
      <c r="D62" s="282">
        <f>IF(ISNUMBER(SEARCH(ZAKL_DATA!$B$14,E62)),MAX($D$2:D61)+1,0)</f>
        <v>60</v>
      </c>
      <c r="E62" s="294" t="s">
        <v>913</v>
      </c>
      <c r="F62" s="295">
        <v>2305</v>
      </c>
      <c r="G62" s="296"/>
      <c r="H62" s="297" t="str">
        <f>IFERROR(VLOOKUP(ROWS($H$3:H62),$D$3:$E$204,2,0),"")</f>
        <v>DOMAŽLICE</v>
      </c>
      <c r="I62" s="266"/>
      <c r="J62" s="299" t="s">
        <v>914</v>
      </c>
      <c r="K62" s="288" t="s">
        <v>915</v>
      </c>
      <c r="M62" s="289">
        <f>IF(ISNUMBER(SEARCH(ZAKL_DATA!$B$29,N62)),MAX($M$2:M61)+1,0)</f>
        <v>60</v>
      </c>
      <c r="N62" s="482" t="s">
        <v>2660</v>
      </c>
      <c r="O62" s="482" t="s">
        <v>2661</v>
      </c>
      <c r="Q62" s="291" t="str">
        <f>IFERROR(VLOOKUP(ROWS($Q$3:Q62),$M$3:$N$718,2,0),"")</f>
        <v>Činnosti v oblasti neživotního pojištění</v>
      </c>
      <c r="R62">
        <f>IF(ISNUMBER(SEARCH('1Př1'!$A$32,N62)),MAX($M$2:M61)+1,0)</f>
        <v>60</v>
      </c>
      <c r="S62" s="290" t="s">
        <v>916</v>
      </c>
      <c r="T62" t="str">
        <f>IFERROR(VLOOKUP(ROWS($T$3:T62),$R$3:$S$718,2,0),"")</f>
        <v>Těžba a úprava černého uhlí</v>
      </c>
      <c r="U62">
        <f>IF(ISNUMBER(SEARCH('1Př1'!$A$33,N62)),MAX($M$2:M61)+1,0)</f>
        <v>60</v>
      </c>
      <c r="V62" s="290" t="s">
        <v>916</v>
      </c>
      <c r="W62" t="str">
        <f>IFERROR(VLOOKUP(ROWS($W$3:W62),$U$3:$V$718,2,0),"")</f>
        <v>Těžba a úprava černého uhlí</v>
      </c>
      <c r="X62">
        <f>IF(ISNUMBER(SEARCH('1Př1'!$A$34,N62)),MAX($M$2:M61)+1,0)</f>
        <v>60</v>
      </c>
      <c r="Y62" s="290" t="s">
        <v>916</v>
      </c>
      <c r="Z62" t="str">
        <f>IFERROR(VLOOKUP(ROWS($Z$3:Z62),$X$3:$Y$718,2,0),"")</f>
        <v>Těžba a úprava černého uhlí</v>
      </c>
    </row>
    <row r="63" spans="1:26" ht="12.75" customHeight="1">
      <c r="A63" s="266"/>
      <c r="B63" s="266"/>
      <c r="C63" s="266"/>
      <c r="D63" s="282">
        <f>IF(ISNUMBER(SEARCH(ZAKL_DATA!$B$14,E63)),MAX($D$2:D62)+1,0)</f>
        <v>61</v>
      </c>
      <c r="E63" s="294" t="s">
        <v>917</v>
      </c>
      <c r="F63" s="295">
        <v>2306</v>
      </c>
      <c r="G63" s="296"/>
      <c r="H63" s="297" t="str">
        <f>IFERROR(VLOOKUP(ROWS($H$3:H63),$D$3:$E$204,2,0),"")</f>
        <v>HORAŽĎOVICE</v>
      </c>
      <c r="I63" s="266"/>
      <c r="J63" s="299" t="s">
        <v>918</v>
      </c>
      <c r="K63" s="288" t="s">
        <v>919</v>
      </c>
      <c r="M63" s="289">
        <f>IF(ISNUMBER(SEARCH(ZAKL_DATA!$B$29,N63)),MAX($M$2:M62)+1,0)</f>
        <v>61</v>
      </c>
      <c r="N63" s="482" t="s">
        <v>2128</v>
      </c>
      <c r="O63" s="482" t="s">
        <v>2662</v>
      </c>
      <c r="Q63" s="291" t="str">
        <f>IFERROR(VLOOKUP(ROWS($Q$3:Q63),$M$3:$N$718,2,0),"")</f>
        <v>Činnosti v oblasti obrany</v>
      </c>
      <c r="R63">
        <f>IF(ISNUMBER(SEARCH('1Př1'!$A$32,N63)),MAX($M$2:M62)+1,0)</f>
        <v>61</v>
      </c>
      <c r="S63" s="290" t="s">
        <v>920</v>
      </c>
      <c r="T63" t="str">
        <f>IFERROR(VLOOKUP(ROWS($T$3:T63),$R$3:$S$718,2,0),"")</f>
        <v>Skladování a vedlejší činnosti v dopravě</v>
      </c>
      <c r="U63">
        <f>IF(ISNUMBER(SEARCH('1Př1'!$A$33,N63)),MAX($M$2:M62)+1,0)</f>
        <v>61</v>
      </c>
      <c r="V63" s="290" t="s">
        <v>920</v>
      </c>
      <c r="W63" t="str">
        <f>IFERROR(VLOOKUP(ROWS($W$3:W63),$U$3:$V$718,2,0),"")</f>
        <v>Skladování a vedlejší činnosti v dopravě</v>
      </c>
      <c r="X63">
        <f>IF(ISNUMBER(SEARCH('1Př1'!$A$34,N63)),MAX($M$2:M62)+1,0)</f>
        <v>61</v>
      </c>
      <c r="Y63" s="290" t="s">
        <v>920</v>
      </c>
      <c r="Z63" t="str">
        <f>IFERROR(VLOOKUP(ROWS($Z$3:Z63),$X$3:$Y$718,2,0),"")</f>
        <v>Skladování a vedlejší činnosti v dopravě</v>
      </c>
    </row>
    <row r="64" spans="1:26" ht="12.75" customHeight="1">
      <c r="A64" s="266"/>
      <c r="B64" s="266"/>
      <c r="C64" s="266"/>
      <c r="D64" s="282">
        <f>IF(ISNUMBER(SEARCH(ZAKL_DATA!$B$14,E64)),MAX($D$2:D63)+1,0)</f>
        <v>62</v>
      </c>
      <c r="E64" s="294" t="s">
        <v>921</v>
      </c>
      <c r="F64" s="295">
        <v>2307</v>
      </c>
      <c r="G64" s="296"/>
      <c r="H64" s="297" t="str">
        <f>IFERROR(VLOOKUP(ROWS($H$3:H64),$D$3:$E$204,2,0),"")</f>
        <v>HORŠOVSKÝ TÝN</v>
      </c>
      <c r="I64" s="266"/>
      <c r="J64" s="299" t="s">
        <v>922</v>
      </c>
      <c r="K64" s="288" t="s">
        <v>923</v>
      </c>
      <c r="M64" s="289">
        <f>IF(ISNUMBER(SEARCH(ZAKL_DATA!$B$29,N64)),MAX($M$2:M63)+1,0)</f>
        <v>62</v>
      </c>
      <c r="N64" s="482" t="s">
        <v>2663</v>
      </c>
      <c r="O64" s="482" t="s">
        <v>2664</v>
      </c>
      <c r="Q64" s="291" t="str">
        <f>IFERROR(VLOOKUP(ROWS($Q$3:Q64),$M$3:$N$718,2,0),"")</f>
        <v>Činnosti v oblasti povinného sociální zabezpečení</v>
      </c>
      <c r="R64">
        <f>IF(ISNUMBER(SEARCH('1Př1'!$A$32,N64)),MAX($M$2:M63)+1,0)</f>
        <v>62</v>
      </c>
      <c r="S64" s="290" t="s">
        <v>924</v>
      </c>
      <c r="T64" t="str">
        <f>IFERROR(VLOOKUP(ROWS($T$3:T64),$R$3:$S$718,2,0),"")</f>
        <v>Těžba a úprava hnědého uhlí</v>
      </c>
      <c r="U64">
        <f>IF(ISNUMBER(SEARCH('1Př1'!$A$33,N64)),MAX($M$2:M63)+1,0)</f>
        <v>62</v>
      </c>
      <c r="V64" s="290" t="s">
        <v>924</v>
      </c>
      <c r="W64" t="str">
        <f>IFERROR(VLOOKUP(ROWS($W$3:W64),$U$3:$V$718,2,0),"")</f>
        <v>Těžba a úprava hnědého uhlí</v>
      </c>
      <c r="X64">
        <f>IF(ISNUMBER(SEARCH('1Př1'!$A$34,N64)),MAX($M$2:M63)+1,0)</f>
        <v>62</v>
      </c>
      <c r="Y64" s="290" t="s">
        <v>924</v>
      </c>
      <c r="Z64" t="str">
        <f>IFERROR(VLOOKUP(ROWS($Z$3:Z64),$X$3:$Y$718,2,0),"")</f>
        <v>Těžba a úprava hnědého uhlí</v>
      </c>
    </row>
    <row r="65" spans="1:26" ht="12.75" customHeight="1">
      <c r="A65" s="266"/>
      <c r="B65" s="266"/>
      <c r="C65" s="266"/>
      <c r="D65" s="282">
        <f>IF(ISNUMBER(SEARCH(ZAKL_DATA!$B$14,E65)),MAX($D$2:D64)+1,0)</f>
        <v>63</v>
      </c>
      <c r="E65" s="294" t="s">
        <v>925</v>
      </c>
      <c r="F65" s="295">
        <v>2308</v>
      </c>
      <c r="G65" s="296"/>
      <c r="H65" s="297" t="str">
        <f>IFERROR(VLOOKUP(ROWS($H$3:H65),$D$3:$E$204,2,0),"")</f>
        <v>KLATOVY</v>
      </c>
      <c r="I65" s="266"/>
      <c r="J65" s="299" t="s">
        <v>926</v>
      </c>
      <c r="K65" s="288" t="s">
        <v>661</v>
      </c>
      <c r="M65" s="289">
        <f>IF(ISNUMBER(SEARCH(ZAKL_DATA!$B$29,N65)),MAX($M$2:M64)+1,0)</f>
        <v>63</v>
      </c>
      <c r="N65" s="482" t="s">
        <v>2665</v>
      </c>
      <c r="O65" s="482" t="s">
        <v>2666</v>
      </c>
      <c r="Q65" s="291" t="str">
        <f>IFERROR(VLOOKUP(ROWS($Q$3:Q65),$M$3:$N$718,2,0),"")</f>
        <v>Činnosti v oblasti požární ochrany</v>
      </c>
      <c r="R65">
        <f>IF(ISNUMBER(SEARCH('1Př1'!$A$32,N65)),MAX($M$2:M64)+1,0)</f>
        <v>63</v>
      </c>
      <c r="S65" s="290" t="s">
        <v>927</v>
      </c>
      <c r="T65" t="str">
        <f>IFERROR(VLOOKUP(ROWS($T$3:T65),$R$3:$S$718,2,0),"")</f>
        <v>Poštovní a kurýrní činnosti</v>
      </c>
      <c r="U65">
        <f>IF(ISNUMBER(SEARCH('1Př1'!$A$33,N65)),MAX($M$2:M64)+1,0)</f>
        <v>63</v>
      </c>
      <c r="V65" s="290" t="s">
        <v>927</v>
      </c>
      <c r="W65" t="str">
        <f>IFERROR(VLOOKUP(ROWS($W$3:W65),$U$3:$V$718,2,0),"")</f>
        <v>Poštovní a kurýrní činnosti</v>
      </c>
      <c r="X65">
        <f>IF(ISNUMBER(SEARCH('1Př1'!$A$34,N65)),MAX($M$2:M64)+1,0)</f>
        <v>63</v>
      </c>
      <c r="Y65" s="290" t="s">
        <v>927</v>
      </c>
      <c r="Z65" t="str">
        <f>IFERROR(VLOOKUP(ROWS($Z$3:Z65),$X$3:$Y$718,2,0),"")</f>
        <v>Poštovní a kurýrní činnosti</v>
      </c>
    </row>
    <row r="66" spans="1:26" ht="12.75" customHeight="1">
      <c r="A66" s="266"/>
      <c r="B66" s="266"/>
      <c r="C66" s="266"/>
      <c r="D66" s="282">
        <f>IF(ISNUMBER(SEARCH(ZAKL_DATA!$B$14,E66)),MAX($D$2:D65)+1,0)</f>
        <v>64</v>
      </c>
      <c r="E66" s="294" t="s">
        <v>928</v>
      </c>
      <c r="F66" s="295">
        <v>2309</v>
      </c>
      <c r="G66" s="296"/>
      <c r="H66" s="297" t="str">
        <f>IFERROR(VLOOKUP(ROWS($H$3:H66),$D$3:$E$204,2,0),"")</f>
        <v>KRALOVICE</v>
      </c>
      <c r="I66" s="266"/>
      <c r="J66" s="299" t="s">
        <v>929</v>
      </c>
      <c r="K66" s="288" t="s">
        <v>930</v>
      </c>
      <c r="M66" s="289">
        <f>IF(ISNUMBER(SEARCH(ZAKL_DATA!$B$29,N66)),MAX($M$2:M65)+1,0)</f>
        <v>64</v>
      </c>
      <c r="N66" s="482" t="s">
        <v>2667</v>
      </c>
      <c r="O66" s="482" t="s">
        <v>2668</v>
      </c>
      <c r="Q66" s="291" t="str">
        <f>IFERROR(VLOOKUP(ROWS($Q$3:Q66),$M$3:$N$718,2,0),"")</f>
        <v>Činnosti v oblasti průmyslového designu</v>
      </c>
      <c r="R66">
        <f>IF(ISNUMBER(SEARCH('1Př1'!$A$32,N66)),MAX($M$2:M65)+1,0)</f>
        <v>64</v>
      </c>
      <c r="S66" s="290" t="s">
        <v>931</v>
      </c>
      <c r="T66" t="str">
        <f>IFERROR(VLOOKUP(ROWS($T$3:T66),$R$3:$S$718,2,0),"")</f>
        <v>Ubytování</v>
      </c>
      <c r="U66">
        <f>IF(ISNUMBER(SEARCH('1Př1'!$A$33,N66)),MAX($M$2:M65)+1,0)</f>
        <v>64</v>
      </c>
      <c r="V66" s="290" t="s">
        <v>931</v>
      </c>
      <c r="W66" t="str">
        <f>IFERROR(VLOOKUP(ROWS($W$3:W66),$U$3:$V$718,2,0),"")</f>
        <v>Ubytování</v>
      </c>
      <c r="X66">
        <f>IF(ISNUMBER(SEARCH('1Př1'!$A$34,N66)),MAX($M$2:M65)+1,0)</f>
        <v>64</v>
      </c>
      <c r="Y66" s="290" t="s">
        <v>931</v>
      </c>
      <c r="Z66" t="str">
        <f>IFERROR(VLOOKUP(ROWS($Z$3:Z66),$X$3:$Y$718,2,0),"")</f>
        <v>Ubytování</v>
      </c>
    </row>
    <row r="67" spans="1:26" ht="12.75" customHeight="1">
      <c r="A67" s="266"/>
      <c r="B67" s="266"/>
      <c r="C67" s="266"/>
      <c r="D67" s="282">
        <f>IF(ISNUMBER(SEARCH(ZAKL_DATA!$B$14,E67)),MAX($D$2:D66)+1,0)</f>
        <v>65</v>
      </c>
      <c r="E67" s="294" t="s">
        <v>932</v>
      </c>
      <c r="F67" s="295">
        <v>2310</v>
      </c>
      <c r="G67" s="296"/>
      <c r="H67" s="297" t="str">
        <f>IFERROR(VLOOKUP(ROWS($H$3:H67),$D$3:$E$204,2,0),"")</f>
        <v>NEPOMUK</v>
      </c>
      <c r="I67" s="266"/>
      <c r="J67" s="299" t="s">
        <v>933</v>
      </c>
      <c r="K67" s="288" t="s">
        <v>934</v>
      </c>
      <c r="M67" s="289">
        <f>IF(ISNUMBER(SEARCH(ZAKL_DATA!$B$29,N67)),MAX($M$2:M66)+1,0)</f>
        <v>65</v>
      </c>
      <c r="N67" s="482" t="s">
        <v>2669</v>
      </c>
      <c r="O67" s="482" t="s">
        <v>2670</v>
      </c>
      <c r="Q67" s="291" t="str">
        <f>IFERROR(VLOOKUP(ROWS($Q$3:Q67),$M$3:$N$718,2,0),"")</f>
        <v>Činnosti v oblasti přeprodeje telekomunikačních služeb a zprostředkování telekomunikačních činností</v>
      </c>
      <c r="R67">
        <f>IF(ISNUMBER(SEARCH('1Př1'!$A$32,N67)),MAX($M$2:M66)+1,0)</f>
        <v>65</v>
      </c>
      <c r="S67" s="290" t="s">
        <v>935</v>
      </c>
      <c r="T67" t="str">
        <f>IFERROR(VLOOKUP(ROWS($T$3:T67),$R$3:$S$718,2,0),"")</f>
        <v>Stravování a pohostinství</v>
      </c>
      <c r="U67">
        <f>IF(ISNUMBER(SEARCH('1Př1'!$A$33,N67)),MAX($M$2:M66)+1,0)</f>
        <v>65</v>
      </c>
      <c r="V67" s="290" t="s">
        <v>935</v>
      </c>
      <c r="W67" t="str">
        <f>IFERROR(VLOOKUP(ROWS($W$3:W67),$U$3:$V$718,2,0),"")</f>
        <v>Stravování a pohostinství</v>
      </c>
      <c r="X67">
        <f>IF(ISNUMBER(SEARCH('1Př1'!$A$34,N67)),MAX($M$2:M66)+1,0)</f>
        <v>65</v>
      </c>
      <c r="Y67" s="290" t="s">
        <v>935</v>
      </c>
      <c r="Z67" t="str">
        <f>IFERROR(VLOOKUP(ROWS($Z$3:Z67),$X$3:$Y$718,2,0),"")</f>
        <v>Stravování a pohostinství</v>
      </c>
    </row>
    <row r="68" spans="1:26" ht="12.75" customHeight="1">
      <c r="A68" s="266"/>
      <c r="B68" s="266"/>
      <c r="C68" s="266"/>
      <c r="D68" s="282">
        <f>IF(ISNUMBER(SEARCH(ZAKL_DATA!$B$14,E68)),MAX($D$2:D67)+1,0)</f>
        <v>66</v>
      </c>
      <c r="E68" s="294" t="s">
        <v>936</v>
      </c>
      <c r="F68" s="295">
        <v>2311</v>
      </c>
      <c r="G68" s="296"/>
      <c r="H68" s="297" t="str">
        <f>IFERROR(VLOOKUP(ROWS($H$3:H68),$D$3:$E$204,2,0),"")</f>
        <v>PŘEŠTICE</v>
      </c>
      <c r="I68" s="266"/>
      <c r="J68" s="299" t="s">
        <v>937</v>
      </c>
      <c r="K68" s="288" t="s">
        <v>938</v>
      </c>
      <c r="M68" s="289">
        <f>IF(ISNUMBER(SEARCH(ZAKL_DATA!$B$29,N68)),MAX($M$2:M67)+1,0)</f>
        <v>66</v>
      </c>
      <c r="N68" s="482" t="s">
        <v>2671</v>
      </c>
      <c r="O68" s="482" t="s">
        <v>2672</v>
      </c>
      <c r="Q68" s="291" t="str">
        <f>IFERROR(VLOOKUP(ROWS($Q$3:Q68),$M$3:$N$718,2,0),"")</f>
        <v>Činnosti v oblasti scénických umění</v>
      </c>
      <c r="R68">
        <f>IF(ISNUMBER(SEARCH('1Př1'!$A$32,N68)),MAX($M$2:M67)+1,0)</f>
        <v>66</v>
      </c>
      <c r="S68" s="290" t="s">
        <v>939</v>
      </c>
      <c r="T68" t="str">
        <f>IFERROR(VLOOKUP(ROWS($T$3:T68),$R$3:$S$718,2,0),"")</f>
        <v>Vydavatelské činnosti</v>
      </c>
      <c r="U68">
        <f>IF(ISNUMBER(SEARCH('1Př1'!$A$33,N68)),MAX($M$2:M67)+1,0)</f>
        <v>66</v>
      </c>
      <c r="V68" s="290" t="s">
        <v>939</v>
      </c>
      <c r="W68" t="str">
        <f>IFERROR(VLOOKUP(ROWS($W$3:W68),$U$3:$V$718,2,0),"")</f>
        <v>Vydavatelské činnosti</v>
      </c>
      <c r="X68">
        <f>IF(ISNUMBER(SEARCH('1Př1'!$A$34,N68)),MAX($M$2:M67)+1,0)</f>
        <v>66</v>
      </c>
      <c r="Y68" s="290" t="s">
        <v>939</v>
      </c>
      <c r="Z68" t="str">
        <f>IFERROR(VLOOKUP(ROWS($Z$3:Z68),$X$3:$Y$718,2,0),"")</f>
        <v>Vydavatelské činnosti</v>
      </c>
    </row>
    <row r="69" spans="1:26" ht="12.75" customHeight="1">
      <c r="A69" s="266"/>
      <c r="B69" s="266"/>
      <c r="C69" s="266"/>
      <c r="D69" s="282">
        <f>IF(ISNUMBER(SEARCH(ZAKL_DATA!$B$14,E69)),MAX($D$2:D68)+1,0)</f>
        <v>67</v>
      </c>
      <c r="E69" s="294" t="s">
        <v>940</v>
      </c>
      <c r="F69" s="295">
        <v>2312</v>
      </c>
      <c r="G69" s="296"/>
      <c r="H69" s="297" t="str">
        <f>IFERROR(VLOOKUP(ROWS($H$3:H69),$D$3:$E$204,2,0),"")</f>
        <v>ROKYCANY</v>
      </c>
      <c r="I69" s="266"/>
      <c r="J69" s="299" t="s">
        <v>941</v>
      </c>
      <c r="K69" s="288" t="s">
        <v>942</v>
      </c>
      <c r="M69" s="289">
        <f>IF(ISNUMBER(SEARCH(ZAKL_DATA!$B$29,N69)),MAX($M$2:M68)+1,0)</f>
        <v>67</v>
      </c>
      <c r="N69" s="482" t="s">
        <v>2673</v>
      </c>
      <c r="O69" s="482" t="s">
        <v>2674</v>
      </c>
      <c r="Q69" s="291" t="str">
        <f>IFERROR(VLOOKUP(ROWS($Q$3:Q69),$M$3:$N$718,2,0),"")</f>
        <v>Činnosti v oblasti sportu j. n.</v>
      </c>
      <c r="R69">
        <f>IF(ISNUMBER(SEARCH('1Př1'!$A$32,N69)),MAX($M$2:M68)+1,0)</f>
        <v>67</v>
      </c>
      <c r="S69" s="290" t="s">
        <v>943</v>
      </c>
      <c r="T69" t="str">
        <f>IFERROR(VLOOKUP(ROWS($T$3:T69),$R$3:$S$718,2,0),"")</f>
        <v>Čin.v obl.filmů,videozázn.a tel.programů,pořiz.zvuk.nahr.a hudeb.vyd.čin.</v>
      </c>
      <c r="U69">
        <f>IF(ISNUMBER(SEARCH('1Př1'!$A$33,N69)),MAX($M$2:M68)+1,0)</f>
        <v>67</v>
      </c>
      <c r="V69" s="290" t="s">
        <v>943</v>
      </c>
      <c r="W69" t="str">
        <f>IFERROR(VLOOKUP(ROWS($W$3:W69),$U$3:$V$718,2,0),"")</f>
        <v>Čin.v obl.filmů,videozázn.a tel.programů,pořiz.zvuk.nahr.a hudeb.vyd.čin.</v>
      </c>
      <c r="X69">
        <f>IF(ISNUMBER(SEARCH('1Př1'!$A$34,N69)),MAX($M$2:M68)+1,0)</f>
        <v>67</v>
      </c>
      <c r="Y69" s="290" t="s">
        <v>943</v>
      </c>
      <c r="Z69" t="str">
        <f>IFERROR(VLOOKUP(ROWS($Z$3:Z69),$X$3:$Y$718,2,0),"")</f>
        <v>Čin.v obl.filmů,videozázn.a tel.programů,pořiz.zvuk.nahr.a hudeb.vyd.čin.</v>
      </c>
    </row>
    <row r="70" spans="1:26" ht="12.75" customHeight="1">
      <c r="A70" s="266"/>
      <c r="B70" s="266"/>
      <c r="C70" s="266"/>
      <c r="D70" s="282">
        <f>IF(ISNUMBER(SEARCH(ZAKL_DATA!$B$14,E70)),MAX($D$2:D69)+1,0)</f>
        <v>68</v>
      </c>
      <c r="E70" s="294" t="s">
        <v>944</v>
      </c>
      <c r="F70" s="295">
        <v>2313</v>
      </c>
      <c r="G70" s="296"/>
      <c r="H70" s="297" t="str">
        <f>IFERROR(VLOOKUP(ROWS($H$3:H70),$D$3:$E$204,2,0),"")</f>
        <v>TACHOV</v>
      </c>
      <c r="I70" s="266"/>
      <c r="J70" s="299" t="s">
        <v>945</v>
      </c>
      <c r="K70" s="288" t="s">
        <v>946</v>
      </c>
      <c r="M70" s="289">
        <f>IF(ISNUMBER(SEARCH(ZAKL_DATA!$B$29,N70)),MAX($M$2:M69)+1,0)</f>
        <v>68</v>
      </c>
      <c r="N70" s="482" t="s">
        <v>2129</v>
      </c>
      <c r="O70" s="482" t="s">
        <v>2675</v>
      </c>
      <c r="Q70" s="291" t="str">
        <f>IFERROR(VLOOKUP(ROWS($Q$3:Q70),$M$3:$N$718,2,0),"")</f>
        <v>Činnosti v oblasti spravedlnosti a soudnictví</v>
      </c>
      <c r="R70">
        <f>IF(ISNUMBER(SEARCH('1Př1'!$A$32,N70)),MAX($M$2:M69)+1,0)</f>
        <v>68</v>
      </c>
      <c r="S70" s="290" t="s">
        <v>947</v>
      </c>
      <c r="T70" t="str">
        <f>IFERROR(VLOOKUP(ROWS($T$3:T70),$R$3:$S$718,2,0),"")</f>
        <v>Tvorba programů a vysílání</v>
      </c>
      <c r="U70">
        <f>IF(ISNUMBER(SEARCH('1Př1'!$A$33,N70)),MAX($M$2:M69)+1,0)</f>
        <v>68</v>
      </c>
      <c r="V70" s="290" t="s">
        <v>947</v>
      </c>
      <c r="W70" t="str">
        <f>IFERROR(VLOOKUP(ROWS($W$3:W70),$U$3:$V$718,2,0),"")</f>
        <v>Tvorba programů a vysílání</v>
      </c>
      <c r="X70">
        <f>IF(ISNUMBER(SEARCH('1Př1'!$A$34,N70)),MAX($M$2:M69)+1,0)</f>
        <v>68</v>
      </c>
      <c r="Y70" s="290" t="s">
        <v>947</v>
      </c>
      <c r="Z70" t="str">
        <f>IFERROR(VLOOKUP(ROWS($Z$3:Z70),$X$3:$Y$718,2,0),"")</f>
        <v>Tvorba programů a vysílání</v>
      </c>
    </row>
    <row r="71" spans="1:26" ht="12.75" customHeight="1">
      <c r="A71" s="266"/>
      <c r="B71" s="266"/>
      <c r="C71" s="266"/>
      <c r="D71" s="282">
        <f>IF(ISNUMBER(SEARCH(ZAKL_DATA!$B$14,E71)),MAX($D$2:D70)+1,0)</f>
        <v>69</v>
      </c>
      <c r="E71" s="294" t="s">
        <v>948</v>
      </c>
      <c r="F71" s="295">
        <v>2314</v>
      </c>
      <c r="G71" s="296"/>
      <c r="H71" s="297" t="str">
        <f>IFERROR(VLOOKUP(ROWS($H$3:H71),$D$3:$E$204,2,0),"")</f>
        <v>STŘÍBRO</v>
      </c>
      <c r="I71" s="266"/>
      <c r="J71" s="299" t="s">
        <v>949</v>
      </c>
      <c r="K71" s="288" t="s">
        <v>950</v>
      </c>
      <c r="M71" s="289">
        <f>IF(ISNUMBER(SEARCH(ZAKL_DATA!$B$29,N71)),MAX($M$2:M70)+1,0)</f>
        <v>69</v>
      </c>
      <c r="N71" s="482" t="s">
        <v>2676</v>
      </c>
      <c r="O71" s="482" t="s">
        <v>2677</v>
      </c>
      <c r="Q71" s="291" t="str">
        <f>IFERROR(VLOOKUP(ROWS($Q$3:Q71),$M$3:$N$718,2,0),"")</f>
        <v>Činnosti v oblasti tradiční, doplňkové a alternativní medicíny</v>
      </c>
      <c r="R71">
        <f>IF(ISNUMBER(SEARCH('1Př1'!$A$32,N71)),MAX($M$2:M70)+1,0)</f>
        <v>69</v>
      </c>
      <c r="S71" s="290" t="s">
        <v>951</v>
      </c>
      <c r="T71" t="str">
        <f>IFERROR(VLOOKUP(ROWS($T$3:T71),$R$3:$S$718,2,0),"")</f>
        <v>Telekomunikační činnosti</v>
      </c>
      <c r="U71">
        <f>IF(ISNUMBER(SEARCH('1Př1'!$A$33,N71)),MAX($M$2:M70)+1,0)</f>
        <v>69</v>
      </c>
      <c r="V71" s="290" t="s">
        <v>951</v>
      </c>
      <c r="W71" t="str">
        <f>IFERROR(VLOOKUP(ROWS($W$3:W71),$U$3:$V$718,2,0),"")</f>
        <v>Telekomunikační činnosti</v>
      </c>
      <c r="X71">
        <f>IF(ISNUMBER(SEARCH('1Př1'!$A$34,N71)),MAX($M$2:M70)+1,0)</f>
        <v>69</v>
      </c>
      <c r="Y71" s="290" t="s">
        <v>951</v>
      </c>
      <c r="Z71" t="str">
        <f>IFERROR(VLOOKUP(ROWS($Z$3:Z71),$X$3:$Y$718,2,0),"")</f>
        <v>Telekomunikační činnosti</v>
      </c>
    </row>
    <row r="72" spans="1:26" ht="12.75" customHeight="1">
      <c r="A72" s="266"/>
      <c r="B72" s="266"/>
      <c r="C72" s="266"/>
      <c r="D72" s="282">
        <f>IF(ISNUMBER(SEARCH(ZAKL_DATA!$B$14,E72)),MAX($D$2:D71)+1,0)</f>
        <v>70</v>
      </c>
      <c r="E72" s="294" t="s">
        <v>952</v>
      </c>
      <c r="F72" s="295">
        <v>2315</v>
      </c>
      <c r="G72" s="296"/>
      <c r="H72" s="297" t="str">
        <f>IFERROR(VLOOKUP(ROWS($H$3:H72),$D$3:$E$204,2,0),"")</f>
        <v>SUŠICE</v>
      </c>
      <c r="I72" s="266"/>
      <c r="J72" s="299" t="s">
        <v>953</v>
      </c>
      <c r="K72" s="288" t="s">
        <v>954</v>
      </c>
      <c r="M72" s="289">
        <f>IF(ISNUMBER(SEARCH(ZAKL_DATA!$B$29,N72)),MAX($M$2:M71)+1,0)</f>
        <v>70</v>
      </c>
      <c r="N72" s="482" t="s">
        <v>2130</v>
      </c>
      <c r="O72" s="482" t="s">
        <v>2678</v>
      </c>
      <c r="Q72" s="291" t="str">
        <f>IFERROR(VLOOKUP(ROWS($Q$3:Q72),$M$3:$N$718,2,0),"")</f>
        <v>Činnosti v oblasti veřejného pořádku a bezpečnosti</v>
      </c>
      <c r="R72">
        <f>IF(ISNUMBER(SEARCH('1Př1'!$A$32,N72)),MAX($M$2:M71)+1,0)</f>
        <v>70</v>
      </c>
      <c r="S72" s="290" t="s">
        <v>955</v>
      </c>
      <c r="T72" t="str">
        <f>IFERROR(VLOOKUP(ROWS($T$3:T72),$R$3:$S$718,2,0),"")</f>
        <v>Těžba ropy</v>
      </c>
      <c r="U72">
        <f>IF(ISNUMBER(SEARCH('1Př1'!$A$33,N72)),MAX($M$2:M71)+1,0)</f>
        <v>70</v>
      </c>
      <c r="V72" s="290" t="s">
        <v>955</v>
      </c>
      <c r="W72" t="str">
        <f>IFERROR(VLOOKUP(ROWS($W$3:W72),$U$3:$V$718,2,0),"")</f>
        <v>Těžba ropy</v>
      </c>
      <c r="X72">
        <f>IF(ISNUMBER(SEARCH('1Př1'!$A$34,N72)),MAX($M$2:M71)+1,0)</f>
        <v>70</v>
      </c>
      <c r="Y72" s="290" t="s">
        <v>955</v>
      </c>
      <c r="Z72" t="str">
        <f>IFERROR(VLOOKUP(ROWS($Z$3:Z72),$X$3:$Y$718,2,0),"")</f>
        <v>Těžba ropy</v>
      </c>
    </row>
    <row r="73" spans="1:26" ht="12.75" customHeight="1">
      <c r="A73" s="266"/>
      <c r="B73" s="266"/>
      <c r="C73" s="266"/>
      <c r="D73" s="282">
        <f>IF(ISNUMBER(SEARCH(ZAKL_DATA!$B$14,E73)),MAX($D$2:D72)+1,0)</f>
        <v>71</v>
      </c>
      <c r="E73" s="294" t="s">
        <v>956</v>
      </c>
      <c r="F73" s="295">
        <v>2401</v>
      </c>
      <c r="G73" s="296"/>
      <c r="H73" s="297" t="str">
        <f>IFERROR(VLOOKUP(ROWS($H$3:H73),$D$3:$E$204,2,0),"")</f>
        <v>KARLOVY VARY</v>
      </c>
      <c r="I73" s="266"/>
      <c r="J73" s="299" t="s">
        <v>957</v>
      </c>
      <c r="K73" s="288" t="s">
        <v>958</v>
      </c>
      <c r="M73" s="289">
        <f>IF(ISNUMBER(SEARCH(ZAKL_DATA!$B$29,N73)),MAX($M$2:M72)+1,0)</f>
        <v>71</v>
      </c>
      <c r="N73" s="482" t="s">
        <v>2679</v>
      </c>
      <c r="O73" s="482" t="s">
        <v>2680</v>
      </c>
      <c r="Q73" s="291" t="str">
        <f>IFERROR(VLOOKUP(ROWS($Q$3:Q73),$M$3:$N$718,2,0),"")</f>
        <v>Činnosti v oblasti vztahů s veřejností a komunikace</v>
      </c>
      <c r="R73">
        <f>IF(ISNUMBER(SEARCH('1Př1'!$A$32,N73)),MAX($M$2:M72)+1,0)</f>
        <v>71</v>
      </c>
      <c r="S73" s="290" t="s">
        <v>959</v>
      </c>
      <c r="T73" t="str">
        <f>IFERROR(VLOOKUP(ROWS($T$3:T73),$R$3:$S$718,2,0),"")</f>
        <v>Činnosti v oblasti informačních technologií</v>
      </c>
      <c r="U73">
        <f>IF(ISNUMBER(SEARCH('1Př1'!$A$33,N73)),MAX($M$2:M72)+1,0)</f>
        <v>71</v>
      </c>
      <c r="V73" s="290" t="s">
        <v>959</v>
      </c>
      <c r="W73" t="str">
        <f>IFERROR(VLOOKUP(ROWS($W$3:W73),$U$3:$V$718,2,0),"")</f>
        <v>Činnosti v oblasti informačních technologií</v>
      </c>
      <c r="X73">
        <f>IF(ISNUMBER(SEARCH('1Př1'!$A$34,N73)),MAX($M$2:M72)+1,0)</f>
        <v>71</v>
      </c>
      <c r="Y73" s="290" t="s">
        <v>959</v>
      </c>
      <c r="Z73" t="str">
        <f>IFERROR(VLOOKUP(ROWS($Z$3:Z73),$X$3:$Y$718,2,0),"")</f>
        <v>Činnosti v oblasti informačních technologií</v>
      </c>
    </row>
    <row r="74" spans="1:26" ht="12.75" customHeight="1">
      <c r="A74" s="266"/>
      <c r="B74" s="266"/>
      <c r="C74" s="266"/>
      <c r="D74" s="282">
        <f>IF(ISNUMBER(SEARCH(ZAKL_DATA!$B$14,E74)),MAX($D$2:D73)+1,0)</f>
        <v>72</v>
      </c>
      <c r="E74" s="294" t="s">
        <v>960</v>
      </c>
      <c r="F74" s="295">
        <v>2402</v>
      </c>
      <c r="G74" s="296"/>
      <c r="H74" s="297" t="str">
        <f>IFERROR(VLOOKUP(ROWS($H$3:H74),$D$3:$E$204,2,0),"")</f>
        <v>AŠ</v>
      </c>
      <c r="I74" s="266"/>
      <c r="J74" s="299" t="s">
        <v>961</v>
      </c>
      <c r="K74" s="288" t="s">
        <v>962</v>
      </c>
      <c r="M74" s="289">
        <f>IF(ISNUMBER(SEARCH(ZAKL_DATA!$B$29,N74)),MAX($M$2:M73)+1,0)</f>
        <v>72</v>
      </c>
      <c r="N74" s="482" t="s">
        <v>2681</v>
      </c>
      <c r="O74" s="482" t="s">
        <v>2682</v>
      </c>
      <c r="Q74" s="291" t="str">
        <f>IFERROR(VLOOKUP(ROWS($Q$3:Q74),$M$3:$N$718,2,0),"")</f>
        <v>Činnosti v oblasti zábavy a rekreace j. n.</v>
      </c>
      <c r="R74">
        <f>IF(ISNUMBER(SEARCH('1Př1'!$A$32,N74)),MAX($M$2:M73)+1,0)</f>
        <v>72</v>
      </c>
      <c r="S74" s="290" t="s">
        <v>963</v>
      </c>
      <c r="T74" t="str">
        <f>IFERROR(VLOOKUP(ROWS($T$3:T74),$R$3:$S$718,2,0),"")</f>
        <v>Těžba zemního plynu</v>
      </c>
      <c r="U74">
        <f>IF(ISNUMBER(SEARCH('1Př1'!$A$33,N74)),MAX($M$2:M73)+1,0)</f>
        <v>72</v>
      </c>
      <c r="V74" s="290" t="s">
        <v>963</v>
      </c>
      <c r="W74" t="str">
        <f>IFERROR(VLOOKUP(ROWS($W$3:W74),$U$3:$V$718,2,0),"")</f>
        <v>Těžba zemního plynu</v>
      </c>
      <c r="X74">
        <f>IF(ISNUMBER(SEARCH('1Př1'!$A$34,N74)),MAX($M$2:M73)+1,0)</f>
        <v>72</v>
      </c>
      <c r="Y74" s="290" t="s">
        <v>963</v>
      </c>
      <c r="Z74" t="str">
        <f>IFERROR(VLOOKUP(ROWS($Z$3:Z74),$X$3:$Y$718,2,0),"")</f>
        <v>Těžba zemního plynu</v>
      </c>
    </row>
    <row r="75" spans="1:26" ht="12.75" customHeight="1">
      <c r="A75" s="266"/>
      <c r="B75" s="266"/>
      <c r="C75" s="266"/>
      <c r="D75" s="282">
        <f>IF(ISNUMBER(SEARCH(ZAKL_DATA!$B$14,E75)),MAX($D$2:D74)+1,0)</f>
        <v>73</v>
      </c>
      <c r="E75" s="294" t="s">
        <v>964</v>
      </c>
      <c r="F75" s="295">
        <v>2403</v>
      </c>
      <c r="G75" s="296"/>
      <c r="H75" s="297" t="str">
        <f>IFERROR(VLOOKUP(ROWS($H$3:H75),$D$3:$E$204,2,0),"")</f>
        <v>CHEB</v>
      </c>
      <c r="I75" s="266"/>
      <c r="J75" s="299" t="s">
        <v>965</v>
      </c>
      <c r="K75" s="288" t="s">
        <v>966</v>
      </c>
      <c r="M75" s="289">
        <f>IF(ISNUMBER(SEARCH(ZAKL_DATA!$B$29,N75)),MAX($M$2:M74)+1,0)</f>
        <v>73</v>
      </c>
      <c r="N75" s="482" t="s">
        <v>2127</v>
      </c>
      <c r="O75" s="482" t="s">
        <v>2683</v>
      </c>
      <c r="Q75" s="291" t="str">
        <f>IFERROR(VLOOKUP(ROWS($Q$3:Q75),$M$3:$N$718,2,0),"")</f>
        <v>Činnosti v oblasti zahraničních věcí</v>
      </c>
      <c r="R75">
        <f>IF(ISNUMBER(SEARCH('1Př1'!$A$32,N75)),MAX($M$2:M74)+1,0)</f>
        <v>73</v>
      </c>
      <c r="S75" s="290" t="s">
        <v>967</v>
      </c>
      <c r="T75" t="str">
        <f>IFERROR(VLOOKUP(ROWS($T$3:T75),$R$3:$S$718,2,0),"")</f>
        <v>Informační činnosti</v>
      </c>
      <c r="U75">
        <f>IF(ISNUMBER(SEARCH('1Př1'!$A$33,N75)),MAX($M$2:M74)+1,0)</f>
        <v>73</v>
      </c>
      <c r="V75" s="290" t="s">
        <v>967</v>
      </c>
      <c r="W75" t="str">
        <f>IFERROR(VLOOKUP(ROWS($W$3:W75),$U$3:$V$718,2,0),"")</f>
        <v>Informační činnosti</v>
      </c>
      <c r="X75">
        <f>IF(ISNUMBER(SEARCH('1Př1'!$A$34,N75)),MAX($M$2:M74)+1,0)</f>
        <v>73</v>
      </c>
      <c r="Y75" s="290" t="s">
        <v>967</v>
      </c>
      <c r="Z75" t="str">
        <f>IFERROR(VLOOKUP(ROWS($Z$3:Z75),$X$3:$Y$718,2,0),"")</f>
        <v>Informační činnosti</v>
      </c>
    </row>
    <row r="76" spans="1:26" ht="12.75" customHeight="1">
      <c r="A76" s="266"/>
      <c r="B76" s="266"/>
      <c r="C76" s="266"/>
      <c r="D76" s="282">
        <f>IF(ISNUMBER(SEARCH(ZAKL_DATA!$B$14,E76)),MAX($D$2:D75)+1,0)</f>
        <v>74</v>
      </c>
      <c r="E76" s="294" t="s">
        <v>968</v>
      </c>
      <c r="F76" s="295">
        <v>2404</v>
      </c>
      <c r="G76" s="296"/>
      <c r="H76" s="297" t="str">
        <f>IFERROR(VLOOKUP(ROWS($H$3:H76),$D$3:$E$204,2,0),"")</f>
        <v>KRASLICE</v>
      </c>
      <c r="I76" s="266"/>
      <c r="J76" s="299" t="s">
        <v>969</v>
      </c>
      <c r="K76" s="288" t="s">
        <v>970</v>
      </c>
      <c r="M76" s="289">
        <f>IF(ISNUMBER(SEARCH(ZAKL_DATA!$B$29,N76)),MAX($M$2:M75)+1,0)</f>
        <v>74</v>
      </c>
      <c r="N76" s="483" t="s">
        <v>2684</v>
      </c>
      <c r="O76" s="482" t="s">
        <v>2685</v>
      </c>
      <c r="Q76" s="291" t="str">
        <f>IFERROR(VLOOKUP(ROWS($Q$3:Q76),$M$3:$N$718,2,0),"")</f>
        <v>Činnosti v oblasti zprostředkování a marketingu patentů</v>
      </c>
      <c r="R76">
        <f>IF(ISNUMBER(SEARCH('1Př1'!$A$32,N76)),MAX($M$2:M75)+1,0)</f>
        <v>74</v>
      </c>
      <c r="S76" s="290" t="s">
        <v>971</v>
      </c>
      <c r="T76" t="str">
        <f>IFERROR(VLOOKUP(ROWS($T$3:T76),$R$3:$S$718,2,0),"")</f>
        <v>Finanční zprostředkování, kromě pojišťovnictví a penzijního financování</v>
      </c>
      <c r="U76">
        <f>IF(ISNUMBER(SEARCH('1Př1'!$A$33,N76)),MAX($M$2:M75)+1,0)</f>
        <v>74</v>
      </c>
      <c r="V76" s="290" t="s">
        <v>971</v>
      </c>
      <c r="W76" t="str">
        <f>IFERROR(VLOOKUP(ROWS($W$3:W76),$U$3:$V$718,2,0),"")</f>
        <v>Finanční zprostředkování, kromě pojišťovnictví a penzijního financování</v>
      </c>
      <c r="X76">
        <f>IF(ISNUMBER(SEARCH('1Př1'!$A$34,N76)),MAX($M$2:M75)+1,0)</f>
        <v>74</v>
      </c>
      <c r="Y76" s="290" t="s">
        <v>971</v>
      </c>
      <c r="Z76" t="str">
        <f>IFERROR(VLOOKUP(ROWS($Z$3:Z76),$X$3:$Y$718,2,0),"")</f>
        <v>Finanční zprostředkování, kromě pojišťovnictví a penzijního financování</v>
      </c>
    </row>
    <row r="77" spans="1:26" ht="12.75" customHeight="1">
      <c r="A77" s="266"/>
      <c r="B77" s="266"/>
      <c r="C77" s="266"/>
      <c r="D77" s="282">
        <f>IF(ISNUMBER(SEARCH(ZAKL_DATA!$B$14,E77)),MAX($D$2:D76)+1,0)</f>
        <v>75</v>
      </c>
      <c r="E77" s="294" t="s">
        <v>972</v>
      </c>
      <c r="F77" s="295">
        <v>2405</v>
      </c>
      <c r="G77" s="296"/>
      <c r="H77" s="297" t="str">
        <f>IFERROR(VLOOKUP(ROWS($H$3:H77),$D$3:$E$204,2,0),"")</f>
        <v>MARIÁNSKÉ LÁZNĚ</v>
      </c>
      <c r="I77" s="266"/>
      <c r="J77" s="299" t="s">
        <v>973</v>
      </c>
      <c r="K77" s="288" t="s">
        <v>974</v>
      </c>
      <c r="M77" s="289">
        <f>IF(ISNUMBER(SEARCH(ZAKL_DATA!$B$29,N77)),MAX($M$2:M76)+1,0)</f>
        <v>75</v>
      </c>
      <c r="N77" s="482" t="s">
        <v>2686</v>
      </c>
      <c r="O77" s="482" t="s">
        <v>2687</v>
      </c>
      <c r="Q77" s="291" t="str">
        <f>IFERROR(VLOOKUP(ROWS($Q$3:Q77),$M$3:$N$718,2,0),"")</f>
        <v>Činnosti v oblasti životního pojištění</v>
      </c>
      <c r="R77">
        <f>IF(ISNUMBER(SEARCH('1Př1'!$A$32,N77)),MAX($M$2:M76)+1,0)</f>
        <v>75</v>
      </c>
      <c r="S77" s="290" t="s">
        <v>975</v>
      </c>
      <c r="T77" t="str">
        <f>IFERROR(VLOOKUP(ROWS($T$3:T77),$R$3:$S$718,2,0),"")</f>
        <v>Pojištění,zajištění a penzijní financování,kromě povinného soc.zabezpečení</v>
      </c>
      <c r="U77">
        <f>IF(ISNUMBER(SEARCH('1Př1'!$A$33,N77)),MAX($M$2:M76)+1,0)</f>
        <v>75</v>
      </c>
      <c r="V77" s="290" t="s">
        <v>975</v>
      </c>
      <c r="W77" t="str">
        <f>IFERROR(VLOOKUP(ROWS($W$3:W77),$U$3:$V$718,2,0),"")</f>
        <v>Pojištění,zajištění a penzijní financování,kromě povinného soc.zabezpečení</v>
      </c>
      <c r="X77">
        <f>IF(ISNUMBER(SEARCH('1Př1'!$A$34,N77)),MAX($M$2:M76)+1,0)</f>
        <v>75</v>
      </c>
      <c r="Y77" s="290" t="s">
        <v>975</v>
      </c>
      <c r="Z77" t="str">
        <f>IFERROR(VLOOKUP(ROWS($Z$3:Z77),$X$3:$Y$718,2,0),"")</f>
        <v>Pojištění,zajištění a penzijní financování,kromě povinného soc.zabezpečení</v>
      </c>
    </row>
    <row r="78" spans="1:26" ht="12.75" customHeight="1">
      <c r="A78" s="266"/>
      <c r="B78" s="266"/>
      <c r="C78" s="266"/>
      <c r="D78" s="282">
        <f>IF(ISNUMBER(SEARCH(ZAKL_DATA!$B$14,E78)),MAX($D$2:D77)+1,0)</f>
        <v>76</v>
      </c>
      <c r="E78" s="294" t="s">
        <v>976</v>
      </c>
      <c r="F78" s="295">
        <v>2406</v>
      </c>
      <c r="G78" s="296"/>
      <c r="H78" s="297" t="str">
        <f>IFERROR(VLOOKUP(ROWS($H$3:H78),$D$3:$E$204,2,0),"")</f>
        <v>OSTROV NAD OHŘÍ</v>
      </c>
      <c r="I78" s="266"/>
      <c r="J78" s="299" t="s">
        <v>977</v>
      </c>
      <c r="K78" s="288" t="s">
        <v>978</v>
      </c>
      <c r="M78" s="289">
        <f>IF(ISNUMBER(SEARCH(ZAKL_DATA!$B$29,N78)),MAX($M$2:M77)+1,0)</f>
        <v>76</v>
      </c>
      <c r="N78" s="482" t="s">
        <v>2688</v>
      </c>
      <c r="O78" s="482" t="s">
        <v>2689</v>
      </c>
      <c r="Q78" s="291" t="str">
        <f>IFERROR(VLOOKUP(ROWS($Q$3:Q78),$M$3:$N$718,2,0),"")</f>
        <v>Činnosti webových vyhledávacích portálů</v>
      </c>
      <c r="R78">
        <f>IF(ISNUMBER(SEARCH('1Př1'!$A$32,N78)),MAX($M$2:M77)+1,0)</f>
        <v>76</v>
      </c>
      <c r="S78" s="290" t="s">
        <v>979</v>
      </c>
      <c r="T78" t="str">
        <f>IFERROR(VLOOKUP(ROWS($T$3:T78),$R$3:$S$718,2,0),"")</f>
        <v>Ostatní finanční činnosti</v>
      </c>
      <c r="U78">
        <f>IF(ISNUMBER(SEARCH('1Př1'!$A$33,N78)),MAX($M$2:M77)+1,0)</f>
        <v>76</v>
      </c>
      <c r="V78" s="290" t="s">
        <v>979</v>
      </c>
      <c r="W78" t="str">
        <f>IFERROR(VLOOKUP(ROWS($W$3:W78),$U$3:$V$718,2,0),"")</f>
        <v>Ostatní finanční činnosti</v>
      </c>
      <c r="X78">
        <f>IF(ISNUMBER(SEARCH('1Př1'!$A$34,N78)),MAX($M$2:M77)+1,0)</f>
        <v>76</v>
      </c>
      <c r="Y78" s="290" t="s">
        <v>979</v>
      </c>
      <c r="Z78" t="str">
        <f>IFERROR(VLOOKUP(ROWS($Z$3:Z78),$X$3:$Y$718,2,0),"")</f>
        <v>Ostatní finanční činnosti</v>
      </c>
    </row>
    <row r="79" spans="1:26" ht="12.75" customHeight="1">
      <c r="A79" s="266"/>
      <c r="B79" s="266"/>
      <c r="C79" s="266"/>
      <c r="D79" s="282">
        <f>IF(ISNUMBER(SEARCH(ZAKL_DATA!$B$14,E79)),MAX($D$2:D78)+1,0)</f>
        <v>77</v>
      </c>
      <c r="E79" s="294" t="s">
        <v>980</v>
      </c>
      <c r="F79" s="295">
        <v>2407</v>
      </c>
      <c r="G79" s="296"/>
      <c r="H79" s="297" t="str">
        <f>IFERROR(VLOOKUP(ROWS($H$3:H79),$D$3:$E$204,2,0),"")</f>
        <v>SOKOLOV</v>
      </c>
      <c r="I79" s="266"/>
      <c r="J79" s="299" t="s">
        <v>981</v>
      </c>
      <c r="K79" s="288" t="s">
        <v>982</v>
      </c>
      <c r="M79" s="289">
        <f>IF(ISNUMBER(SEARCH(ZAKL_DATA!$B$29,N79)),MAX($M$2:M78)+1,0)</f>
        <v>77</v>
      </c>
      <c r="N79" s="482" t="s">
        <v>2690</v>
      </c>
      <c r="O79" s="482" t="s">
        <v>2691</v>
      </c>
      <c r="Q79" s="291" t="str">
        <f>IFERROR(VLOOKUP(ROWS($Q$3:Q79),$M$3:$N$718,2,0),"")</f>
        <v>Činnosti zábavních parků</v>
      </c>
      <c r="R79">
        <f>IF(ISNUMBER(SEARCH('1Př1'!$A$32,N79)),MAX($M$2:M78)+1,0)</f>
        <v>77</v>
      </c>
      <c r="S79" s="290" t="s">
        <v>983</v>
      </c>
      <c r="T79" t="str">
        <f>IFERROR(VLOOKUP(ROWS($T$3:T79),$R$3:$S$718,2,0),"")</f>
        <v>Činnosti v oblasti nemovitostí</v>
      </c>
      <c r="U79">
        <f>IF(ISNUMBER(SEARCH('1Př1'!$A$33,N79)),MAX($M$2:M78)+1,0)</f>
        <v>77</v>
      </c>
      <c r="V79" s="290" t="s">
        <v>983</v>
      </c>
      <c r="W79" t="str">
        <f>IFERROR(VLOOKUP(ROWS($W$3:W79),$U$3:$V$718,2,0),"")</f>
        <v>Činnosti v oblasti nemovitostí</v>
      </c>
      <c r="X79">
        <f>IF(ISNUMBER(SEARCH('1Př1'!$A$34,N79)),MAX($M$2:M78)+1,0)</f>
        <v>77</v>
      </c>
      <c r="Y79" s="290" t="s">
        <v>983</v>
      </c>
      <c r="Z79" t="str">
        <f>IFERROR(VLOOKUP(ROWS($Z$3:Z79),$X$3:$Y$718,2,0),"")</f>
        <v>Činnosti v oblasti nemovitostí</v>
      </c>
    </row>
    <row r="80" spans="1:26" ht="12.75" customHeight="1">
      <c r="A80" s="266"/>
      <c r="B80" s="266"/>
      <c r="C80" s="266"/>
      <c r="D80" s="282">
        <f>IF(ISNUMBER(SEARCH(ZAKL_DATA!$B$14,E80)),MAX($D$2:D79)+1,0)</f>
        <v>78</v>
      </c>
      <c r="E80" s="294" t="s">
        <v>984</v>
      </c>
      <c r="F80" s="295">
        <v>2501</v>
      </c>
      <c r="G80" s="296"/>
      <c r="H80" s="297" t="str">
        <f>IFERROR(VLOOKUP(ROWS($H$3:H80),$D$3:$E$204,2,0),"")</f>
        <v>ÚSTÍ NAD LABEM</v>
      </c>
      <c r="I80" s="266"/>
      <c r="J80" s="299" t="s">
        <v>985</v>
      </c>
      <c r="K80" s="288" t="s">
        <v>986</v>
      </c>
      <c r="M80" s="289">
        <f>IF(ISNUMBER(SEARCH(ZAKL_DATA!$B$29,N80)),MAX($M$2:M79)+1,0)</f>
        <v>78</v>
      </c>
      <c r="N80" s="482" t="s">
        <v>2151</v>
      </c>
      <c r="O80" s="482" t="s">
        <v>2692</v>
      </c>
      <c r="Q80" s="291" t="str">
        <f>IFERROR(VLOOKUP(ROWS($Q$3:Q80),$M$3:$N$718,2,0),"")</f>
        <v>Činnosti zastaváren</v>
      </c>
      <c r="R80">
        <f>IF(ISNUMBER(SEARCH('1Př1'!$A$32,N80)),MAX($M$2:M79)+1,0)</f>
        <v>78</v>
      </c>
      <c r="S80" s="290" t="s">
        <v>987</v>
      </c>
      <c r="T80" t="str">
        <f>IFERROR(VLOOKUP(ROWS($T$3:T80),$R$3:$S$718,2,0),"")</f>
        <v>Právní a účetnické činnosti</v>
      </c>
      <c r="U80">
        <f>IF(ISNUMBER(SEARCH('1Př1'!$A$33,N80)),MAX($M$2:M79)+1,0)</f>
        <v>78</v>
      </c>
      <c r="V80" s="290" t="s">
        <v>987</v>
      </c>
      <c r="W80" t="str">
        <f>IFERROR(VLOOKUP(ROWS($W$3:W80),$U$3:$V$718,2,0),"")</f>
        <v>Právní a účetnické činnosti</v>
      </c>
      <c r="X80">
        <f>IF(ISNUMBER(SEARCH('1Př1'!$A$34,N80)),MAX($M$2:M79)+1,0)</f>
        <v>78</v>
      </c>
      <c r="Y80" s="290" t="s">
        <v>987</v>
      </c>
      <c r="Z80" t="str">
        <f>IFERROR(VLOOKUP(ROWS($Z$3:Z80),$X$3:$Y$718,2,0),"")</f>
        <v>Právní a účetnické činnosti</v>
      </c>
    </row>
    <row r="81" spans="1:26" ht="12.75" customHeight="1">
      <c r="A81" s="266"/>
      <c r="B81" s="266"/>
      <c r="C81" s="266"/>
      <c r="D81" s="282">
        <f>IF(ISNUMBER(SEARCH(ZAKL_DATA!$B$14,E81)),MAX($D$2:D80)+1,0)</f>
        <v>79</v>
      </c>
      <c r="E81" s="294" t="s">
        <v>988</v>
      </c>
      <c r="F81" s="295">
        <v>2502</v>
      </c>
      <c r="G81" s="296"/>
      <c r="H81" s="297" t="str">
        <f>IFERROR(VLOOKUP(ROWS($H$3:H81),$D$3:$E$204,2,0),"")</f>
        <v>BÍLINA</v>
      </c>
      <c r="I81" s="266"/>
      <c r="J81" s="299" t="s">
        <v>989</v>
      </c>
      <c r="K81" s="288" t="s">
        <v>990</v>
      </c>
      <c r="M81" s="289">
        <f>IF(ISNUMBER(SEARCH(ZAKL_DATA!$B$29,N81)),MAX($M$2:M80)+1,0)</f>
        <v>79</v>
      </c>
      <c r="N81" s="482" t="s">
        <v>2693</v>
      </c>
      <c r="O81" s="482" t="s">
        <v>2694</v>
      </c>
      <c r="Q81" s="291" t="str">
        <f>IFERROR(VLOOKUP(ROWS($Q$3:Q81),$M$3:$N$718,2,0),"")</f>
        <v>Činnosti zpravodajských kanceláří a agentur</v>
      </c>
      <c r="R81">
        <f>IF(ISNUMBER(SEARCH('1Př1'!$A$32,N81)),MAX($M$2:M80)+1,0)</f>
        <v>79</v>
      </c>
      <c r="S81" s="290" t="s">
        <v>991</v>
      </c>
      <c r="T81" t="str">
        <f>IFERROR(VLOOKUP(ROWS($T$3:T81),$R$3:$S$718,2,0),"")</f>
        <v>Činnosti vedení podniků; poradenství v oblasti řízení</v>
      </c>
      <c r="U81">
        <f>IF(ISNUMBER(SEARCH('1Př1'!$A$33,N81)),MAX($M$2:M80)+1,0)</f>
        <v>79</v>
      </c>
      <c r="V81" s="290" t="s">
        <v>991</v>
      </c>
      <c r="W81" t="str">
        <f>IFERROR(VLOOKUP(ROWS($W$3:W81),$U$3:$V$718,2,0),"")</f>
        <v>Činnosti vedení podniků; poradenství v oblasti řízení</v>
      </c>
      <c r="X81">
        <f>IF(ISNUMBER(SEARCH('1Př1'!$A$34,N81)),MAX($M$2:M80)+1,0)</f>
        <v>79</v>
      </c>
      <c r="Y81" s="290" t="s">
        <v>991</v>
      </c>
      <c r="Z81" t="str">
        <f>IFERROR(VLOOKUP(ROWS($Z$3:Z81),$X$3:$Y$718,2,0),"")</f>
        <v>Činnosti vedení podniků; poradenství v oblasti řízení</v>
      </c>
    </row>
    <row r="82" spans="1:26" ht="12.75" customHeight="1">
      <c r="A82" s="266"/>
      <c r="B82" s="266"/>
      <c r="C82" s="266"/>
      <c r="D82" s="282">
        <f>IF(ISNUMBER(SEARCH(ZAKL_DATA!$B$14,E82)),MAX($D$2:D81)+1,0)</f>
        <v>80</v>
      </c>
      <c r="E82" s="294" t="s">
        <v>992</v>
      </c>
      <c r="F82" s="295">
        <v>2503</v>
      </c>
      <c r="G82" s="296"/>
      <c r="H82" s="297" t="str">
        <f>IFERROR(VLOOKUP(ROWS($H$3:H82),$D$3:$E$204,2,0),"")</f>
        <v>DĚČÍN</v>
      </c>
      <c r="I82" s="266"/>
      <c r="J82" s="299" t="s">
        <v>993</v>
      </c>
      <c r="K82" s="288" t="s">
        <v>994</v>
      </c>
      <c r="M82" s="289">
        <f>IF(ISNUMBER(SEARCH(ZAKL_DATA!$B$29,N82)),MAX($M$2:M81)+1,0)</f>
        <v>80</v>
      </c>
      <c r="N82" s="483" t="s">
        <v>2695</v>
      </c>
      <c r="O82" s="482" t="s">
        <v>2696</v>
      </c>
      <c r="Q82" s="291" t="str">
        <f>IFERROR(VLOOKUP(ROWS($Q$3:Q82),$M$3:$N$718,2,0),"")</f>
        <v>Dálková železniční osobní doprava</v>
      </c>
      <c r="R82">
        <f>IF(ISNUMBER(SEARCH('1Př1'!$A$32,N82)),MAX($M$2:M81)+1,0)</f>
        <v>80</v>
      </c>
      <c r="S82" s="290" t="s">
        <v>995</v>
      </c>
      <c r="T82" t="str">
        <f>IFERROR(VLOOKUP(ROWS($T$3:T82),$R$3:$S$718,2,0),"")</f>
        <v>Architektonické a inženýrské činnosti; technické zkoušky a analýzy</v>
      </c>
      <c r="U82">
        <f>IF(ISNUMBER(SEARCH('1Př1'!$A$33,N82)),MAX($M$2:M81)+1,0)</f>
        <v>80</v>
      </c>
      <c r="V82" s="290" t="s">
        <v>995</v>
      </c>
      <c r="W82" t="str">
        <f>IFERROR(VLOOKUP(ROWS($W$3:W82),$U$3:$V$718,2,0),"")</f>
        <v>Architektonické a inženýrské činnosti; technické zkoušky a analýzy</v>
      </c>
      <c r="X82">
        <f>IF(ISNUMBER(SEARCH('1Př1'!$A$34,N82)),MAX($M$2:M81)+1,0)</f>
        <v>80</v>
      </c>
      <c r="Y82" s="290" t="s">
        <v>995</v>
      </c>
      <c r="Z82" t="str">
        <f>IFERROR(VLOOKUP(ROWS($Z$3:Z82),$X$3:$Y$718,2,0),"")</f>
        <v>Architektonické a inženýrské činnosti; technické zkoušky a analýzy</v>
      </c>
    </row>
    <row r="83" spans="1:26" ht="12.75" customHeight="1">
      <c r="A83" s="266"/>
      <c r="B83" s="266"/>
      <c r="C83" s="266"/>
      <c r="D83" s="282">
        <f>IF(ISNUMBER(SEARCH(ZAKL_DATA!$B$14,E83)),MAX($D$2:D82)+1,0)</f>
        <v>81</v>
      </c>
      <c r="E83" s="294" t="s">
        <v>996</v>
      </c>
      <c r="F83" s="295">
        <v>2504</v>
      </c>
      <c r="G83" s="296"/>
      <c r="H83" s="297" t="str">
        <f>IFERROR(VLOOKUP(ROWS($H$3:H83),$D$3:$E$204,2,0),"")</f>
        <v>CHOMUTOV</v>
      </c>
      <c r="I83" s="266"/>
      <c r="J83" s="299" t="s">
        <v>997</v>
      </c>
      <c r="K83" s="288" t="s">
        <v>998</v>
      </c>
      <c r="M83" s="289">
        <f>IF(ISNUMBER(SEARCH(ZAKL_DATA!$B$29,N83)),MAX($M$2:M82)+1,0)</f>
        <v>81</v>
      </c>
      <c r="N83" s="482" t="s">
        <v>1977</v>
      </c>
      <c r="O83" s="482" t="s">
        <v>2697</v>
      </c>
      <c r="Q83" s="291" t="str">
        <f>IFERROR(VLOOKUP(ROWS($Q$3:Q83),$M$3:$N$718,2,0),"")</f>
        <v>Demolice</v>
      </c>
      <c r="R83">
        <f>IF(ISNUMBER(SEARCH('1Př1'!$A$32,N83)),MAX($M$2:M82)+1,0)</f>
        <v>81</v>
      </c>
      <c r="S83" s="290" t="s">
        <v>999</v>
      </c>
      <c r="T83" t="str">
        <f>IFERROR(VLOOKUP(ROWS($T$3:T83),$R$3:$S$718,2,0),"")</f>
        <v>Těžba a úprava železných rud</v>
      </c>
      <c r="U83">
        <f>IF(ISNUMBER(SEARCH('1Př1'!$A$33,N83)),MAX($M$2:M82)+1,0)</f>
        <v>81</v>
      </c>
      <c r="V83" s="290" t="s">
        <v>999</v>
      </c>
      <c r="W83" t="str">
        <f>IFERROR(VLOOKUP(ROWS($W$3:W83),$U$3:$V$718,2,0),"")</f>
        <v>Těžba a úprava železných rud</v>
      </c>
      <c r="X83">
        <f>IF(ISNUMBER(SEARCH('1Př1'!$A$34,N83)),MAX($M$2:M82)+1,0)</f>
        <v>81</v>
      </c>
      <c r="Y83" s="290" t="s">
        <v>999</v>
      </c>
      <c r="Z83" t="str">
        <f>IFERROR(VLOOKUP(ROWS($Z$3:Z83),$X$3:$Y$718,2,0),"")</f>
        <v>Těžba a úprava železných rud</v>
      </c>
    </row>
    <row r="84" spans="1:26" ht="12.75" customHeight="1">
      <c r="A84" s="266"/>
      <c r="B84" s="266"/>
      <c r="C84" s="266"/>
      <c r="D84" s="282">
        <f>IF(ISNUMBER(SEARCH(ZAKL_DATA!$B$14,E84)),MAX($D$2:D83)+1,0)</f>
        <v>82</v>
      </c>
      <c r="E84" s="294" t="s">
        <v>1000</v>
      </c>
      <c r="F84" s="295">
        <v>2505</v>
      </c>
      <c r="G84" s="296"/>
      <c r="H84" s="297" t="str">
        <f>IFERROR(VLOOKUP(ROWS($H$3:H84),$D$3:$E$204,2,0),"")</f>
        <v>KADAŇ</v>
      </c>
      <c r="I84" s="266"/>
      <c r="J84" s="302" t="s">
        <v>1001</v>
      </c>
      <c r="K84" s="303" t="s">
        <v>1002</v>
      </c>
      <c r="M84" s="289">
        <f>IF(ISNUMBER(SEARCH(ZAKL_DATA!$B$29,N84)),MAX($M$2:M83)+1,0)</f>
        <v>82</v>
      </c>
      <c r="N84" s="482" t="s">
        <v>2698</v>
      </c>
      <c r="O84" s="482" t="s">
        <v>2699</v>
      </c>
      <c r="Q84" s="291" t="str">
        <f>IFERROR(VLOOKUP(ROWS($Q$3:Q84),$M$3:$N$718,2,0),"")</f>
        <v>Destilace, rektifikace a míchaní lihovin</v>
      </c>
      <c r="R84">
        <f>IF(ISNUMBER(SEARCH('1Př1'!$A$32,N84)),MAX($M$2:M83)+1,0)</f>
        <v>82</v>
      </c>
      <c r="S84" s="290" t="s">
        <v>1003</v>
      </c>
      <c r="T84" t="str">
        <f>IFERROR(VLOOKUP(ROWS($T$3:T84),$R$3:$S$718,2,0),"")</f>
        <v>Výzkum a vývoj</v>
      </c>
      <c r="U84">
        <f>IF(ISNUMBER(SEARCH('1Př1'!$A$33,N84)),MAX($M$2:M83)+1,0)</f>
        <v>82</v>
      </c>
      <c r="V84" s="290" t="s">
        <v>1003</v>
      </c>
      <c r="W84" t="str">
        <f>IFERROR(VLOOKUP(ROWS($W$3:W84),$U$3:$V$718,2,0),"")</f>
        <v>Výzkum a vývoj</v>
      </c>
      <c r="X84">
        <f>IF(ISNUMBER(SEARCH('1Př1'!$A$34,N84)),MAX($M$2:M83)+1,0)</f>
        <v>82</v>
      </c>
      <c r="Y84" s="290" t="s">
        <v>1003</v>
      </c>
      <c r="Z84" t="str">
        <f>IFERROR(VLOOKUP(ROWS($Z$3:Z84),$X$3:$Y$718,2,0),"")</f>
        <v>Výzkum a vývoj</v>
      </c>
    </row>
    <row r="85" spans="1:26" ht="12.75" customHeight="1">
      <c r="A85" s="266"/>
      <c r="B85" s="266"/>
      <c r="C85" s="266"/>
      <c r="D85" s="282">
        <f>IF(ISNUMBER(SEARCH(ZAKL_DATA!$B$14,E85)),MAX($D$2:D84)+1,0)</f>
        <v>83</v>
      </c>
      <c r="E85" s="294" t="s">
        <v>1004</v>
      </c>
      <c r="F85" s="295">
        <v>2506</v>
      </c>
      <c r="G85" s="296"/>
      <c r="H85" s="297" t="str">
        <f>IFERROR(VLOOKUP(ROWS($H$3:H85),$D$3:$E$204,2,0),"")</f>
        <v>LIBOCHOVICE</v>
      </c>
      <c r="I85" s="266"/>
      <c r="J85" s="299" t="s">
        <v>1005</v>
      </c>
      <c r="K85" s="288" t="s">
        <v>1006</v>
      </c>
      <c r="M85" s="289">
        <f>IF(ISNUMBER(SEARCH(ZAKL_DATA!$B$29,N85)),MAX($M$2:M84)+1,0)</f>
        <v>83</v>
      </c>
      <c r="N85" s="482" t="s">
        <v>2700</v>
      </c>
      <c r="O85" s="482" t="s">
        <v>2701</v>
      </c>
      <c r="Q85" s="291" t="str">
        <f>IFERROR(VLOOKUP(ROWS($Q$3:Q85),$M$3:$N$718,2,0),"")</f>
        <v>Developerské činnosti</v>
      </c>
      <c r="R85">
        <f>IF(ISNUMBER(SEARCH('1Př1'!$A$32,N85)),MAX($M$2:M84)+1,0)</f>
        <v>83</v>
      </c>
      <c r="S85" s="290" t="s">
        <v>1007</v>
      </c>
      <c r="T85" t="str">
        <f>IFERROR(VLOOKUP(ROWS($T$3:T85),$R$3:$S$718,2,0),"")</f>
        <v>Těžba a úprava neželezných rud</v>
      </c>
      <c r="U85">
        <f>IF(ISNUMBER(SEARCH('1Př1'!$A$33,N85)),MAX($M$2:M84)+1,0)</f>
        <v>83</v>
      </c>
      <c r="V85" s="290" t="s">
        <v>1007</v>
      </c>
      <c r="W85" t="str">
        <f>IFERROR(VLOOKUP(ROWS($W$3:W85),$U$3:$V$718,2,0),"")</f>
        <v>Těžba a úprava neželezných rud</v>
      </c>
      <c r="X85">
        <f>IF(ISNUMBER(SEARCH('1Př1'!$A$34,N85)),MAX($M$2:M84)+1,0)</f>
        <v>83</v>
      </c>
      <c r="Y85" s="290" t="s">
        <v>1007</v>
      </c>
      <c r="Z85" t="str">
        <f>IFERROR(VLOOKUP(ROWS($Z$3:Z85),$X$3:$Y$718,2,0),"")</f>
        <v>Těžba a úprava neželezných rud</v>
      </c>
    </row>
    <row r="86" spans="1:26" ht="12.75" customHeight="1">
      <c r="A86" s="266"/>
      <c r="B86" s="266"/>
      <c r="C86" s="266"/>
      <c r="D86" s="282">
        <f>IF(ISNUMBER(SEARCH(ZAKL_DATA!$B$14,E86)),MAX($D$2:D85)+1,0)</f>
        <v>84</v>
      </c>
      <c r="E86" s="294" t="s">
        <v>1008</v>
      </c>
      <c r="F86" s="295">
        <v>2507</v>
      </c>
      <c r="G86" s="296"/>
      <c r="H86" s="297" t="str">
        <f>IFERROR(VLOOKUP(ROWS($H$3:H86),$D$3:$E$204,2,0),"")</f>
        <v>LITOMĚŘICE</v>
      </c>
      <c r="I86" s="266"/>
      <c r="J86" s="299" t="s">
        <v>1009</v>
      </c>
      <c r="K86" s="288" t="s">
        <v>1010</v>
      </c>
      <c r="M86" s="289">
        <f>IF(ISNUMBER(SEARCH(ZAKL_DATA!$B$29,N86)),MAX($M$2:M85)+1,0)</f>
        <v>84</v>
      </c>
      <c r="N86" s="482" t="s">
        <v>2702</v>
      </c>
      <c r="O86" s="482" t="s">
        <v>2703</v>
      </c>
      <c r="Q86" s="291" t="str">
        <f>IFERROR(VLOOKUP(ROWS($Q$3:Q86),$M$3:$N$718,2,0),"")</f>
        <v>Distribuce elektřiny</v>
      </c>
      <c r="R86">
        <f>IF(ISNUMBER(SEARCH('1Př1'!$A$32,N86)),MAX($M$2:M85)+1,0)</f>
        <v>84</v>
      </c>
      <c r="S86" s="290" t="s">
        <v>1011</v>
      </c>
      <c r="T86" t="str">
        <f>IFERROR(VLOOKUP(ROWS($T$3:T86),$R$3:$S$718,2,0),"")</f>
        <v>Reklama a průzkum trhu</v>
      </c>
      <c r="U86">
        <f>IF(ISNUMBER(SEARCH('1Př1'!$A$33,N86)),MAX($M$2:M85)+1,0)</f>
        <v>84</v>
      </c>
      <c r="V86" s="290" t="s">
        <v>1011</v>
      </c>
      <c r="W86" t="str">
        <f>IFERROR(VLOOKUP(ROWS($W$3:W86),$U$3:$V$718,2,0),"")</f>
        <v>Reklama a průzkum trhu</v>
      </c>
      <c r="X86">
        <f>IF(ISNUMBER(SEARCH('1Př1'!$A$34,N86)),MAX($M$2:M85)+1,0)</f>
        <v>84</v>
      </c>
      <c r="Y86" s="290" t="s">
        <v>1011</v>
      </c>
      <c r="Z86" t="str">
        <f>IFERROR(VLOOKUP(ROWS($Z$3:Z86),$X$3:$Y$718,2,0),"")</f>
        <v>Reklama a průzkum trhu</v>
      </c>
    </row>
    <row r="87" spans="1:26" ht="12.75" customHeight="1">
      <c r="A87" s="266"/>
      <c r="B87" s="266"/>
      <c r="C87" s="266"/>
      <c r="D87" s="282">
        <f>IF(ISNUMBER(SEARCH(ZAKL_DATA!$B$14,E87)),MAX($D$2:D86)+1,0)</f>
        <v>85</v>
      </c>
      <c r="E87" s="294" t="s">
        <v>1012</v>
      </c>
      <c r="F87" s="295">
        <v>2508</v>
      </c>
      <c r="G87" s="296"/>
      <c r="H87" s="297" t="str">
        <f>IFERROR(VLOOKUP(ROWS($H$3:H87),$D$3:$E$204,2,0),"")</f>
        <v>LITVÍNOV</v>
      </c>
      <c r="I87" s="266"/>
      <c r="J87" s="299" t="s">
        <v>1013</v>
      </c>
      <c r="K87" s="288" t="s">
        <v>1014</v>
      </c>
      <c r="M87" s="289">
        <f>IF(ISNUMBER(SEARCH(ZAKL_DATA!$B$29,N87)),MAX($M$2:M86)+1,0)</f>
        <v>85</v>
      </c>
      <c r="N87" s="482" t="s">
        <v>2704</v>
      </c>
      <c r="O87" s="482" t="s">
        <v>2705</v>
      </c>
      <c r="Q87" s="291" t="str">
        <f>IFERROR(VLOOKUP(ROWS($Q$3:Q87),$M$3:$N$718,2,0),"")</f>
        <v>Distribuce filmů a videozáznamů</v>
      </c>
      <c r="R87">
        <f>IF(ISNUMBER(SEARCH('1Př1'!$A$32,N87)),MAX($M$2:M86)+1,0)</f>
        <v>85</v>
      </c>
      <c r="S87" s="290" t="s">
        <v>1015</v>
      </c>
      <c r="T87" t="str">
        <f>IFERROR(VLOOKUP(ROWS($T$3:T87),$R$3:$S$718,2,0),"")</f>
        <v>Ostatní profesní, vědecké a technické činnosti</v>
      </c>
      <c r="U87">
        <f>IF(ISNUMBER(SEARCH('1Př1'!$A$33,N87)),MAX($M$2:M86)+1,0)</f>
        <v>85</v>
      </c>
      <c r="V87" s="290" t="s">
        <v>1015</v>
      </c>
      <c r="W87" t="str">
        <f>IFERROR(VLOOKUP(ROWS($W$3:W87),$U$3:$V$718,2,0),"")</f>
        <v>Ostatní profesní, vědecké a technické činnosti</v>
      </c>
      <c r="X87">
        <f>IF(ISNUMBER(SEARCH('1Př1'!$A$34,N87)),MAX($M$2:M86)+1,0)</f>
        <v>85</v>
      </c>
      <c r="Y87" s="290" t="s">
        <v>1015</v>
      </c>
      <c r="Z87" t="str">
        <f>IFERROR(VLOOKUP(ROWS($Z$3:Z87),$X$3:$Y$718,2,0),"")</f>
        <v>Ostatní profesní, vědecké a technické činnosti</v>
      </c>
    </row>
    <row r="88" spans="1:26" ht="12.75" customHeight="1">
      <c r="A88" s="266"/>
      <c r="B88" s="266"/>
      <c r="C88" s="266"/>
      <c r="D88" s="282">
        <f>IF(ISNUMBER(SEARCH(ZAKL_DATA!$B$14,E88)),MAX($D$2:D87)+1,0)</f>
        <v>86</v>
      </c>
      <c r="E88" s="294" t="s">
        <v>1016</v>
      </c>
      <c r="F88" s="295">
        <v>2509</v>
      </c>
      <c r="G88" s="296"/>
      <c r="H88" s="297" t="str">
        <f>IFERROR(VLOOKUP(ROWS($H$3:H88),$D$3:$E$204,2,0),"")</f>
        <v>LOUNY</v>
      </c>
      <c r="I88" s="266"/>
      <c r="J88" s="299" t="s">
        <v>1017</v>
      </c>
      <c r="K88" s="288" t="s">
        <v>1018</v>
      </c>
      <c r="M88" s="289">
        <f>IF(ISNUMBER(SEARCH(ZAKL_DATA!$B$29,N88)),MAX($M$2:M87)+1,0)</f>
        <v>86</v>
      </c>
      <c r="N88" s="482" t="s">
        <v>2706</v>
      </c>
      <c r="O88" s="482" t="s">
        <v>2707</v>
      </c>
      <c r="Q88" s="291" t="str">
        <f>IFERROR(VLOOKUP(ROWS($Q$3:Q88),$M$3:$N$718,2,0),"")</f>
        <v>Distribuce plynných paliv prostřednictvím sítí</v>
      </c>
      <c r="R88">
        <f>IF(ISNUMBER(SEARCH('1Př1'!$A$32,N88)),MAX($M$2:M87)+1,0)</f>
        <v>86</v>
      </c>
      <c r="S88" s="290" t="s">
        <v>1019</v>
      </c>
      <c r="T88" t="str">
        <f>IFERROR(VLOOKUP(ROWS($T$3:T88),$R$3:$S$718,2,0),"")</f>
        <v>Veterinární činnosti</v>
      </c>
      <c r="U88">
        <f>IF(ISNUMBER(SEARCH('1Př1'!$A$33,N88)),MAX($M$2:M87)+1,0)</f>
        <v>86</v>
      </c>
      <c r="V88" s="290" t="s">
        <v>1019</v>
      </c>
      <c r="W88" t="str">
        <f>IFERROR(VLOOKUP(ROWS($W$3:W88),$U$3:$V$718,2,0),"")</f>
        <v>Veterinární činnosti</v>
      </c>
      <c r="X88">
        <f>IF(ISNUMBER(SEARCH('1Př1'!$A$34,N88)),MAX($M$2:M87)+1,0)</f>
        <v>86</v>
      </c>
      <c r="Y88" s="290" t="s">
        <v>1019</v>
      </c>
      <c r="Z88" t="str">
        <f>IFERROR(VLOOKUP(ROWS($Z$3:Z88),$X$3:$Y$718,2,0),"")</f>
        <v>Veterinární činnosti</v>
      </c>
    </row>
    <row r="89" spans="1:26" ht="12.75" customHeight="1">
      <c r="A89" s="266"/>
      <c r="B89" s="266"/>
      <c r="C89" s="266"/>
      <c r="D89" s="282">
        <f>IF(ISNUMBER(SEARCH(ZAKL_DATA!$B$14,E89)),MAX($D$2:D88)+1,0)</f>
        <v>87</v>
      </c>
      <c r="E89" s="294" t="s">
        <v>1020</v>
      </c>
      <c r="F89" s="295">
        <v>2510</v>
      </c>
      <c r="G89" s="296"/>
      <c r="H89" s="297" t="str">
        <f>IFERROR(VLOOKUP(ROWS($H$3:H89),$D$3:$E$204,2,0),"")</f>
        <v>MOST</v>
      </c>
      <c r="I89" s="266"/>
      <c r="J89" s="299" t="s">
        <v>1021</v>
      </c>
      <c r="K89" s="288" t="s">
        <v>1022</v>
      </c>
      <c r="M89" s="289">
        <f>IF(ISNUMBER(SEARCH(ZAKL_DATA!$B$29,N89)),MAX($M$2:M88)+1,0)</f>
        <v>87</v>
      </c>
      <c r="N89" s="482" t="s">
        <v>2708</v>
      </c>
      <c r="O89" s="482" t="s">
        <v>2709</v>
      </c>
      <c r="Q89" s="291" t="str">
        <f>IFERROR(VLOOKUP(ROWS($Q$3:Q89),$M$3:$N$718,2,0),"")</f>
        <v>Distribuce zvukových záznamů</v>
      </c>
      <c r="R89">
        <f>IF(ISNUMBER(SEARCH('1Př1'!$A$32,N89)),MAX($M$2:M88)+1,0)</f>
        <v>87</v>
      </c>
      <c r="S89" s="290" t="s">
        <v>1023</v>
      </c>
      <c r="T89" t="str">
        <f>IFERROR(VLOOKUP(ROWS($T$3:T89),$R$3:$S$718,2,0),"")</f>
        <v>Činnosti v oblasti pronájmu a operativního leasingu</v>
      </c>
      <c r="U89">
        <f>IF(ISNUMBER(SEARCH('1Př1'!$A$33,N89)),MAX($M$2:M88)+1,0)</f>
        <v>87</v>
      </c>
      <c r="V89" s="290" t="s">
        <v>1023</v>
      </c>
      <c r="W89" t="str">
        <f>IFERROR(VLOOKUP(ROWS($W$3:W89),$U$3:$V$718,2,0),"")</f>
        <v>Činnosti v oblasti pronájmu a operativního leasingu</v>
      </c>
      <c r="X89">
        <f>IF(ISNUMBER(SEARCH('1Př1'!$A$34,N89)),MAX($M$2:M88)+1,0)</f>
        <v>87</v>
      </c>
      <c r="Y89" s="290" t="s">
        <v>1023</v>
      </c>
      <c r="Z89" t="str">
        <f>IFERROR(VLOOKUP(ROWS($Z$3:Z89),$X$3:$Y$718,2,0),"")</f>
        <v>Činnosti v oblasti pronájmu a operativního leasingu</v>
      </c>
    </row>
    <row r="90" spans="1:26" ht="12.75" customHeight="1">
      <c r="A90" s="266"/>
      <c r="B90" s="266"/>
      <c r="C90" s="266"/>
      <c r="D90" s="282">
        <f>IF(ISNUMBER(SEARCH(ZAKL_DATA!$B$14,E90)),MAX($D$2:D89)+1,0)</f>
        <v>88</v>
      </c>
      <c r="E90" s="294" t="s">
        <v>1024</v>
      </c>
      <c r="F90" s="295">
        <v>2511</v>
      </c>
      <c r="G90" s="296"/>
      <c r="H90" s="297" t="str">
        <f>IFERROR(VLOOKUP(ROWS($H$3:H90),$D$3:$E$204,2,0),"")</f>
        <v>PODBOŘANY</v>
      </c>
      <c r="I90" s="266"/>
      <c r="J90" s="299" t="s">
        <v>1025</v>
      </c>
      <c r="K90" s="288" t="s">
        <v>1026</v>
      </c>
      <c r="M90" s="289">
        <f>IF(ISNUMBER(SEARCH(ZAKL_DATA!$B$29,N90)),MAX($M$2:M89)+1,0)</f>
        <v>88</v>
      </c>
      <c r="N90" s="482" t="s">
        <v>2710</v>
      </c>
      <c r="O90" s="482" t="s">
        <v>2711</v>
      </c>
      <c r="Q90" s="291" t="str">
        <f>IFERROR(VLOOKUP(ROWS($Q$3:Q90),$M$3:$N$718,2,0),"")</f>
        <v>Dobývání kamene, vápence, sádrovce, břidlice a jiného kamene, také pro výtvarné účely</v>
      </c>
      <c r="R90">
        <f>IF(ISNUMBER(SEARCH('1Př1'!$A$32,N90)),MAX($M$2:M89)+1,0)</f>
        <v>88</v>
      </c>
      <c r="S90" s="290" t="s">
        <v>1027</v>
      </c>
      <c r="T90" t="str">
        <f>IFERROR(VLOOKUP(ROWS($T$3:T90),$R$3:$S$718,2,0),"")</f>
        <v>Činnosti související se zaměstnáním</v>
      </c>
      <c r="U90">
        <f>IF(ISNUMBER(SEARCH('1Př1'!$A$33,N90)),MAX($M$2:M89)+1,0)</f>
        <v>88</v>
      </c>
      <c r="V90" s="290" t="s">
        <v>1027</v>
      </c>
      <c r="W90" t="str">
        <f>IFERROR(VLOOKUP(ROWS($W$3:W90),$U$3:$V$718,2,0),"")</f>
        <v>Činnosti související se zaměstnáním</v>
      </c>
      <c r="X90">
        <f>IF(ISNUMBER(SEARCH('1Př1'!$A$34,N90)),MAX($M$2:M89)+1,0)</f>
        <v>88</v>
      </c>
      <c r="Y90" s="290" t="s">
        <v>1027</v>
      </c>
      <c r="Z90" t="str">
        <f>IFERROR(VLOOKUP(ROWS($Z$3:Z90),$X$3:$Y$718,2,0),"")</f>
        <v>Činnosti související se zaměstnáním</v>
      </c>
    </row>
    <row r="91" spans="1:26" ht="12.75" customHeight="1">
      <c r="A91" s="266"/>
      <c r="B91" s="266"/>
      <c r="C91" s="266"/>
      <c r="D91" s="282">
        <f>IF(ISNUMBER(SEARCH(ZAKL_DATA!$B$14,E91)),MAX($D$2:D90)+1,0)</f>
        <v>89</v>
      </c>
      <c r="E91" s="294" t="s">
        <v>1028</v>
      </c>
      <c r="F91" s="295">
        <v>2512</v>
      </c>
      <c r="G91" s="296"/>
      <c r="H91" s="297" t="str">
        <f>IFERROR(VLOOKUP(ROWS($H$3:H91),$D$3:$E$204,2,0),"")</f>
        <v>ROUDNICE NAD LABEM</v>
      </c>
      <c r="I91" s="266"/>
      <c r="J91" s="299" t="s">
        <v>1029</v>
      </c>
      <c r="K91" s="288" t="s">
        <v>1030</v>
      </c>
      <c r="M91" s="289">
        <f>IF(ISNUMBER(SEARCH(ZAKL_DATA!$B$29,N91)),MAX($M$2:M90)+1,0)</f>
        <v>89</v>
      </c>
      <c r="N91" s="482" t="s">
        <v>1980</v>
      </c>
      <c r="O91" s="482" t="s">
        <v>2712</v>
      </c>
      <c r="Q91" s="291" t="str">
        <f>IFERROR(VLOOKUP(ROWS($Q$3:Q91),$M$3:$N$718,2,0),"")</f>
        <v>Elektrické instalace</v>
      </c>
      <c r="R91">
        <f>IF(ISNUMBER(SEARCH('1Př1'!$A$32,N91)),MAX($M$2:M90)+1,0)</f>
        <v>89</v>
      </c>
      <c r="S91" s="290" t="s">
        <v>1031</v>
      </c>
      <c r="T91" t="str">
        <f>IFERROR(VLOOKUP(ROWS($T$3:T91),$R$3:$S$718,2,0),"")</f>
        <v>Činnosti cest.agentur,kanceláří a jiné rezervační a související činnosti</v>
      </c>
      <c r="U91">
        <f>IF(ISNUMBER(SEARCH('1Př1'!$A$33,N91)),MAX($M$2:M90)+1,0)</f>
        <v>89</v>
      </c>
      <c r="V91" s="290" t="s">
        <v>1031</v>
      </c>
      <c r="W91" t="str">
        <f>IFERROR(VLOOKUP(ROWS($W$3:W91),$U$3:$V$718,2,0),"")</f>
        <v>Činnosti cest.agentur,kanceláří a jiné rezervační a související činnosti</v>
      </c>
      <c r="X91">
        <f>IF(ISNUMBER(SEARCH('1Př1'!$A$34,N91)),MAX($M$2:M90)+1,0)</f>
        <v>89</v>
      </c>
      <c r="Y91" s="290" t="s">
        <v>1031</v>
      </c>
      <c r="Z91" t="str">
        <f>IFERROR(VLOOKUP(ROWS($Z$3:Z91),$X$3:$Y$718,2,0),"")</f>
        <v>Činnosti cest.agentur,kanceláří a jiné rezervační a související činnosti</v>
      </c>
    </row>
    <row r="92" spans="1:26" ht="12.75" customHeight="1">
      <c r="A92" s="266"/>
      <c r="B92" s="266"/>
      <c r="C92" s="266"/>
      <c r="D92" s="282">
        <f>IF(ISNUMBER(SEARCH(ZAKL_DATA!$B$14,E92)),MAX($D$2:D91)+1,0)</f>
        <v>90</v>
      </c>
      <c r="E92" s="294" t="s">
        <v>1032</v>
      </c>
      <c r="F92" s="295">
        <v>2513</v>
      </c>
      <c r="G92" s="296"/>
      <c r="H92" s="297" t="str">
        <f>IFERROR(VLOOKUP(ROWS($H$3:H92),$D$3:$E$204,2,0),"")</f>
        <v>RUMBURK</v>
      </c>
      <c r="I92" s="266"/>
      <c r="J92" s="299" t="s">
        <v>1033</v>
      </c>
      <c r="K92" s="288" t="s">
        <v>1034</v>
      </c>
      <c r="M92" s="289">
        <f>IF(ISNUMBER(SEARCH(ZAKL_DATA!$B$29,N92)),MAX($M$2:M91)+1,0)</f>
        <v>90</v>
      </c>
      <c r="N92" s="482" t="s">
        <v>2153</v>
      </c>
      <c r="O92" s="482" t="s">
        <v>2713</v>
      </c>
      <c r="Q92" s="291" t="str">
        <f>IFERROR(VLOOKUP(ROWS($Q$3:Q92),$M$3:$N$718,2,0),"")</f>
        <v>Faktoringové činnosti</v>
      </c>
      <c r="R92">
        <f>IF(ISNUMBER(SEARCH('1Př1'!$A$32,N92)),MAX($M$2:M91)+1,0)</f>
        <v>90</v>
      </c>
      <c r="S92" s="290" t="s">
        <v>1035</v>
      </c>
      <c r="T92" t="str">
        <f>IFERROR(VLOOKUP(ROWS($T$3:T92),$R$3:$S$718,2,0),"")</f>
        <v>Bezpečnostní a pátrací činnosti</v>
      </c>
      <c r="U92">
        <f>IF(ISNUMBER(SEARCH('1Př1'!$A$33,N92)),MAX($M$2:M91)+1,0)</f>
        <v>90</v>
      </c>
      <c r="V92" s="290" t="s">
        <v>1035</v>
      </c>
      <c r="W92" t="str">
        <f>IFERROR(VLOOKUP(ROWS($W$3:W92),$U$3:$V$718,2,0),"")</f>
        <v>Bezpečnostní a pátrací činnosti</v>
      </c>
      <c r="X92">
        <f>IF(ISNUMBER(SEARCH('1Př1'!$A$34,N92)),MAX($M$2:M91)+1,0)</f>
        <v>90</v>
      </c>
      <c r="Y92" s="290" t="s">
        <v>1035</v>
      </c>
      <c r="Z92" t="str">
        <f>IFERROR(VLOOKUP(ROWS($Z$3:Z92),$X$3:$Y$718,2,0),"")</f>
        <v>Bezpečnostní a pátrací činnosti</v>
      </c>
    </row>
    <row r="93" spans="1:26" ht="12.75" customHeight="1">
      <c r="A93" s="266"/>
      <c r="B93" s="266"/>
      <c r="C93" s="266"/>
      <c r="D93" s="282">
        <f>IF(ISNUMBER(SEARCH(ZAKL_DATA!$B$14,E93)),MAX($D$2:D92)+1,0)</f>
        <v>91</v>
      </c>
      <c r="E93" s="294" t="s">
        <v>1036</v>
      </c>
      <c r="F93" s="295">
        <v>2514</v>
      </c>
      <c r="G93" s="296"/>
      <c r="H93" s="297" t="str">
        <f>IFERROR(VLOOKUP(ROWS($H$3:H93),$D$3:$E$204,2,0),"")</f>
        <v>TEPLICE</v>
      </c>
      <c r="I93" s="266"/>
      <c r="J93" s="299" t="s">
        <v>1037</v>
      </c>
      <c r="K93" s="288" t="s">
        <v>1038</v>
      </c>
      <c r="M93" s="289">
        <f>IF(ISNUMBER(SEARCH(ZAKL_DATA!$B$29,N93)),MAX($M$2:M92)+1,0)</f>
        <v>91</v>
      </c>
      <c r="N93" s="482" t="s">
        <v>2099</v>
      </c>
      <c r="O93" s="482" t="s">
        <v>2714</v>
      </c>
      <c r="Q93" s="291" t="str">
        <f>IFERROR(VLOOKUP(ROWS($Q$3:Q93),$M$3:$N$718,2,0),"")</f>
        <v>Finanční leasing</v>
      </c>
      <c r="R93">
        <f>IF(ISNUMBER(SEARCH('1Př1'!$A$32,N93)),MAX($M$2:M92)+1,0)</f>
        <v>91</v>
      </c>
      <c r="S93" s="290" t="s">
        <v>1039</v>
      </c>
      <c r="T93" t="str">
        <f>IFERROR(VLOOKUP(ROWS($T$3:T93),$R$3:$S$718,2,0),"")</f>
        <v>Činnosti související se stavbami a úpravou krajiny</v>
      </c>
      <c r="U93">
        <f>IF(ISNUMBER(SEARCH('1Př1'!$A$33,N93)),MAX($M$2:M92)+1,0)</f>
        <v>91</v>
      </c>
      <c r="V93" s="290" t="s">
        <v>1039</v>
      </c>
      <c r="W93" t="str">
        <f>IFERROR(VLOOKUP(ROWS($W$3:W93),$U$3:$V$718,2,0),"")</f>
        <v>Činnosti související se stavbami a úpravou krajiny</v>
      </c>
      <c r="X93">
        <f>IF(ISNUMBER(SEARCH('1Př1'!$A$34,N93)),MAX($M$2:M92)+1,0)</f>
        <v>91</v>
      </c>
      <c r="Y93" s="290" t="s">
        <v>1039</v>
      </c>
      <c r="Z93" t="str">
        <f>IFERROR(VLOOKUP(ROWS($Z$3:Z93),$X$3:$Y$718,2,0),"")</f>
        <v>Činnosti související se stavbami a úpravou krajiny</v>
      </c>
    </row>
    <row r="94" spans="1:26" ht="12.75" customHeight="1">
      <c r="A94" s="266"/>
      <c r="B94" s="266"/>
      <c r="C94" s="266"/>
      <c r="D94" s="282">
        <f>IF(ISNUMBER(SEARCH(ZAKL_DATA!$B$14,E94)),MAX($D$2:D93)+1,0)</f>
        <v>92</v>
      </c>
      <c r="E94" s="294" t="s">
        <v>1040</v>
      </c>
      <c r="F94" s="295">
        <v>2515</v>
      </c>
      <c r="G94" s="296"/>
      <c r="H94" s="297" t="str">
        <f>IFERROR(VLOOKUP(ROWS($H$3:H94),$D$3:$E$204,2,0),"")</f>
        <v>ŽATEC</v>
      </c>
      <c r="I94" s="266"/>
      <c r="J94" s="299" t="s">
        <v>1041</v>
      </c>
      <c r="K94" s="288" t="s">
        <v>1042</v>
      </c>
      <c r="M94" s="289">
        <f>IF(ISNUMBER(SEARCH(ZAKL_DATA!$B$29,N94)),MAX($M$2:M93)+1,0)</f>
        <v>92</v>
      </c>
      <c r="N94" s="482" t="s">
        <v>1709</v>
      </c>
      <c r="O94" s="482" t="s">
        <v>2715</v>
      </c>
      <c r="Q94" s="291" t="str">
        <f>IFERROR(VLOOKUP(ROWS($Q$3:Q94),$M$3:$N$718,2,0),"")</f>
        <v>Fotografické činnosti</v>
      </c>
      <c r="R94">
        <f>IF(ISNUMBER(SEARCH('1Př1'!$A$32,N94)),MAX($M$2:M93)+1,0)</f>
        <v>92</v>
      </c>
      <c r="S94" s="290" t="s">
        <v>1043</v>
      </c>
      <c r="T94" t="str">
        <f>IFERROR(VLOOKUP(ROWS($T$3:T94),$R$3:$S$718,2,0),"")</f>
        <v>Dobývání kamene, písků a jílů</v>
      </c>
      <c r="U94">
        <f>IF(ISNUMBER(SEARCH('1Př1'!$A$33,N94)),MAX($M$2:M93)+1,0)</f>
        <v>92</v>
      </c>
      <c r="V94" s="290" t="s">
        <v>1043</v>
      </c>
      <c r="W94" t="str">
        <f>IFERROR(VLOOKUP(ROWS($W$3:W94),$U$3:$V$718,2,0),"")</f>
        <v>Dobývání kamene, písků a jílů</v>
      </c>
      <c r="X94">
        <f>IF(ISNUMBER(SEARCH('1Př1'!$A$34,N94)),MAX($M$2:M93)+1,0)</f>
        <v>92</v>
      </c>
      <c r="Y94" s="290" t="s">
        <v>1043</v>
      </c>
      <c r="Z94" t="str">
        <f>IFERROR(VLOOKUP(ROWS($Z$3:Z94),$X$3:$Y$718,2,0),"")</f>
        <v>Dobývání kamene, písků a jílů</v>
      </c>
    </row>
    <row r="95" spans="1:26" ht="12.75" customHeight="1">
      <c r="A95" s="266"/>
      <c r="B95" s="266"/>
      <c r="C95" s="266"/>
      <c r="D95" s="282">
        <f>IF(ISNUMBER(SEARCH(ZAKL_DATA!$B$14,E95)),MAX($D$2:D94)+1,0)</f>
        <v>93</v>
      </c>
      <c r="E95" s="294" t="s">
        <v>1044</v>
      </c>
      <c r="F95" s="295">
        <v>2601</v>
      </c>
      <c r="G95" s="296"/>
      <c r="H95" s="297" t="str">
        <f>IFERROR(VLOOKUP(ROWS($H$3:H95),$D$3:$E$204,2,0),"")</f>
        <v>LIBEREC</v>
      </c>
      <c r="I95" s="266"/>
      <c r="J95" s="299" t="s">
        <v>1045</v>
      </c>
      <c r="K95" s="288" t="s">
        <v>1046</v>
      </c>
      <c r="M95" s="289">
        <f>IF(ISNUMBER(SEARCH(ZAKL_DATA!$B$29,N95)),MAX($M$2:M94)+1,0)</f>
        <v>93</v>
      </c>
      <c r="N95" s="482" t="s">
        <v>2716</v>
      </c>
      <c r="O95" s="482" t="s">
        <v>2717</v>
      </c>
      <c r="Q95" s="291" t="str">
        <f>IFERROR(VLOOKUP(ROWS($Q$3:Q95),$M$3:$N$718,2,0),"")</f>
        <v>Hudební tvorba</v>
      </c>
      <c r="R95">
        <f>IF(ISNUMBER(SEARCH('1Př1'!$A$32,N95)),MAX($M$2:M94)+1,0)</f>
        <v>93</v>
      </c>
      <c r="S95" s="290" t="s">
        <v>1047</v>
      </c>
      <c r="T95" t="str">
        <f>IFERROR(VLOOKUP(ROWS($T$3:T95),$R$3:$S$718,2,0),"")</f>
        <v>Administrativní, kancelářské a jiné podpůrné činnosti pro podnikání</v>
      </c>
      <c r="U95">
        <f>IF(ISNUMBER(SEARCH('1Př1'!$A$33,N95)),MAX($M$2:M94)+1,0)</f>
        <v>93</v>
      </c>
      <c r="V95" s="290" t="s">
        <v>1047</v>
      </c>
      <c r="W95" t="str">
        <f>IFERROR(VLOOKUP(ROWS($W$3:W95),$U$3:$V$718,2,0),"")</f>
        <v>Administrativní, kancelářské a jiné podpůrné činnosti pro podnikání</v>
      </c>
      <c r="X95">
        <f>IF(ISNUMBER(SEARCH('1Př1'!$A$34,N95)),MAX($M$2:M94)+1,0)</f>
        <v>93</v>
      </c>
      <c r="Y95" s="290" t="s">
        <v>1047</v>
      </c>
      <c r="Z95" t="str">
        <f>IFERROR(VLOOKUP(ROWS($Z$3:Z95),$X$3:$Y$718,2,0),"")</f>
        <v>Administrativní, kancelářské a jiné podpůrné činnosti pro podnikání</v>
      </c>
    </row>
    <row r="96" spans="1:26" ht="12.75" customHeight="1">
      <c r="A96" s="266"/>
      <c r="B96" s="266"/>
      <c r="C96" s="266"/>
      <c r="D96" s="282">
        <f>IF(ISNUMBER(SEARCH(ZAKL_DATA!$B$14,E96)),MAX($D$2:D95)+1,0)</f>
        <v>94</v>
      </c>
      <c r="E96" s="294" t="s">
        <v>1048</v>
      </c>
      <c r="F96" s="295">
        <v>2602</v>
      </c>
      <c r="G96" s="296"/>
      <c r="H96" s="297" t="str">
        <f>IFERROR(VLOOKUP(ROWS($H$3:H96),$D$3:$E$204,2,0),"")</f>
        <v>ČESKÁ LÍPA</v>
      </c>
      <c r="I96" s="266"/>
      <c r="J96" s="299" t="s">
        <v>1049</v>
      </c>
      <c r="K96" s="288" t="s">
        <v>1050</v>
      </c>
      <c r="M96" s="289">
        <f>IF(ISNUMBER(SEARCH(ZAKL_DATA!$B$29,N96)),MAX($M$2:M95)+1,0)</f>
        <v>94</v>
      </c>
      <c r="N96" s="482" t="s">
        <v>1275</v>
      </c>
      <c r="O96" s="482" t="s">
        <v>2718</v>
      </c>
      <c r="Q96" s="291" t="str">
        <f>IFERROR(VLOOKUP(ROWS($Q$3:Q96),$M$3:$N$718,2,0),"")</f>
        <v>Chov drůbeže</v>
      </c>
      <c r="R96">
        <f>IF(ISNUMBER(SEARCH('1Př1'!$A$32,N96)),MAX($M$2:M95)+1,0)</f>
        <v>94</v>
      </c>
      <c r="S96" s="290" t="s">
        <v>1051</v>
      </c>
      <c r="T96" t="str">
        <f>IFERROR(VLOOKUP(ROWS($T$3:T96),$R$3:$S$718,2,0),"")</f>
        <v>Veřejná správa a obrana; povinné sociální zabezpečení</v>
      </c>
      <c r="U96">
        <f>IF(ISNUMBER(SEARCH('1Př1'!$A$33,N96)),MAX($M$2:M95)+1,0)</f>
        <v>94</v>
      </c>
      <c r="V96" s="290" t="s">
        <v>1051</v>
      </c>
      <c r="W96" t="str">
        <f>IFERROR(VLOOKUP(ROWS($W$3:W96),$U$3:$V$718,2,0),"")</f>
        <v>Veřejná správa a obrana; povinné sociální zabezpečení</v>
      </c>
      <c r="X96">
        <f>IF(ISNUMBER(SEARCH('1Př1'!$A$34,N96)),MAX($M$2:M95)+1,0)</f>
        <v>94</v>
      </c>
      <c r="Y96" s="290" t="s">
        <v>1051</v>
      </c>
      <c r="Z96" t="str">
        <f>IFERROR(VLOOKUP(ROWS($Z$3:Z96),$X$3:$Y$718,2,0),"")</f>
        <v>Veřejná správa a obrana; povinné sociální zabezpečení</v>
      </c>
    </row>
    <row r="97" spans="1:26" ht="12.75" customHeight="1">
      <c r="A97" s="266"/>
      <c r="B97" s="266"/>
      <c r="C97" s="266"/>
      <c r="D97" s="282">
        <f>IF(ISNUMBER(SEARCH(ZAKL_DATA!$B$14,E97)),MAX($D$2:D96)+1,0)</f>
        <v>95</v>
      </c>
      <c r="E97" s="294" t="s">
        <v>1052</v>
      </c>
      <c r="F97" s="295">
        <v>2603</v>
      </c>
      <c r="G97" s="296"/>
      <c r="H97" s="297" t="str">
        <f>IFERROR(VLOOKUP(ROWS($H$3:H97),$D$3:$E$204,2,0),"")</f>
        <v>FRÝDLANT</v>
      </c>
      <c r="I97" s="266"/>
      <c r="J97" s="299" t="s">
        <v>1053</v>
      </c>
      <c r="K97" s="288" t="s">
        <v>1054</v>
      </c>
      <c r="M97" s="289">
        <f>IF(ISNUMBER(SEARCH(ZAKL_DATA!$B$29,N97)),MAX($M$2:M96)+1,0)</f>
        <v>95</v>
      </c>
      <c r="N97" s="482" t="s">
        <v>2719</v>
      </c>
      <c r="O97" s="482" t="s">
        <v>2720</v>
      </c>
      <c r="Q97" s="291" t="str">
        <f>IFERROR(VLOOKUP(ROWS($Q$3:Q97),$M$3:$N$718,2,0),"")</f>
        <v>Chov koní a ostatních koňovitých</v>
      </c>
      <c r="R97">
        <f>IF(ISNUMBER(SEARCH('1Př1'!$A$32,N97)),MAX($M$2:M96)+1,0)</f>
        <v>95</v>
      </c>
      <c r="S97" s="290" t="s">
        <v>1055</v>
      </c>
      <c r="T97" t="str">
        <f>IFERROR(VLOOKUP(ROWS($T$3:T97),$R$3:$S$718,2,0),"")</f>
        <v>Vzdělávání</v>
      </c>
      <c r="U97">
        <f>IF(ISNUMBER(SEARCH('1Př1'!$A$33,N97)),MAX($M$2:M96)+1,0)</f>
        <v>95</v>
      </c>
      <c r="V97" s="290" t="s">
        <v>1055</v>
      </c>
      <c r="W97" t="str">
        <f>IFERROR(VLOOKUP(ROWS($W$3:W97),$U$3:$V$718,2,0),"")</f>
        <v>Vzdělávání</v>
      </c>
      <c r="X97">
        <f>IF(ISNUMBER(SEARCH('1Př1'!$A$34,N97)),MAX($M$2:M96)+1,0)</f>
        <v>95</v>
      </c>
      <c r="Y97" s="290" t="s">
        <v>1055</v>
      </c>
      <c r="Z97" t="str">
        <f>IFERROR(VLOOKUP(ROWS($Z$3:Z97),$X$3:$Y$718,2,0),"")</f>
        <v>Vzdělávání</v>
      </c>
    </row>
    <row r="98" spans="1:26" ht="12.75" customHeight="1">
      <c r="A98" s="266"/>
      <c r="B98" s="266"/>
      <c r="C98" s="266"/>
      <c r="D98" s="282">
        <f>IF(ISNUMBER(SEARCH(ZAKL_DATA!$B$14,E98)),MAX($D$2:D97)+1,0)</f>
        <v>96</v>
      </c>
      <c r="E98" s="294" t="s">
        <v>1056</v>
      </c>
      <c r="F98" s="295">
        <v>2604</v>
      </c>
      <c r="G98" s="296"/>
      <c r="H98" s="297" t="str">
        <f>IFERROR(VLOOKUP(ROWS($H$3:H98),$D$3:$E$204,2,0),"")</f>
        <v>JABLONEC NAD NISOU</v>
      </c>
      <c r="I98" s="266"/>
      <c r="J98" s="299" t="s">
        <v>1057</v>
      </c>
      <c r="K98" s="288" t="s">
        <v>1058</v>
      </c>
      <c r="M98" s="289">
        <f>IF(ISNUMBER(SEARCH(ZAKL_DATA!$B$29,N98)),MAX($M$2:M97)+1,0)</f>
        <v>96</v>
      </c>
      <c r="N98" s="482" t="s">
        <v>1243</v>
      </c>
      <c r="O98" s="482" t="s">
        <v>2721</v>
      </c>
      <c r="Q98" s="291" t="str">
        <f>IFERROR(VLOOKUP(ROWS($Q$3:Q98),$M$3:$N$718,2,0),"")</f>
        <v>Chov mléčného skotu</v>
      </c>
      <c r="R98">
        <f>IF(ISNUMBER(SEARCH('1Př1'!$A$32,N98)),MAX($M$2:M97)+1,0)</f>
        <v>96</v>
      </c>
      <c r="S98" s="290" t="s">
        <v>1059</v>
      </c>
      <c r="T98" t="str">
        <f>IFERROR(VLOOKUP(ROWS($T$3:T98),$R$3:$S$718,2,0),"")</f>
        <v>Zdravotní péče</v>
      </c>
      <c r="U98">
        <f>IF(ISNUMBER(SEARCH('1Př1'!$A$33,N98)),MAX($M$2:M97)+1,0)</f>
        <v>96</v>
      </c>
      <c r="V98" s="290" t="s">
        <v>1059</v>
      </c>
      <c r="W98" t="str">
        <f>IFERROR(VLOOKUP(ROWS($W$3:W98),$U$3:$V$718,2,0),"")</f>
        <v>Zdravotní péče</v>
      </c>
      <c r="X98">
        <f>IF(ISNUMBER(SEARCH('1Př1'!$A$34,N98)),MAX($M$2:M97)+1,0)</f>
        <v>96</v>
      </c>
      <c r="Y98" s="290" t="s">
        <v>1059</v>
      </c>
      <c r="Z98" t="str">
        <f>IFERROR(VLOOKUP(ROWS($Z$3:Z98),$X$3:$Y$718,2,0),"")</f>
        <v>Zdravotní péče</v>
      </c>
    </row>
    <row r="99" spans="1:26" ht="12.75" customHeight="1">
      <c r="A99" s="266"/>
      <c r="B99" s="266"/>
      <c r="C99" s="266"/>
      <c r="D99" s="282">
        <f>IF(ISNUMBER(SEARCH(ZAKL_DATA!$B$14,E99)),MAX($D$2:D98)+1,0)</f>
        <v>97</v>
      </c>
      <c r="E99" s="294" t="s">
        <v>1060</v>
      </c>
      <c r="F99" s="295">
        <v>2605</v>
      </c>
      <c r="G99" s="296"/>
      <c r="H99" s="297" t="str">
        <f>IFERROR(VLOOKUP(ROWS($H$3:H99),$D$3:$E$204,2,0),"")</f>
        <v>JILEMNICE</v>
      </c>
      <c r="I99" s="266"/>
      <c r="J99" s="299" t="s">
        <v>1061</v>
      </c>
      <c r="K99" s="288" t="s">
        <v>1062</v>
      </c>
      <c r="M99" s="289">
        <f>IF(ISNUMBER(SEARCH(ZAKL_DATA!$B$29,N99)),MAX($M$2:M98)+1,0)</f>
        <v>97</v>
      </c>
      <c r="N99" s="482" t="s">
        <v>2722</v>
      </c>
      <c r="O99" s="482" t="s">
        <v>2723</v>
      </c>
      <c r="Q99" s="291" t="str">
        <f>IFERROR(VLOOKUP(ROWS($Q$3:Q99),$M$3:$N$718,2,0),"")</f>
        <v>Chov ostatního skotu a buvolů</v>
      </c>
      <c r="R99">
        <f>IF(ISNUMBER(SEARCH('1Př1'!$A$32,N99)),MAX($M$2:M98)+1,0)</f>
        <v>97</v>
      </c>
      <c r="S99" s="290" t="s">
        <v>1063</v>
      </c>
      <c r="T99" t="str">
        <f>IFERROR(VLOOKUP(ROWS($T$3:T99),$R$3:$S$718,2,0),"")</f>
        <v>Pobytové služby sociální péče</v>
      </c>
      <c r="U99">
        <f>IF(ISNUMBER(SEARCH('1Př1'!$A$33,N99)),MAX($M$2:M98)+1,0)</f>
        <v>97</v>
      </c>
      <c r="V99" s="290" t="s">
        <v>1063</v>
      </c>
      <c r="W99" t="str">
        <f>IFERROR(VLOOKUP(ROWS($W$3:W99),$U$3:$V$718,2,0),"")</f>
        <v>Pobytové služby sociální péče</v>
      </c>
      <c r="X99">
        <f>IF(ISNUMBER(SEARCH('1Př1'!$A$34,N99)),MAX($M$2:M98)+1,0)</f>
        <v>97</v>
      </c>
      <c r="Y99" s="290" t="s">
        <v>1063</v>
      </c>
      <c r="Z99" t="str">
        <f>IFERROR(VLOOKUP(ROWS($Z$3:Z99),$X$3:$Y$718,2,0),"")</f>
        <v>Pobytové služby sociální péče</v>
      </c>
    </row>
    <row r="100" spans="1:26" ht="12.75" customHeight="1">
      <c r="A100" s="266"/>
      <c r="B100" s="266"/>
      <c r="C100" s="266"/>
      <c r="D100" s="282">
        <f>IF(ISNUMBER(SEARCH(ZAKL_DATA!$B$14,E100)),MAX($D$2:D99)+1,0)</f>
        <v>98</v>
      </c>
      <c r="E100" s="294" t="s">
        <v>1064</v>
      </c>
      <c r="F100" s="295">
        <v>2606</v>
      </c>
      <c r="G100" s="296"/>
      <c r="H100" s="297" t="str">
        <f>IFERROR(VLOOKUP(ROWS($H$3:H100),$D$3:$E$204,2,0),"")</f>
        <v>NOVÝ BOR</v>
      </c>
      <c r="I100" s="266"/>
      <c r="J100" s="299" t="s">
        <v>1065</v>
      </c>
      <c r="K100" s="288" t="s">
        <v>1066</v>
      </c>
      <c r="M100" s="289">
        <f>IF(ISNUMBER(SEARCH(ZAKL_DATA!$B$29,N100)),MAX($M$2:M99)+1,0)</f>
        <v>98</v>
      </c>
      <c r="N100" s="482" t="s">
        <v>1279</v>
      </c>
      <c r="O100" s="482" t="s">
        <v>2724</v>
      </c>
      <c r="Q100" s="291" t="str">
        <f>IFERROR(VLOOKUP(ROWS($Q$3:Q100),$M$3:$N$718,2,0),"")</f>
        <v>Chov ostatních zvířat</v>
      </c>
      <c r="R100">
        <f>IF(ISNUMBER(SEARCH('1Př1'!$A$32,N100)),MAX($M$2:M99)+1,0)</f>
        <v>98</v>
      </c>
      <c r="S100" s="290" t="s">
        <v>1067</v>
      </c>
      <c r="T100" t="str">
        <f>IFERROR(VLOOKUP(ROWS($T$3:T100),$R$3:$S$718,2,0),"")</f>
        <v>Ambulantní nebo terénní sociální služby</v>
      </c>
      <c r="U100">
        <f>IF(ISNUMBER(SEARCH('1Př1'!$A$33,N100)),MAX($M$2:M99)+1,0)</f>
        <v>98</v>
      </c>
      <c r="V100" s="290" t="s">
        <v>1067</v>
      </c>
      <c r="W100" t="str">
        <f>IFERROR(VLOOKUP(ROWS($W$3:W100),$U$3:$V$718,2,0),"")</f>
        <v>Ambulantní nebo terénní sociální služby</v>
      </c>
      <c r="X100">
        <f>IF(ISNUMBER(SEARCH('1Př1'!$A$34,N100)),MAX($M$2:M99)+1,0)</f>
        <v>98</v>
      </c>
      <c r="Y100" s="290" t="s">
        <v>1067</v>
      </c>
      <c r="Z100" t="str">
        <f>IFERROR(VLOOKUP(ROWS($Z$3:Z100),$X$3:$Y$718,2,0),"")</f>
        <v>Ambulantní nebo terénní sociální služby</v>
      </c>
    </row>
    <row r="101" spans="1:26" ht="12.75" customHeight="1">
      <c r="A101" s="266"/>
      <c r="B101" s="266"/>
      <c r="C101" s="266"/>
      <c r="D101" s="282">
        <f>IF(ISNUMBER(SEARCH(ZAKL_DATA!$B$14,E101)),MAX($D$2:D100)+1,0)</f>
        <v>99</v>
      </c>
      <c r="E101" s="294" t="s">
        <v>1068</v>
      </c>
      <c r="F101" s="295">
        <v>2607</v>
      </c>
      <c r="G101" s="296"/>
      <c r="H101" s="297" t="str">
        <f>IFERROR(VLOOKUP(ROWS($H$3:H101),$D$3:$E$204,2,0),"")</f>
        <v>SEMILY</v>
      </c>
      <c r="I101" s="266"/>
      <c r="J101" s="299" t="s">
        <v>1069</v>
      </c>
      <c r="K101" s="288" t="s">
        <v>1070</v>
      </c>
      <c r="M101" s="289">
        <f>IF(ISNUMBER(SEARCH(ZAKL_DATA!$B$29,N101)),MAX($M$2:M100)+1,0)</f>
        <v>99</v>
      </c>
      <c r="N101" s="482" t="s">
        <v>1267</v>
      </c>
      <c r="O101" s="482" t="s">
        <v>2725</v>
      </c>
      <c r="Q101" s="291" t="str">
        <f>IFERROR(VLOOKUP(ROWS($Q$3:Q101),$M$3:$N$718,2,0),"")</f>
        <v>Chov ovcí a koz</v>
      </c>
      <c r="R101">
        <f>IF(ISNUMBER(SEARCH('1Př1'!$A$32,N101)),MAX($M$2:M100)+1,0)</f>
        <v>99</v>
      </c>
      <c r="S101" s="290" t="s">
        <v>1071</v>
      </c>
      <c r="T101" t="str">
        <f>IFERROR(VLOOKUP(ROWS($T$3:T101),$R$3:$S$718,2,0),"")</f>
        <v>Těžba a dobývání j. n.</v>
      </c>
      <c r="U101">
        <f>IF(ISNUMBER(SEARCH('1Př1'!$A$33,N101)),MAX($M$2:M100)+1,0)</f>
        <v>99</v>
      </c>
      <c r="V101" s="290" t="s">
        <v>1071</v>
      </c>
      <c r="W101" t="str">
        <f>IFERROR(VLOOKUP(ROWS($W$3:W101),$U$3:$V$718,2,0),"")</f>
        <v>Těžba a dobývání j. n.</v>
      </c>
      <c r="X101">
        <f>IF(ISNUMBER(SEARCH('1Př1'!$A$34,N101)),MAX($M$2:M100)+1,0)</f>
        <v>99</v>
      </c>
      <c r="Y101" s="290" t="s">
        <v>1071</v>
      </c>
      <c r="Z101" t="str">
        <f>IFERROR(VLOOKUP(ROWS($Z$3:Z101),$X$3:$Y$718,2,0),"")</f>
        <v>Těžba a dobývání j. n.</v>
      </c>
    </row>
    <row r="102" spans="1:26" ht="12.75" customHeight="1">
      <c r="A102" s="266"/>
      <c r="B102" s="266"/>
      <c r="C102" s="266"/>
      <c r="D102" s="282">
        <f>IF(ISNUMBER(SEARCH(ZAKL_DATA!$B$14,E102)),MAX($D$2:D101)+1,0)</f>
        <v>100</v>
      </c>
      <c r="E102" s="294" t="s">
        <v>1072</v>
      </c>
      <c r="F102" s="295">
        <v>2608</v>
      </c>
      <c r="G102" s="296"/>
      <c r="H102" s="297" t="str">
        <f>IFERROR(VLOOKUP(ROWS($H$3:H102),$D$3:$E$204,2,0),"")</f>
        <v>TANVALD</v>
      </c>
      <c r="I102" s="266"/>
      <c r="J102" s="299" t="s">
        <v>1073</v>
      </c>
      <c r="K102" s="288" t="s">
        <v>1074</v>
      </c>
      <c r="M102" s="289">
        <f>IF(ISNUMBER(SEARCH(ZAKL_DATA!$B$29,N102)),MAX($M$2:M101)+1,0)</f>
        <v>100</v>
      </c>
      <c r="N102" s="482" t="s">
        <v>1271</v>
      </c>
      <c r="O102" s="482" t="s">
        <v>2726</v>
      </c>
      <c r="Q102" s="291" t="str">
        <f>IFERROR(VLOOKUP(ROWS($Q$3:Q102),$M$3:$N$718,2,0),"")</f>
        <v>Chov prasat</v>
      </c>
      <c r="R102">
        <f>IF(ISNUMBER(SEARCH('1Př1'!$A$32,N102)),MAX($M$2:M101)+1,0)</f>
        <v>100</v>
      </c>
      <c r="S102" s="290" t="s">
        <v>1075</v>
      </c>
      <c r="T102" t="str">
        <f>IFERROR(VLOOKUP(ROWS($T$3:T102),$R$3:$S$718,2,0),"")</f>
        <v>Tvůrčí, umělecké a zábavní činnosti</v>
      </c>
      <c r="U102">
        <f>IF(ISNUMBER(SEARCH('1Př1'!$A$33,N102)),MAX($M$2:M101)+1,0)</f>
        <v>100</v>
      </c>
      <c r="V102" s="290" t="s">
        <v>1075</v>
      </c>
      <c r="W102" t="str">
        <f>IFERROR(VLOOKUP(ROWS($W$3:W102),$U$3:$V$718,2,0),"")</f>
        <v>Tvůrčí, umělecké a zábavní činnosti</v>
      </c>
      <c r="X102">
        <f>IF(ISNUMBER(SEARCH('1Př1'!$A$34,N102)),MAX($M$2:M101)+1,0)</f>
        <v>100</v>
      </c>
      <c r="Y102" s="290" t="s">
        <v>1075</v>
      </c>
      <c r="Z102" t="str">
        <f>IFERROR(VLOOKUP(ROWS($Z$3:Z102),$X$3:$Y$718,2,0),"")</f>
        <v>Tvůrčí, umělecké a zábavní činnosti</v>
      </c>
    </row>
    <row r="103" spans="1:26" ht="12.75" customHeight="1">
      <c r="A103" s="266"/>
      <c r="B103" s="266"/>
      <c r="C103" s="266"/>
      <c r="D103" s="282">
        <f>IF(ISNUMBER(SEARCH(ZAKL_DATA!$B$14,E103)),MAX($D$2:D102)+1,0)</f>
        <v>101</v>
      </c>
      <c r="E103" s="294" t="s">
        <v>1076</v>
      </c>
      <c r="F103" s="295">
        <v>2609</v>
      </c>
      <c r="G103" s="296"/>
      <c r="H103" s="297" t="str">
        <f>IFERROR(VLOOKUP(ROWS($H$3:H103),$D$3:$E$204,2,0),"")</f>
        <v>TURNOV</v>
      </c>
      <c r="I103" s="266"/>
      <c r="J103" s="299" t="s">
        <v>1077</v>
      </c>
      <c r="K103" s="288" t="s">
        <v>1078</v>
      </c>
      <c r="M103" s="289">
        <f>IF(ISNUMBER(SEARCH(ZAKL_DATA!$B$29,N103)),MAX($M$2:M102)+1,0)</f>
        <v>101</v>
      </c>
      <c r="N103" s="482" t="s">
        <v>1263</v>
      </c>
      <c r="O103" s="482" t="s">
        <v>2727</v>
      </c>
      <c r="Q103" s="291" t="str">
        <f>IFERROR(VLOOKUP(ROWS($Q$3:Q103),$M$3:$N$718,2,0),"")</f>
        <v>Chov velbloudů a velbloudovitých</v>
      </c>
      <c r="R103">
        <f>IF(ISNUMBER(SEARCH('1Př1'!$A$32,N103)),MAX($M$2:M102)+1,0)</f>
        <v>101</v>
      </c>
      <c r="S103" s="290" t="s">
        <v>1079</v>
      </c>
      <c r="T103" t="str">
        <f>IFERROR(VLOOKUP(ROWS($T$3:T103),$R$3:$S$718,2,0),"")</f>
        <v>Činnosti knihoven, archivů, muzeí a jiných kulturních zařízení</v>
      </c>
      <c r="U103">
        <f>IF(ISNUMBER(SEARCH('1Př1'!$A$33,N103)),MAX($M$2:M102)+1,0)</f>
        <v>101</v>
      </c>
      <c r="V103" s="290" t="s">
        <v>1079</v>
      </c>
      <c r="W103" t="str">
        <f>IFERROR(VLOOKUP(ROWS($W$3:W103),$U$3:$V$718,2,0),"")</f>
        <v>Činnosti knihoven, archivů, muzeí a jiných kulturních zařízení</v>
      </c>
      <c r="X103">
        <f>IF(ISNUMBER(SEARCH('1Př1'!$A$34,N103)),MAX($M$2:M102)+1,0)</f>
        <v>101</v>
      </c>
      <c r="Y103" s="290" t="s">
        <v>1079</v>
      </c>
      <c r="Z103" t="str">
        <f>IFERROR(VLOOKUP(ROWS($Z$3:Z103),$X$3:$Y$718,2,0),"")</f>
        <v>Činnosti knihoven, archivů, muzeí a jiných kulturních zařízení</v>
      </c>
    </row>
    <row r="104" spans="1:26" ht="12.75" customHeight="1">
      <c r="A104" s="266"/>
      <c r="B104" s="266"/>
      <c r="C104" s="266"/>
      <c r="D104" s="282">
        <f>IF(ISNUMBER(SEARCH(ZAKL_DATA!$B$14,E104)),MAX($D$2:D103)+1,0)</f>
        <v>102</v>
      </c>
      <c r="E104" s="294" t="s">
        <v>1080</v>
      </c>
      <c r="F104" s="295">
        <v>2610</v>
      </c>
      <c r="G104" s="296"/>
      <c r="H104" s="297" t="str">
        <f>IFERROR(VLOOKUP(ROWS($H$3:H104),$D$3:$E$204,2,0),"")</f>
        <v>ŽELEZNÝ BROD</v>
      </c>
      <c r="I104" s="266"/>
      <c r="J104" s="299" t="s">
        <v>1081</v>
      </c>
      <c r="K104" s="288" t="s">
        <v>1082</v>
      </c>
      <c r="M104" s="289">
        <f>IF(ISNUMBER(SEARCH(ZAKL_DATA!$B$29,N104)),MAX($M$2:M103)+1,0)</f>
        <v>102</v>
      </c>
      <c r="N104" s="482" t="s">
        <v>2122</v>
      </c>
      <c r="O104" s="482" t="s">
        <v>2728</v>
      </c>
      <c r="Q104" s="291" t="str">
        <f>IFERROR(VLOOKUP(ROWS($Q$3:Q104),$M$3:$N$718,2,0),"")</f>
        <v>Inkasní činnosti, ověřování solventnosti zákazníka</v>
      </c>
      <c r="R104">
        <f>IF(ISNUMBER(SEARCH('1Př1'!$A$32,N104)),MAX($M$2:M103)+1,0)</f>
        <v>102</v>
      </c>
      <c r="S104" s="290" t="s">
        <v>1083</v>
      </c>
      <c r="T104" t="str">
        <f>IFERROR(VLOOKUP(ROWS($T$3:T104),$R$3:$S$718,2,0),"")</f>
        <v>Podpůrné činnosti při těžbě ropy a zemního plynu</v>
      </c>
      <c r="U104">
        <f>IF(ISNUMBER(SEARCH('1Př1'!$A$33,N104)),MAX($M$2:M103)+1,0)</f>
        <v>102</v>
      </c>
      <c r="V104" s="290" t="s">
        <v>1083</v>
      </c>
      <c r="W104" t="str">
        <f>IFERROR(VLOOKUP(ROWS($W$3:W104),$U$3:$V$718,2,0),"")</f>
        <v>Podpůrné činnosti při těžbě ropy a zemního plynu</v>
      </c>
      <c r="X104">
        <f>IF(ISNUMBER(SEARCH('1Př1'!$A$34,N104)),MAX($M$2:M103)+1,0)</f>
        <v>102</v>
      </c>
      <c r="Y104" s="290" t="s">
        <v>1083</v>
      </c>
      <c r="Z104" t="str">
        <f>IFERROR(VLOOKUP(ROWS($Z$3:Z104),$X$3:$Y$718,2,0),"")</f>
        <v>Podpůrné činnosti při těžbě ropy a zemního plynu</v>
      </c>
    </row>
    <row r="105" spans="1:26" ht="12.75" customHeight="1">
      <c r="A105" s="266"/>
      <c r="B105" s="266"/>
      <c r="C105" s="266"/>
      <c r="D105" s="282">
        <f>IF(ISNUMBER(SEARCH(ZAKL_DATA!$B$14,E105)),MAX($D$2:D104)+1,0)</f>
        <v>103</v>
      </c>
      <c r="E105" s="294" t="s">
        <v>1084</v>
      </c>
      <c r="F105" s="295">
        <v>2701</v>
      </c>
      <c r="G105" s="296"/>
      <c r="H105" s="297" t="str">
        <f>IFERROR(VLOOKUP(ROWS($H$3:H105),$D$3:$E$204,2,0),"")</f>
        <v>HRADEC KRÁLOVÉ</v>
      </c>
      <c r="I105" s="266"/>
      <c r="J105" s="299" t="s">
        <v>1085</v>
      </c>
      <c r="K105" s="288" t="s">
        <v>1086</v>
      </c>
      <c r="M105" s="289">
        <f>IF(ISNUMBER(SEARCH(ZAKL_DATA!$B$29,N105)),MAX($M$2:M104)+1,0)</f>
        <v>103</v>
      </c>
      <c r="N105" s="482" t="s">
        <v>2729</v>
      </c>
      <c r="O105" s="482" t="s">
        <v>2730</v>
      </c>
      <c r="Q105" s="291" t="str">
        <f>IFERROR(VLOOKUP(ROWS($Q$3:Q105),$M$3:$N$718,2,0),"")</f>
        <v>Instalace izolací</v>
      </c>
      <c r="R105">
        <f>IF(ISNUMBER(SEARCH('1Př1'!$A$32,N105)),MAX($M$2:M104)+1,0)</f>
        <v>103</v>
      </c>
      <c r="S105" s="290" t="s">
        <v>1087</v>
      </c>
      <c r="T105" t="str">
        <f>IFERROR(VLOOKUP(ROWS($T$3:T105),$R$3:$S$718,2,0),"")</f>
        <v>Činnosti heren, kasin a sázkových kanceláří</v>
      </c>
      <c r="U105">
        <f>IF(ISNUMBER(SEARCH('1Př1'!$A$33,N105)),MAX($M$2:M104)+1,0)</f>
        <v>103</v>
      </c>
      <c r="V105" s="290" t="s">
        <v>1087</v>
      </c>
      <c r="W105" t="str">
        <f>IFERROR(VLOOKUP(ROWS($W$3:W105),$U$3:$V$718,2,0),"")</f>
        <v>Činnosti heren, kasin a sázkových kanceláří</v>
      </c>
      <c r="X105">
        <f>IF(ISNUMBER(SEARCH('1Př1'!$A$34,N105)),MAX($M$2:M104)+1,0)</f>
        <v>103</v>
      </c>
      <c r="Y105" s="290" t="s">
        <v>1087</v>
      </c>
      <c r="Z105" t="str">
        <f>IFERROR(VLOOKUP(ROWS($Z$3:Z105),$X$3:$Y$718,2,0),"")</f>
        <v>Činnosti heren, kasin a sázkových kanceláří</v>
      </c>
    </row>
    <row r="106" spans="1:26" ht="12.75" customHeight="1">
      <c r="A106" s="266"/>
      <c r="B106" s="266"/>
      <c r="C106" s="266"/>
      <c r="D106" s="282">
        <f>IF(ISNUMBER(SEARCH(ZAKL_DATA!$B$14,E106)),MAX($D$2:D105)+1,0)</f>
        <v>104</v>
      </c>
      <c r="E106" s="294" t="s">
        <v>1088</v>
      </c>
      <c r="F106" s="295">
        <v>2702</v>
      </c>
      <c r="G106" s="296"/>
      <c r="H106" s="297" t="str">
        <f>IFERROR(VLOOKUP(ROWS($H$3:H106),$D$3:$E$204,2,0),"")</f>
        <v>BROUMOV</v>
      </c>
      <c r="I106" s="266"/>
      <c r="J106" s="299" t="s">
        <v>1089</v>
      </c>
      <c r="K106" s="288" t="s">
        <v>1090</v>
      </c>
      <c r="M106" s="289">
        <f>IF(ISNUMBER(SEARCH(ZAKL_DATA!$B$29,N106)),MAX($M$2:M105)+1,0)</f>
        <v>104</v>
      </c>
      <c r="N106" s="482" t="s">
        <v>1581</v>
      </c>
      <c r="O106" s="482" t="s">
        <v>2731</v>
      </c>
      <c r="Q106" s="291" t="str">
        <f>IFERROR(VLOOKUP(ROWS($Q$3:Q106),$M$3:$N$718,2,0),"")</f>
        <v>Instalace průmyslových strojů a zařízení</v>
      </c>
      <c r="R106">
        <f>IF(ISNUMBER(SEARCH('1Př1'!$A$32,N106)),MAX($M$2:M105)+1,0)</f>
        <v>104</v>
      </c>
      <c r="S106" s="290" t="s">
        <v>1091</v>
      </c>
      <c r="T106" t="str">
        <f>IFERROR(VLOOKUP(ROWS($T$3:T106),$R$3:$S$718,2,0),"")</f>
        <v>Sportovní, zábavní a rekreační činnosti</v>
      </c>
      <c r="U106">
        <f>IF(ISNUMBER(SEARCH('1Př1'!$A$33,N106)),MAX($M$2:M105)+1,0)</f>
        <v>104</v>
      </c>
      <c r="V106" s="290" t="s">
        <v>1091</v>
      </c>
      <c r="W106" t="str">
        <f>IFERROR(VLOOKUP(ROWS($W$3:W106),$U$3:$V$718,2,0),"")</f>
        <v>Sportovní, zábavní a rekreační činnosti</v>
      </c>
      <c r="X106">
        <f>IF(ISNUMBER(SEARCH('1Př1'!$A$34,N106)),MAX($M$2:M105)+1,0)</f>
        <v>104</v>
      </c>
      <c r="Y106" s="290" t="s">
        <v>1091</v>
      </c>
      <c r="Z106" t="str">
        <f>IFERROR(VLOOKUP(ROWS($Z$3:Z106),$X$3:$Y$718,2,0),"")</f>
        <v>Sportovní, zábavní a rekreační činnosti</v>
      </c>
    </row>
    <row r="107" spans="1:26" ht="12.75" customHeight="1">
      <c r="A107" s="266"/>
      <c r="B107" s="266"/>
      <c r="C107" s="266"/>
      <c r="D107" s="282">
        <f>IF(ISNUMBER(SEARCH(ZAKL_DATA!$B$14,E107)),MAX($D$2:D106)+1,0)</f>
        <v>105</v>
      </c>
      <c r="E107" s="294" t="s">
        <v>1092</v>
      </c>
      <c r="F107" s="295">
        <v>2703</v>
      </c>
      <c r="G107" s="296"/>
      <c r="H107" s="297" t="str">
        <f>IFERROR(VLOOKUP(ROWS($H$3:H107),$D$3:$E$204,2,0),"")</f>
        <v>DOBRUŠKA</v>
      </c>
      <c r="I107" s="266"/>
      <c r="J107" s="299" t="s">
        <v>1093</v>
      </c>
      <c r="K107" s="288" t="s">
        <v>1094</v>
      </c>
      <c r="M107" s="289">
        <f>IF(ISNUMBER(SEARCH(ZAKL_DATA!$B$29,N107)),MAX($M$2:M106)+1,0)</f>
        <v>105</v>
      </c>
      <c r="N107" s="482" t="s">
        <v>2732</v>
      </c>
      <c r="O107" s="482" t="s">
        <v>2733</v>
      </c>
      <c r="Q107" s="291" t="str">
        <f>IFERROR(VLOOKUP(ROWS($Q$3:Q107),$M$3:$N$718,2,0),"")</f>
        <v>Instalace tepelných, chladicích a klimatizačních zařízení a rozvodů</v>
      </c>
      <c r="R107">
        <f>IF(ISNUMBER(SEARCH('1Př1'!$A$32,N107)),MAX($M$2:M106)+1,0)</f>
        <v>105</v>
      </c>
      <c r="S107" s="290" t="s">
        <v>1095</v>
      </c>
      <c r="T107" t="str">
        <f>IFERROR(VLOOKUP(ROWS($T$3:T107),$R$3:$S$718,2,0),"")</f>
        <v>Činnosti organizací sdružujících osoby za účelem prosazování spol.zájmů</v>
      </c>
      <c r="U107">
        <f>IF(ISNUMBER(SEARCH('1Př1'!$A$33,N107)),MAX($M$2:M106)+1,0)</f>
        <v>105</v>
      </c>
      <c r="V107" s="290" t="s">
        <v>1095</v>
      </c>
      <c r="W107" t="str">
        <f>IFERROR(VLOOKUP(ROWS($W$3:W107),$U$3:$V$718,2,0),"")</f>
        <v>Činnosti organizací sdružujících osoby za účelem prosazování spol.zájmů</v>
      </c>
      <c r="X107">
        <f>IF(ISNUMBER(SEARCH('1Př1'!$A$34,N107)),MAX($M$2:M106)+1,0)</f>
        <v>105</v>
      </c>
      <c r="Y107" s="290" t="s">
        <v>1095</v>
      </c>
      <c r="Z107" t="str">
        <f>IFERROR(VLOOKUP(ROWS($Z$3:Z107),$X$3:$Y$718,2,0),"")</f>
        <v>Činnosti organizací sdružujících osoby za účelem prosazování spol.zájmů</v>
      </c>
    </row>
    <row r="108" spans="1:26" ht="12.75" customHeight="1">
      <c r="A108" s="266"/>
      <c r="B108" s="266"/>
      <c r="C108" s="266"/>
      <c r="D108" s="282">
        <f>IF(ISNUMBER(SEARCH(ZAKL_DATA!$B$14,E108)),MAX($D$2:D107)+1,0)</f>
        <v>106</v>
      </c>
      <c r="E108" s="294" t="s">
        <v>1096</v>
      </c>
      <c r="F108" s="295">
        <v>2704</v>
      </c>
      <c r="G108" s="296"/>
      <c r="H108" s="297" t="str">
        <f>IFERROR(VLOOKUP(ROWS($H$3:H108),$D$3:$E$204,2,0),"")</f>
        <v>DVŮR KRÁLOVÉ</v>
      </c>
      <c r="I108" s="266"/>
      <c r="J108" s="299" t="s">
        <v>1097</v>
      </c>
      <c r="K108" s="288" t="s">
        <v>1098</v>
      </c>
      <c r="M108" s="289">
        <f>IF(ISNUMBER(SEARCH(ZAKL_DATA!$B$29,N108)),MAX($M$2:M107)+1,0)</f>
        <v>106</v>
      </c>
      <c r="N108" s="482" t="s">
        <v>2734</v>
      </c>
      <c r="O108" s="482" t="s">
        <v>2735</v>
      </c>
      <c r="Q108" s="291" t="str">
        <f>IFERROR(VLOOKUP(ROWS($Q$3:Q108),$M$3:$N$718,2,0),"")</f>
        <v>Instalace vodovodních, odpadních a plynových zařízení a rozvodů</v>
      </c>
      <c r="R108">
        <f>IF(ISNUMBER(SEARCH('1Př1'!$A$32,N108)),MAX($M$2:M107)+1,0)</f>
        <v>106</v>
      </c>
      <c r="S108" s="290" t="s">
        <v>1099</v>
      </c>
      <c r="T108" t="str">
        <f>IFERROR(VLOOKUP(ROWS($T$3:T108),$R$3:$S$718,2,0),"")</f>
        <v>Opravy počítačů a výrobků pro osobní potřebu a převážně pro domácnost</v>
      </c>
      <c r="U108">
        <f>IF(ISNUMBER(SEARCH('1Př1'!$A$33,N108)),MAX($M$2:M107)+1,0)</f>
        <v>106</v>
      </c>
      <c r="V108" s="290" t="s">
        <v>1099</v>
      </c>
      <c r="W108" t="str">
        <f>IFERROR(VLOOKUP(ROWS($W$3:W108),$U$3:$V$718,2,0),"")</f>
        <v>Opravy počítačů a výrobků pro osobní potřebu a převážně pro domácnost</v>
      </c>
      <c r="X108">
        <f>IF(ISNUMBER(SEARCH('1Př1'!$A$34,N108)),MAX($M$2:M107)+1,0)</f>
        <v>106</v>
      </c>
      <c r="Y108" s="290" t="s">
        <v>1099</v>
      </c>
      <c r="Z108" t="str">
        <f>IFERROR(VLOOKUP(ROWS($Z$3:Z108),$X$3:$Y$718,2,0),"")</f>
        <v>Opravy počítačů a výrobků pro osobní potřebu a převážně pro domácnost</v>
      </c>
    </row>
    <row r="109" spans="1:26" ht="12.75" customHeight="1">
      <c r="A109" s="266"/>
      <c r="B109" s="266"/>
      <c r="C109" s="266"/>
      <c r="D109" s="282">
        <f>IF(ISNUMBER(SEARCH(ZAKL_DATA!$B$14,E109)),MAX($D$2:D108)+1,0)</f>
        <v>107</v>
      </c>
      <c r="E109" s="294" t="s">
        <v>1100</v>
      </c>
      <c r="F109" s="295">
        <v>2705</v>
      </c>
      <c r="G109" s="296"/>
      <c r="H109" s="297" t="str">
        <f>IFERROR(VLOOKUP(ROWS($H$3:H109),$D$3:$E$204,2,0),"")</f>
        <v>HOŘICE</v>
      </c>
      <c r="I109" s="266"/>
      <c r="J109" s="299" t="s">
        <v>1101</v>
      </c>
      <c r="K109" s="288" t="s">
        <v>1102</v>
      </c>
      <c r="M109" s="289">
        <f>IF(ISNUMBER(SEARCH(ZAKL_DATA!$B$29,N109)),MAX($M$2:M108)+1,0)</f>
        <v>107</v>
      </c>
      <c r="N109" s="482" t="s">
        <v>2105</v>
      </c>
      <c r="O109" s="482" t="s">
        <v>2736</v>
      </c>
      <c r="Q109" s="291" t="str">
        <f>IFERROR(VLOOKUP(ROWS($Q$3:Q109),$M$3:$N$718,2,0),"")</f>
        <v>Inženýrské činnosti a související technické poradenství</v>
      </c>
      <c r="R109">
        <f>IF(ISNUMBER(SEARCH('1Př1'!$A$32,N109)),MAX($M$2:M108)+1,0)</f>
        <v>107</v>
      </c>
      <c r="S109" s="290" t="s">
        <v>1103</v>
      </c>
      <c r="T109" t="str">
        <f>IFERROR(VLOOKUP(ROWS($T$3:T109),$R$3:$S$718,2,0),"")</f>
        <v>Poskytování ostatních osobních služeb</v>
      </c>
      <c r="U109">
        <f>IF(ISNUMBER(SEARCH('1Př1'!$A$33,N109)),MAX($M$2:M108)+1,0)</f>
        <v>107</v>
      </c>
      <c r="V109" s="290" t="s">
        <v>1103</v>
      </c>
      <c r="W109" t="str">
        <f>IFERROR(VLOOKUP(ROWS($W$3:W109),$U$3:$V$718,2,0),"")</f>
        <v>Poskytování ostatních osobních služeb</v>
      </c>
      <c r="X109">
        <f>IF(ISNUMBER(SEARCH('1Př1'!$A$34,N109)),MAX($M$2:M108)+1,0)</f>
        <v>107</v>
      </c>
      <c r="Y109" s="290" t="s">
        <v>1103</v>
      </c>
      <c r="Z109" t="str">
        <f>IFERROR(VLOOKUP(ROWS($Z$3:Z109),$X$3:$Y$718,2,0),"")</f>
        <v>Poskytování ostatních osobních služeb</v>
      </c>
    </row>
    <row r="110" spans="1:26" ht="12.75" customHeight="1">
      <c r="A110" s="266"/>
      <c r="B110" s="266"/>
      <c r="C110" s="266"/>
      <c r="D110" s="282">
        <f>IF(ISNUMBER(SEARCH(ZAKL_DATA!$B$14,E110)),MAX($D$2:D109)+1,0)</f>
        <v>108</v>
      </c>
      <c r="E110" s="294" t="s">
        <v>1104</v>
      </c>
      <c r="F110" s="295">
        <v>2706</v>
      </c>
      <c r="G110" s="296"/>
      <c r="H110" s="297" t="str">
        <f>IFERROR(VLOOKUP(ROWS($H$3:H110),$D$3:$E$204,2,0),"")</f>
        <v>JAROMĚŘ</v>
      </c>
      <c r="I110" s="266"/>
      <c r="J110" s="299" t="s">
        <v>1105</v>
      </c>
      <c r="K110" s="288" t="s">
        <v>1106</v>
      </c>
      <c r="M110" s="289">
        <f>IF(ISNUMBER(SEARCH(ZAKL_DATA!$B$29,N110)),MAX($M$2:M109)+1,0)</f>
        <v>108</v>
      </c>
      <c r="N110" s="482" t="s">
        <v>2737</v>
      </c>
      <c r="O110" s="482" t="s">
        <v>2738</v>
      </c>
      <c r="Q110" s="291" t="str">
        <f>IFERROR(VLOOKUP(ROWS($Q$3:Q110),$M$3:$N$718,2,0),"")</f>
        <v>Jiné finanční činnosti, kromě pojišťování a penzijního financování j. n.</v>
      </c>
      <c r="R110">
        <f>IF(ISNUMBER(SEARCH('1Př1'!$A$32,N110)),MAX($M$2:M109)+1,0)</f>
        <v>108</v>
      </c>
      <c r="S110" s="290" t="s">
        <v>1107</v>
      </c>
      <c r="T110" t="str">
        <f>IFERROR(VLOOKUP(ROWS($T$3:T110),$R$3:$S$718,2,0),"")</f>
        <v>Činnosti domácností jako zaměstnavatelů domácího personálu</v>
      </c>
      <c r="U110">
        <f>IF(ISNUMBER(SEARCH('1Př1'!$A$33,N110)),MAX($M$2:M109)+1,0)</f>
        <v>108</v>
      </c>
      <c r="V110" s="290" t="s">
        <v>1107</v>
      </c>
      <c r="W110" t="str">
        <f>IFERROR(VLOOKUP(ROWS($W$3:W110),$U$3:$V$718,2,0),"")</f>
        <v>Činnosti domácností jako zaměstnavatelů domácího personálu</v>
      </c>
      <c r="X110">
        <f>IF(ISNUMBER(SEARCH('1Př1'!$A$34,N110)),MAX($M$2:M109)+1,0)</f>
        <v>108</v>
      </c>
      <c r="Y110" s="290" t="s">
        <v>1107</v>
      </c>
      <c r="Z110" t="str">
        <f>IFERROR(VLOOKUP(ROWS($Z$3:Z110),$X$3:$Y$718,2,0),"")</f>
        <v>Činnosti domácností jako zaměstnavatelů domácího personálu</v>
      </c>
    </row>
    <row r="111" spans="1:26" ht="12.75" customHeight="1">
      <c r="A111" s="266"/>
      <c r="B111" s="266"/>
      <c r="C111" s="266"/>
      <c r="D111" s="282">
        <f>IF(ISNUMBER(SEARCH(ZAKL_DATA!$B$14,E111)),MAX($D$2:D110)+1,0)</f>
        <v>109</v>
      </c>
      <c r="E111" s="294" t="s">
        <v>1108</v>
      </c>
      <c r="F111" s="295">
        <v>2707</v>
      </c>
      <c r="G111" s="296"/>
      <c r="H111" s="297" t="str">
        <f>IFERROR(VLOOKUP(ROWS($H$3:H111),$D$3:$E$204,2,0),"")</f>
        <v>JIČÍN</v>
      </c>
      <c r="I111" s="266"/>
      <c r="J111" s="299" t="s">
        <v>1109</v>
      </c>
      <c r="K111" s="288" t="s">
        <v>1110</v>
      </c>
      <c r="M111" s="289">
        <f>IF(ISNUMBER(SEARCH(ZAKL_DATA!$B$29,N111)),MAX($M$2:M110)+1,0)</f>
        <v>109</v>
      </c>
      <c r="N111" s="482" t="s">
        <v>2157</v>
      </c>
      <c r="O111" s="482" t="s">
        <v>2739</v>
      </c>
      <c r="Q111" s="291" t="str">
        <f>IFERROR(VLOOKUP(ROWS($Q$3:Q111),$M$3:$N$718,2,0),"")</f>
        <v>Jiné vzdělávání j. n.</v>
      </c>
      <c r="R111">
        <f>IF(ISNUMBER(SEARCH('1Př1'!$A$32,N111)),MAX($M$2:M110)+1,0)</f>
        <v>109</v>
      </c>
      <c r="S111" s="290" t="s">
        <v>1111</v>
      </c>
      <c r="T111" t="str">
        <f>IFERROR(VLOOKUP(ROWS($T$3:T111),$R$3:$S$718,2,0),"")</f>
        <v>Činnosti domác.produk.blíže neurčené výrobky a služby pro vlast.potřebu</v>
      </c>
      <c r="U111">
        <f>IF(ISNUMBER(SEARCH('1Př1'!$A$33,N111)),MAX($M$2:M110)+1,0)</f>
        <v>109</v>
      </c>
      <c r="V111" s="290" t="s">
        <v>1111</v>
      </c>
      <c r="W111" t="str">
        <f>IFERROR(VLOOKUP(ROWS($W$3:W111),$U$3:$V$718,2,0),"")</f>
        <v>Činnosti domác.produk.blíže neurčené výrobky a služby pro vlast.potřebu</v>
      </c>
      <c r="X111">
        <f>IF(ISNUMBER(SEARCH('1Př1'!$A$34,N111)),MAX($M$2:M110)+1,0)</f>
        <v>109</v>
      </c>
      <c r="Y111" s="290" t="s">
        <v>1111</v>
      </c>
      <c r="Z111" t="str">
        <f>IFERROR(VLOOKUP(ROWS($Z$3:Z111),$X$3:$Y$718,2,0),"")</f>
        <v>Činnosti domác.produk.blíže neurčené výrobky a služby pro vlast.potřebu</v>
      </c>
    </row>
    <row r="112" spans="1:26" ht="12.75" customHeight="1">
      <c r="A112" s="266"/>
      <c r="B112" s="266"/>
      <c r="C112" s="266"/>
      <c r="D112" s="282">
        <f>IF(ISNUMBER(SEARCH(ZAKL_DATA!$B$14,E112)),MAX($D$2:D111)+1,0)</f>
        <v>110</v>
      </c>
      <c r="E112" s="294" t="s">
        <v>1112</v>
      </c>
      <c r="F112" s="295">
        <v>2708</v>
      </c>
      <c r="G112" s="296"/>
      <c r="H112" s="297" t="str">
        <f>IFERROR(VLOOKUP(ROWS($H$3:H112),$D$3:$E$204,2,0),"")</f>
        <v>KOSTELEC NAD ORLICÍ</v>
      </c>
      <c r="I112" s="266"/>
      <c r="J112" s="299" t="s">
        <v>1113</v>
      </c>
      <c r="K112" s="288" t="s">
        <v>1114</v>
      </c>
      <c r="M112" s="289">
        <f>IF(ISNUMBER(SEARCH(ZAKL_DATA!$B$29,N112)),MAX($M$2:M111)+1,0)</f>
        <v>110</v>
      </c>
      <c r="N112" s="482" t="s">
        <v>2740</v>
      </c>
      <c r="O112" s="482" t="s">
        <v>2741</v>
      </c>
      <c r="Q112" s="291" t="str">
        <f>IFERROR(VLOOKUP(ROWS($Q$3:Q112),$M$3:$N$718,2,0),"")</f>
        <v>Kadeřnické a holičské činnosti</v>
      </c>
      <c r="R112">
        <f>IF(ISNUMBER(SEARCH('1Př1'!$A$32,N112)),MAX($M$2:M111)+1,0)</f>
        <v>110</v>
      </c>
      <c r="S112" s="290" t="s">
        <v>1115</v>
      </c>
      <c r="T112" t="str">
        <f>IFERROR(VLOOKUP(ROWS($T$3:T112),$R$3:$S$718,2,0),"")</f>
        <v>Činnosti exteritoriálních organizací a orgánů</v>
      </c>
      <c r="U112">
        <f>IF(ISNUMBER(SEARCH('1Př1'!$A$33,N112)),MAX($M$2:M111)+1,0)</f>
        <v>110</v>
      </c>
      <c r="V112" s="290" t="s">
        <v>1115</v>
      </c>
      <c r="W112" t="str">
        <f>IFERROR(VLOOKUP(ROWS($W$3:W112),$U$3:$V$718,2,0),"")</f>
        <v>Činnosti exteritoriálních organizací a orgánů</v>
      </c>
      <c r="X112">
        <f>IF(ISNUMBER(SEARCH('1Př1'!$A$34,N112)),MAX($M$2:M111)+1,0)</f>
        <v>110</v>
      </c>
      <c r="Y112" s="290" t="s">
        <v>1115</v>
      </c>
      <c r="Z112" t="str">
        <f>IFERROR(VLOOKUP(ROWS($Z$3:Z112),$X$3:$Y$718,2,0),"")</f>
        <v>Činnosti exteritoriálních organizací a orgánů</v>
      </c>
    </row>
    <row r="113" spans="1:26" ht="12.75" customHeight="1">
      <c r="A113" s="266"/>
      <c r="B113" s="266"/>
      <c r="C113" s="266"/>
      <c r="D113" s="282">
        <f>IF(ISNUMBER(SEARCH(ZAKL_DATA!$B$14,E113)),MAX($D$2:D112)+1,0)</f>
        <v>111</v>
      </c>
      <c r="E113" s="294" t="s">
        <v>1116</v>
      </c>
      <c r="F113" s="295">
        <v>2709</v>
      </c>
      <c r="G113" s="296"/>
      <c r="H113" s="297" t="str">
        <f>IFERROR(VLOOKUP(ROWS($H$3:H113),$D$3:$E$204,2,0),"")</f>
        <v>NÁCHOD</v>
      </c>
      <c r="I113" s="266"/>
      <c r="J113" s="299" t="s">
        <v>1117</v>
      </c>
      <c r="K113" s="288" t="s">
        <v>1118</v>
      </c>
      <c r="M113" s="289">
        <f>IF(ISNUMBER(SEARCH(ZAKL_DATA!$B$29,N113)),MAX($M$2:M112)+1,0)</f>
        <v>111</v>
      </c>
      <c r="N113" s="482" t="s">
        <v>2742</v>
      </c>
      <c r="O113" s="482" t="s">
        <v>2743</v>
      </c>
      <c r="Q113" s="291" t="str">
        <f>IFERROR(VLOOKUP(ROWS($Q$3:Q113),$M$3:$N$718,2,0),"")</f>
        <v>Kempy a parkoviště pro rekreační vozidla</v>
      </c>
      <c r="R113">
        <f>IF(ISNUMBER(SEARCH('1Př1'!$A$32,N113)),MAX($M$2:M112)+1,0)</f>
        <v>111</v>
      </c>
      <c r="S113" s="290" t="s">
        <v>1119</v>
      </c>
      <c r="T113" t="str">
        <f>IFERROR(VLOOKUP(ROWS($T$3:T113),$R$3:$S$718,2,0),"")</f>
        <v>Podpůrné činnosti při ostatní těžbě a dobývání</v>
      </c>
      <c r="U113">
        <f>IF(ISNUMBER(SEARCH('1Př1'!$A$33,N113)),MAX($M$2:M112)+1,0)</f>
        <v>111</v>
      </c>
      <c r="V113" s="290" t="s">
        <v>1119</v>
      </c>
      <c r="W113" t="str">
        <f>IFERROR(VLOOKUP(ROWS($W$3:W113),$U$3:$V$718,2,0),"")</f>
        <v>Podpůrné činnosti při ostatní těžbě a dobývání</v>
      </c>
      <c r="X113">
        <f>IF(ISNUMBER(SEARCH('1Př1'!$A$34,N113)),MAX($M$2:M112)+1,0)</f>
        <v>111</v>
      </c>
      <c r="Y113" s="290" t="s">
        <v>1119</v>
      </c>
      <c r="Z113" t="str">
        <f>IFERROR(VLOOKUP(ROWS($Z$3:Z113),$X$3:$Y$718,2,0),"")</f>
        <v>Podpůrné činnosti při ostatní těžbě a dobývání</v>
      </c>
    </row>
    <row r="114" spans="1:26" ht="12.75" customHeight="1">
      <c r="A114" s="266"/>
      <c r="B114" s="266"/>
      <c r="C114" s="266"/>
      <c r="D114" s="282">
        <f>IF(ISNUMBER(SEARCH(ZAKL_DATA!$B$14,E114)),MAX($D$2:D113)+1,0)</f>
        <v>112</v>
      </c>
      <c r="E114" s="294" t="s">
        <v>1120</v>
      </c>
      <c r="F114" s="295">
        <v>2710</v>
      </c>
      <c r="G114" s="296"/>
      <c r="H114" s="297" t="str">
        <f>IFERROR(VLOOKUP(ROWS($H$3:H114),$D$3:$E$204,2,0),"")</f>
        <v>NOVÁ PAKA</v>
      </c>
      <c r="I114" s="266"/>
      <c r="J114" s="299" t="s">
        <v>1121</v>
      </c>
      <c r="K114" s="288" t="s">
        <v>1122</v>
      </c>
      <c r="M114" s="289">
        <f>IF(ISNUMBER(SEARCH(ZAKL_DATA!$B$29,N114)),MAX($M$2:M113)+1,0)</f>
        <v>112</v>
      </c>
      <c r="N114" s="482" t="s">
        <v>2744</v>
      </c>
      <c r="O114" s="482" t="s">
        <v>2745</v>
      </c>
      <c r="Q114" s="291" t="str">
        <f>IFERROR(VLOOKUP(ROWS($Q$3:Q114),$M$3:$N$718,2,0),"")</f>
        <v>Kolejová nákladní doprava</v>
      </c>
      <c r="R114">
        <f>IF(ISNUMBER(SEARCH('1Př1'!$A$32,N114)),MAX($M$2:M113)+1,0)</f>
        <v>112</v>
      </c>
      <c r="S114" s="290" t="s">
        <v>1123</v>
      </c>
      <c r="T114" t="str">
        <f>IFERROR(VLOOKUP(ROWS($T$3:T114),$R$3:$S$718,2,0),"")</f>
        <v>Zpracování a konzervování masa a výroba masných výrobků</v>
      </c>
      <c r="U114">
        <f>IF(ISNUMBER(SEARCH('1Př1'!$A$33,N114)),MAX($M$2:M113)+1,0)</f>
        <v>112</v>
      </c>
      <c r="V114" s="290" t="s">
        <v>1123</v>
      </c>
      <c r="W114" t="str">
        <f>IFERROR(VLOOKUP(ROWS($W$3:W114),$U$3:$V$718,2,0),"")</f>
        <v>Zpracování a konzervování masa a výroba masných výrobků</v>
      </c>
      <c r="X114">
        <f>IF(ISNUMBER(SEARCH('1Př1'!$A$34,N114)),MAX($M$2:M113)+1,0)</f>
        <v>112</v>
      </c>
      <c r="Y114" s="290" t="s">
        <v>1123</v>
      </c>
      <c r="Z114" t="str">
        <f>IFERROR(VLOOKUP(ROWS($Z$3:Z114),$X$3:$Y$718,2,0),"")</f>
        <v>Zpracování a konzervování masa a výroba masných výrobků</v>
      </c>
    </row>
    <row r="115" spans="1:26" ht="12.75" customHeight="1">
      <c r="A115" s="266"/>
      <c r="B115" s="266"/>
      <c r="C115" s="266"/>
      <c r="D115" s="282">
        <f>IF(ISNUMBER(SEARCH(ZAKL_DATA!$B$14,E115)),MAX($D$2:D114)+1,0)</f>
        <v>113</v>
      </c>
      <c r="E115" s="294" t="s">
        <v>1124</v>
      </c>
      <c r="F115" s="295">
        <v>2711</v>
      </c>
      <c r="G115" s="296"/>
      <c r="H115" s="297" t="str">
        <f>IFERROR(VLOOKUP(ROWS($H$3:H115),$D$3:$E$204,2,0),"")</f>
        <v>NOVÝ BYDŽOV</v>
      </c>
      <c r="I115" s="266"/>
      <c r="J115" s="299" t="s">
        <v>1125</v>
      </c>
      <c r="K115" s="288" t="s">
        <v>1126</v>
      </c>
      <c r="M115" s="289">
        <f>IF(ISNUMBER(SEARCH(ZAKL_DATA!$B$29,N115)),MAX($M$2:M114)+1,0)</f>
        <v>113</v>
      </c>
      <c r="N115" s="482" t="s">
        <v>2746</v>
      </c>
      <c r="O115" s="482" t="s">
        <v>2747</v>
      </c>
      <c r="Q115" s="291" t="str">
        <f>IFERROR(VLOOKUP(ROWS($Q$3:Q115),$M$3:$N$718,2,0),"")</f>
        <v>Kombinované podpůrné činnosti</v>
      </c>
      <c r="R115">
        <f>IF(ISNUMBER(SEARCH('1Př1'!$A$32,N115)),MAX($M$2:M114)+1,0)</f>
        <v>113</v>
      </c>
      <c r="S115" s="290" t="s">
        <v>1127</v>
      </c>
      <c r="T115" t="str">
        <f>IFERROR(VLOOKUP(ROWS($T$3:T115),$R$3:$S$718,2,0),"")</f>
        <v>Zpracování a konzervování ryb, korýšů a měkkýšů</v>
      </c>
      <c r="U115">
        <f>IF(ISNUMBER(SEARCH('1Př1'!$A$33,N115)),MAX($M$2:M114)+1,0)</f>
        <v>113</v>
      </c>
      <c r="V115" s="290" t="s">
        <v>1127</v>
      </c>
      <c r="W115" t="str">
        <f>IFERROR(VLOOKUP(ROWS($W$3:W115),$U$3:$V$718,2,0),"")</f>
        <v>Zpracování a konzervování ryb, korýšů a měkkýšů</v>
      </c>
      <c r="X115">
        <f>IF(ISNUMBER(SEARCH('1Př1'!$A$34,N115)),MAX($M$2:M114)+1,0)</f>
        <v>113</v>
      </c>
      <c r="Y115" s="290" t="s">
        <v>1127</v>
      </c>
      <c r="Z115" t="str">
        <f>IFERROR(VLOOKUP(ROWS($Z$3:Z115),$X$3:$Y$718,2,0),"")</f>
        <v>Zpracování a konzervování ryb, korýšů a měkkýšů</v>
      </c>
    </row>
    <row r="116" spans="1:26" ht="12.75" customHeight="1">
      <c r="A116" s="266"/>
      <c r="B116" s="266"/>
      <c r="C116" s="266"/>
      <c r="D116" s="282">
        <f>IF(ISNUMBER(SEARCH(ZAKL_DATA!$B$14,E116)),MAX($D$2:D115)+1,0)</f>
        <v>114</v>
      </c>
      <c r="E116" s="294" t="s">
        <v>1128</v>
      </c>
      <c r="F116" s="295">
        <v>2712</v>
      </c>
      <c r="G116" s="296"/>
      <c r="H116" s="297" t="str">
        <f>IFERROR(VLOOKUP(ROWS($H$3:H116),$D$3:$E$204,2,0),"")</f>
        <v>RYCHNOV NAD KNĚŽ.</v>
      </c>
      <c r="I116" s="266"/>
      <c r="J116" s="299" t="s">
        <v>1129</v>
      </c>
      <c r="K116" s="288" t="s">
        <v>1130</v>
      </c>
      <c r="M116" s="289">
        <f>IF(ISNUMBER(SEARCH(ZAKL_DATA!$B$29,N116)),MAX($M$2:M115)+1,0)</f>
        <v>114</v>
      </c>
      <c r="N116" s="482" t="s">
        <v>2748</v>
      </c>
      <c r="O116" s="482" t="s">
        <v>2749</v>
      </c>
      <c r="Q116" s="291" t="str">
        <f>IFERROR(VLOOKUP(ROWS($Q$3:Q116),$M$3:$N$718,2,0),"")</f>
        <v>Konečná úprava dřevěných výrobků</v>
      </c>
      <c r="R116">
        <f>IF(ISNUMBER(SEARCH('1Př1'!$A$32,N116)),MAX($M$2:M115)+1,0)</f>
        <v>114</v>
      </c>
      <c r="S116" s="290" t="s">
        <v>1131</v>
      </c>
      <c r="T116" t="str">
        <f>IFERROR(VLOOKUP(ROWS($T$3:T116),$R$3:$S$718,2,0),"")</f>
        <v>Zpracování a konzervování ovoce a zeleniny</v>
      </c>
      <c r="U116">
        <f>IF(ISNUMBER(SEARCH('1Př1'!$A$33,N116)),MAX($M$2:M115)+1,0)</f>
        <v>114</v>
      </c>
      <c r="V116" s="290" t="s">
        <v>1131</v>
      </c>
      <c r="W116" t="str">
        <f>IFERROR(VLOOKUP(ROWS($W$3:W116),$U$3:$V$718,2,0),"")</f>
        <v>Zpracování a konzervování ovoce a zeleniny</v>
      </c>
      <c r="X116">
        <f>IF(ISNUMBER(SEARCH('1Př1'!$A$34,N116)),MAX($M$2:M115)+1,0)</f>
        <v>114</v>
      </c>
      <c r="Y116" s="290" t="s">
        <v>1131</v>
      </c>
      <c r="Z116" t="str">
        <f>IFERROR(VLOOKUP(ROWS($Z$3:Z116),$X$3:$Y$718,2,0),"")</f>
        <v>Zpracování a konzervování ovoce a zeleniny</v>
      </c>
    </row>
    <row r="117" spans="1:26" ht="12.75" customHeight="1">
      <c r="A117" s="266"/>
      <c r="B117" s="266"/>
      <c r="C117" s="266"/>
      <c r="D117" s="282">
        <f>IF(ISNUMBER(SEARCH(ZAKL_DATA!$B$14,E117)),MAX($D$2:D116)+1,0)</f>
        <v>115</v>
      </c>
      <c r="E117" s="294" t="s">
        <v>1132</v>
      </c>
      <c r="F117" s="295">
        <v>2713</v>
      </c>
      <c r="G117" s="296"/>
      <c r="H117" s="297" t="str">
        <f>IFERROR(VLOOKUP(ROWS($H$3:H117),$D$3:$E$204,2,0),"")</f>
        <v>TRUTNOV</v>
      </c>
      <c r="I117" s="266"/>
      <c r="J117" s="299" t="s">
        <v>1133</v>
      </c>
      <c r="K117" s="288" t="s">
        <v>1134</v>
      </c>
      <c r="M117" s="289">
        <f>IF(ISNUMBER(SEARCH(ZAKL_DATA!$B$29,N117)),MAX($M$2:M116)+1,0)</f>
        <v>115</v>
      </c>
      <c r="N117" s="482" t="s">
        <v>1227</v>
      </c>
      <c r="O117" s="482" t="s">
        <v>2750</v>
      </c>
      <c r="Q117" s="291" t="str">
        <f>IFERROR(VLOOKUP(ROWS($Q$3:Q117),$M$3:$N$718,2,0),"")</f>
        <v>Konečná úprava textilií</v>
      </c>
      <c r="R117">
        <f>IF(ISNUMBER(SEARCH('1Př1'!$A$32,N117)),MAX($M$2:M116)+1,0)</f>
        <v>115</v>
      </c>
      <c r="S117" s="290" t="s">
        <v>1135</v>
      </c>
      <c r="T117" t="str">
        <f>IFERROR(VLOOKUP(ROWS($T$3:T117),$R$3:$S$718,2,0),"")</f>
        <v>Výroba rostlinných a živočišných olejů a tuků</v>
      </c>
      <c r="U117">
        <f>IF(ISNUMBER(SEARCH('1Př1'!$A$33,N117)),MAX($M$2:M116)+1,0)</f>
        <v>115</v>
      </c>
      <c r="V117" s="290" t="s">
        <v>1135</v>
      </c>
      <c r="W117" t="str">
        <f>IFERROR(VLOOKUP(ROWS($W$3:W117),$U$3:$V$718,2,0),"")</f>
        <v>Výroba rostlinných a živočišných olejů a tuků</v>
      </c>
      <c r="X117">
        <f>IF(ISNUMBER(SEARCH('1Př1'!$A$34,N117)),MAX($M$2:M116)+1,0)</f>
        <v>115</v>
      </c>
      <c r="Y117" s="290" t="s">
        <v>1135</v>
      </c>
      <c r="Z117" t="str">
        <f>IFERROR(VLOOKUP(ROWS($Z$3:Z117),$X$3:$Y$718,2,0),"")</f>
        <v>Výroba rostlinných a živočišných olejů a tuků</v>
      </c>
    </row>
    <row r="118" spans="1:26" ht="12.75" customHeight="1">
      <c r="A118" s="266"/>
      <c r="B118" s="266"/>
      <c r="C118" s="266"/>
      <c r="D118" s="282">
        <f>IF(ISNUMBER(SEARCH(ZAKL_DATA!$B$14,E118)),MAX($D$2:D117)+1,0)</f>
        <v>116</v>
      </c>
      <c r="E118" s="294" t="s">
        <v>1136</v>
      </c>
      <c r="F118" s="295">
        <v>2714</v>
      </c>
      <c r="G118" s="296"/>
      <c r="H118" s="297" t="str">
        <f>IFERROR(VLOOKUP(ROWS($H$3:H118),$D$3:$E$204,2,0),"")</f>
        <v>VRCHLABÍ</v>
      </c>
      <c r="I118" s="266"/>
      <c r="J118" s="299" t="s">
        <v>1137</v>
      </c>
      <c r="K118" s="288" t="s">
        <v>1138</v>
      </c>
      <c r="M118" s="289">
        <f>IF(ISNUMBER(SEARCH(ZAKL_DATA!$B$29,N118)),MAX($M$2:M117)+1,0)</f>
        <v>116</v>
      </c>
      <c r="N118" s="482" t="s">
        <v>2751</v>
      </c>
      <c r="O118" s="482" t="s">
        <v>2752</v>
      </c>
      <c r="Q118" s="291" t="str">
        <f>IFERROR(VLOOKUP(ROWS($Q$3:Q118),$M$3:$N$718,2,0),"")</f>
        <v>Konzervování, restaurování a jiné podpůrné činnosti pro kulturní dědictví</v>
      </c>
      <c r="R118">
        <f>IF(ISNUMBER(SEARCH('1Př1'!$A$32,N118)),MAX($M$2:M117)+1,0)</f>
        <v>116</v>
      </c>
      <c r="S118" s="290" t="s">
        <v>1139</v>
      </c>
      <c r="T118" t="str">
        <f>IFERROR(VLOOKUP(ROWS($T$3:T118),$R$3:$S$718,2,0),"")</f>
        <v>Výroba mléčných výrobků</v>
      </c>
      <c r="U118">
        <f>IF(ISNUMBER(SEARCH('1Př1'!$A$33,N118)),MAX($M$2:M117)+1,0)</f>
        <v>116</v>
      </c>
      <c r="V118" s="290" t="s">
        <v>1139</v>
      </c>
      <c r="W118" t="str">
        <f>IFERROR(VLOOKUP(ROWS($W$3:W118),$U$3:$V$718,2,0),"")</f>
        <v>Výroba mléčných výrobků</v>
      </c>
      <c r="X118">
        <f>IF(ISNUMBER(SEARCH('1Př1'!$A$34,N118)),MAX($M$2:M117)+1,0)</f>
        <v>116</v>
      </c>
      <c r="Y118" s="290" t="s">
        <v>1139</v>
      </c>
      <c r="Z118" t="str">
        <f>IFERROR(VLOOKUP(ROWS($Z$3:Z118),$X$3:$Y$718,2,0),"")</f>
        <v>Výroba mléčných výrobků</v>
      </c>
    </row>
    <row r="119" spans="1:26" ht="12.75" customHeight="1">
      <c r="A119" s="266"/>
      <c r="B119" s="266"/>
      <c r="C119" s="266"/>
      <c r="D119" s="282">
        <f>IF(ISNUMBER(SEARCH(ZAKL_DATA!$B$14,E119)),MAX($D$2:D118)+1,0)</f>
        <v>117</v>
      </c>
      <c r="E119" s="294" t="s">
        <v>1140</v>
      </c>
      <c r="F119" s="295">
        <v>2801</v>
      </c>
      <c r="G119" s="296"/>
      <c r="H119" s="297" t="str">
        <f>IFERROR(VLOOKUP(ROWS($H$3:H119),$D$3:$E$204,2,0),"")</f>
        <v>PARDUBICE</v>
      </c>
      <c r="I119" s="266"/>
      <c r="J119" s="299" t="s">
        <v>1141</v>
      </c>
      <c r="K119" s="288" t="s">
        <v>1142</v>
      </c>
      <c r="M119" s="289">
        <f>IF(ISNUMBER(SEARCH(ZAKL_DATA!$B$29,N119)),MAX($M$2:M118)+1,0)</f>
        <v>117</v>
      </c>
      <c r="N119" s="482" t="s">
        <v>2753</v>
      </c>
      <c r="O119" s="482" t="s">
        <v>2754</v>
      </c>
      <c r="Q119" s="291" t="str">
        <f>IFERROR(VLOOKUP(ROWS($Q$3:Q119),$M$3:$N$718,2,0),"")</f>
        <v>Kosmetické a podobné činnosti</v>
      </c>
      <c r="R119">
        <f>IF(ISNUMBER(SEARCH('1Př1'!$A$32,N119)),MAX($M$2:M118)+1,0)</f>
        <v>117</v>
      </c>
      <c r="S119" s="290" t="s">
        <v>1143</v>
      </c>
      <c r="T119" t="str">
        <f>IFERROR(VLOOKUP(ROWS($T$3:T119),$R$3:$S$718,2,0),"")</f>
        <v>Výroba mlýnských a škrobárenských výrobků</v>
      </c>
      <c r="U119">
        <f>IF(ISNUMBER(SEARCH('1Př1'!$A$33,N119)),MAX($M$2:M118)+1,0)</f>
        <v>117</v>
      </c>
      <c r="V119" s="290" t="s">
        <v>1143</v>
      </c>
      <c r="W119" t="str">
        <f>IFERROR(VLOOKUP(ROWS($W$3:W119),$U$3:$V$718,2,0),"")</f>
        <v>Výroba mlýnských a škrobárenských výrobků</v>
      </c>
      <c r="X119">
        <f>IF(ISNUMBER(SEARCH('1Př1'!$A$34,N119)),MAX($M$2:M118)+1,0)</f>
        <v>117</v>
      </c>
      <c r="Y119" s="290" t="s">
        <v>1143</v>
      </c>
      <c r="Z119" t="str">
        <f>IFERROR(VLOOKUP(ROWS($Z$3:Z119),$X$3:$Y$718,2,0),"")</f>
        <v>Výroba mlýnských a škrobárenských výrobků</v>
      </c>
    </row>
    <row r="120" spans="1:26" ht="12.75" customHeight="1">
      <c r="A120" s="266"/>
      <c r="B120" s="266"/>
      <c r="C120" s="266"/>
      <c r="D120" s="282">
        <f>IF(ISNUMBER(SEARCH(ZAKL_DATA!$B$14,E120)),MAX($D$2:D119)+1,0)</f>
        <v>118</v>
      </c>
      <c r="E120" s="294" t="s">
        <v>1144</v>
      </c>
      <c r="F120" s="295">
        <v>2802</v>
      </c>
      <c r="G120" s="296"/>
      <c r="H120" s="297" t="str">
        <f>IFERROR(VLOOKUP(ROWS($H$3:H120),$D$3:$E$204,2,0),"")</f>
        <v>HLINSKO</v>
      </c>
      <c r="I120" s="266"/>
      <c r="J120" s="299" t="s">
        <v>1145</v>
      </c>
      <c r="K120" s="288" t="s">
        <v>1146</v>
      </c>
      <c r="M120" s="289">
        <f>IF(ISNUMBER(SEARCH(ZAKL_DATA!$B$29,N120)),MAX($M$2:M119)+1,0)</f>
        <v>118</v>
      </c>
      <c r="N120" s="482" t="s">
        <v>2085</v>
      </c>
      <c r="O120" s="482" t="s">
        <v>2755</v>
      </c>
      <c r="Q120" s="291" t="str">
        <f>IFERROR(VLOOKUP(ROWS($Q$3:Q120),$M$3:$N$718,2,0),"")</f>
        <v>Kosmická doprava</v>
      </c>
      <c r="R120">
        <f>IF(ISNUMBER(SEARCH('1Př1'!$A$32,N120)),MAX($M$2:M119)+1,0)</f>
        <v>118</v>
      </c>
      <c r="S120" s="290" t="s">
        <v>1147</v>
      </c>
      <c r="T120" t="str">
        <f>IFERROR(VLOOKUP(ROWS($T$3:T120),$R$3:$S$718,2,0),"")</f>
        <v>Výroba pekařských, cukrářských a jiných moučných výrobků</v>
      </c>
      <c r="U120">
        <f>IF(ISNUMBER(SEARCH('1Př1'!$A$33,N120)),MAX($M$2:M119)+1,0)</f>
        <v>118</v>
      </c>
      <c r="V120" s="290" t="s">
        <v>1147</v>
      </c>
      <c r="W120" t="str">
        <f>IFERROR(VLOOKUP(ROWS($W$3:W120),$U$3:$V$718,2,0),"")</f>
        <v>Výroba pekařských, cukrářských a jiných moučných výrobků</v>
      </c>
      <c r="X120">
        <f>IF(ISNUMBER(SEARCH('1Př1'!$A$34,N120)),MAX($M$2:M119)+1,0)</f>
        <v>118</v>
      </c>
      <c r="Y120" s="290" t="s">
        <v>1147</v>
      </c>
      <c r="Z120" t="str">
        <f>IFERROR(VLOOKUP(ROWS($Z$3:Z120),$X$3:$Y$718,2,0),"")</f>
        <v>Výroba pekařských, cukrářských a jiných moučných výrobků</v>
      </c>
    </row>
    <row r="121" spans="1:26" ht="12.75" customHeight="1">
      <c r="A121" s="266"/>
      <c r="B121" s="266"/>
      <c r="C121" s="266"/>
      <c r="D121" s="282">
        <f>IF(ISNUMBER(SEARCH(ZAKL_DATA!$B$14,E121)),MAX($D$2:D120)+1,0)</f>
        <v>119</v>
      </c>
      <c r="E121" s="294" t="s">
        <v>1148</v>
      </c>
      <c r="F121" s="295">
        <v>2803</v>
      </c>
      <c r="G121" s="296"/>
      <c r="H121" s="297" t="str">
        <f>IFERROR(VLOOKUP(ROWS($H$3:H121),$D$3:$E$204,2,0),"")</f>
        <v>HOLICE</v>
      </c>
      <c r="I121" s="266"/>
      <c r="J121" s="299" t="s">
        <v>1149</v>
      </c>
      <c r="K121" s="288" t="s">
        <v>1150</v>
      </c>
      <c r="M121" s="289">
        <f>IF(ISNUMBER(SEARCH(ZAKL_DATA!$B$29,N121)),MAX($M$2:M120)+1,0)</f>
        <v>119</v>
      </c>
      <c r="N121" s="482" t="s">
        <v>2756</v>
      </c>
      <c r="O121" s="482" t="s">
        <v>2757</v>
      </c>
      <c r="Q121" s="291" t="str">
        <f>IFERROR(VLOOKUP(ROWS($Q$3:Q121),$M$3:$N$718,2,0),"")</f>
        <v>Kování a tváření kovů a prášková metalurgie</v>
      </c>
      <c r="R121">
        <f>IF(ISNUMBER(SEARCH('1Př1'!$A$32,N121)),MAX($M$2:M120)+1,0)</f>
        <v>119</v>
      </c>
      <c r="S121" s="290" t="s">
        <v>1151</v>
      </c>
      <c r="T121" t="str">
        <f>IFERROR(VLOOKUP(ROWS($T$3:T121),$R$3:$S$718,2,0),"")</f>
        <v>Výroba ostatních potravinářských výrobků</v>
      </c>
      <c r="U121">
        <f>IF(ISNUMBER(SEARCH('1Př1'!$A$33,N121)),MAX($M$2:M120)+1,0)</f>
        <v>119</v>
      </c>
      <c r="V121" s="290" t="s">
        <v>1151</v>
      </c>
      <c r="W121" t="str">
        <f>IFERROR(VLOOKUP(ROWS($W$3:W121),$U$3:$V$718,2,0),"")</f>
        <v>Výroba ostatních potravinářských výrobků</v>
      </c>
      <c r="X121">
        <f>IF(ISNUMBER(SEARCH('1Př1'!$A$34,N121)),MAX($M$2:M120)+1,0)</f>
        <v>119</v>
      </c>
      <c r="Y121" s="290" t="s">
        <v>1151</v>
      </c>
      <c r="Z121" t="str">
        <f>IFERROR(VLOOKUP(ROWS($Z$3:Z121),$X$3:$Y$718,2,0),"")</f>
        <v>Výroba ostatních potravinářských výrobků</v>
      </c>
    </row>
    <row r="122" spans="1:26" ht="12.75" customHeight="1">
      <c r="A122" s="266"/>
      <c r="B122" s="266"/>
      <c r="C122" s="266"/>
      <c r="D122" s="282">
        <f>IF(ISNUMBER(SEARCH(ZAKL_DATA!$B$14,E122)),MAX($D$2:D121)+1,0)</f>
        <v>120</v>
      </c>
      <c r="E122" s="294" t="s">
        <v>1152</v>
      </c>
      <c r="F122" s="295">
        <v>2804</v>
      </c>
      <c r="G122" s="296"/>
      <c r="H122" s="297" t="str">
        <f>IFERROR(VLOOKUP(ROWS($H$3:H122),$D$3:$E$204,2,0),"")</f>
        <v>CHRUDIM</v>
      </c>
      <c r="I122" s="266"/>
      <c r="J122" s="299" t="s">
        <v>1153</v>
      </c>
      <c r="K122" s="288" t="s">
        <v>1154</v>
      </c>
      <c r="M122" s="289">
        <f>IF(ISNUMBER(SEARCH(ZAKL_DATA!$B$29,N122)),MAX($M$2:M121)+1,0)</f>
        <v>120</v>
      </c>
      <c r="N122" s="482" t="s">
        <v>2758</v>
      </c>
      <c r="O122" s="482" t="s">
        <v>2759</v>
      </c>
      <c r="Q122" s="291" t="str">
        <f>IFERROR(VLOOKUP(ROWS($Q$3:Q122),$M$3:$N$718,2,0),"")</f>
        <v>Leasing duševního vlastnictví a podobných produktů, kromě děl chráněných autorským právem</v>
      </c>
      <c r="R122">
        <f>IF(ISNUMBER(SEARCH('1Př1'!$A$32,N122)),MAX($M$2:M121)+1,0)</f>
        <v>120</v>
      </c>
      <c r="S122" s="290" t="s">
        <v>1155</v>
      </c>
      <c r="T122" t="str">
        <f>IFERROR(VLOOKUP(ROWS($T$3:T122),$R$3:$S$718,2,0),"")</f>
        <v>Výroba průmyslových krmiv</v>
      </c>
      <c r="U122">
        <f>IF(ISNUMBER(SEARCH('1Př1'!$A$33,N122)),MAX($M$2:M121)+1,0)</f>
        <v>120</v>
      </c>
      <c r="V122" s="290" t="s">
        <v>1155</v>
      </c>
      <c r="W122" t="str">
        <f>IFERROR(VLOOKUP(ROWS($W$3:W122),$U$3:$V$718,2,0),"")</f>
        <v>Výroba průmyslových krmiv</v>
      </c>
      <c r="X122">
        <f>IF(ISNUMBER(SEARCH('1Př1'!$A$34,N122)),MAX($M$2:M121)+1,0)</f>
        <v>120</v>
      </c>
      <c r="Y122" s="290" t="s">
        <v>1155</v>
      </c>
      <c r="Z122" t="str">
        <f>IFERROR(VLOOKUP(ROWS($Z$3:Z122),$X$3:$Y$718,2,0),"")</f>
        <v>Výroba průmyslových krmiv</v>
      </c>
    </row>
    <row r="123" spans="1:26" ht="12.75" customHeight="1">
      <c r="A123" s="266"/>
      <c r="B123" s="266"/>
      <c r="C123" s="266"/>
      <c r="D123" s="282">
        <f>IF(ISNUMBER(SEARCH(ZAKL_DATA!$B$14,E123)),MAX($D$2:D122)+1,0)</f>
        <v>121</v>
      </c>
      <c r="E123" s="294" t="s">
        <v>1156</v>
      </c>
      <c r="F123" s="295">
        <v>2805</v>
      </c>
      <c r="G123" s="296"/>
      <c r="H123" s="297" t="str">
        <f>IFERROR(VLOOKUP(ROWS($H$3:H123),$D$3:$E$204,2,0),"")</f>
        <v>LITOMYŠL</v>
      </c>
      <c r="I123" s="266"/>
      <c r="J123" s="299" t="s">
        <v>1157</v>
      </c>
      <c r="K123" s="288" t="s">
        <v>1158</v>
      </c>
      <c r="M123" s="289">
        <f>IF(ISNUMBER(SEARCH(ZAKL_DATA!$B$29,N123)),MAX($M$2:M122)+1,0)</f>
        <v>121</v>
      </c>
      <c r="N123" s="482" t="s">
        <v>2084</v>
      </c>
      <c r="O123" s="482" t="s">
        <v>2760</v>
      </c>
      <c r="Q123" s="291" t="str">
        <f>IFERROR(VLOOKUP(ROWS($Q$3:Q123),$M$3:$N$718,2,0),"")</f>
        <v>Letecká nákladní doprava</v>
      </c>
      <c r="R123">
        <f>IF(ISNUMBER(SEARCH('1Př1'!$A$32,N123)),MAX($M$2:M122)+1,0)</f>
        <v>121</v>
      </c>
      <c r="S123" s="290" t="s">
        <v>1159</v>
      </c>
      <c r="T123" t="str">
        <f>IFERROR(VLOOKUP(ROWS($T$3:T123),$R$3:$S$718,2,0),"")</f>
        <v>Pěstování obilovin (kromě rýže), luštěnin a olejnatých semen</v>
      </c>
      <c r="U123">
        <f>IF(ISNUMBER(SEARCH('1Př1'!$A$33,N123)),MAX($M$2:M122)+1,0)</f>
        <v>121</v>
      </c>
      <c r="V123" s="290" t="s">
        <v>1159</v>
      </c>
      <c r="W123" t="str">
        <f>IFERROR(VLOOKUP(ROWS($W$3:W123),$U$3:$V$718,2,0),"")</f>
        <v>Pěstování obilovin (kromě rýže), luštěnin a olejnatých semen</v>
      </c>
      <c r="X123">
        <f>IF(ISNUMBER(SEARCH('1Př1'!$A$34,N123)),MAX($M$2:M122)+1,0)</f>
        <v>121</v>
      </c>
      <c r="Y123" s="290" t="s">
        <v>1159</v>
      </c>
      <c r="Z123" t="str">
        <f>IFERROR(VLOOKUP(ROWS($Z$3:Z123),$X$3:$Y$718,2,0),"")</f>
        <v>Pěstování obilovin (kromě rýže), luštěnin a olejnatých semen</v>
      </c>
    </row>
    <row r="124" spans="1:26" ht="12.75" customHeight="1">
      <c r="A124" s="266"/>
      <c r="B124" s="266"/>
      <c r="C124" s="266"/>
      <c r="D124" s="282">
        <f>IF(ISNUMBER(SEARCH(ZAKL_DATA!$B$14,E124)),MAX($D$2:D123)+1,0)</f>
        <v>122</v>
      </c>
      <c r="E124" s="294" t="s">
        <v>1160</v>
      </c>
      <c r="F124" s="295">
        <v>2806</v>
      </c>
      <c r="G124" s="296"/>
      <c r="H124" s="297" t="str">
        <f>IFERROR(VLOOKUP(ROWS($H$3:H124),$D$3:$E$204,2,0),"")</f>
        <v>MORAVSKÁ TŘEBOVÁ</v>
      </c>
      <c r="I124" s="266"/>
      <c r="J124" s="304" t="s">
        <v>1161</v>
      </c>
      <c r="K124" s="305" t="s">
        <v>1162</v>
      </c>
      <c r="M124" s="289">
        <f>IF(ISNUMBER(SEARCH(ZAKL_DATA!$B$29,N124)),MAX($M$2:M123)+1,0)</f>
        <v>122</v>
      </c>
      <c r="N124" s="482" t="s">
        <v>1659</v>
      </c>
      <c r="O124" s="482" t="s">
        <v>2761</v>
      </c>
      <c r="Q124" s="291" t="str">
        <f>IFERROR(VLOOKUP(ROWS($Q$3:Q124),$M$3:$N$718,2,0),"")</f>
        <v>Letecká osobní doprava</v>
      </c>
      <c r="R124">
        <f>IF(ISNUMBER(SEARCH('1Př1'!$A$32,N124)),MAX($M$2:M123)+1,0)</f>
        <v>122</v>
      </c>
      <c r="S124" s="290" t="s">
        <v>1163</v>
      </c>
      <c r="T124" t="str">
        <f>IFERROR(VLOOKUP(ROWS($T$3:T124),$R$3:$S$718,2,0),"")</f>
        <v>Pěstování rýže</v>
      </c>
      <c r="U124">
        <f>IF(ISNUMBER(SEARCH('1Př1'!$A$33,N124)),MAX($M$2:M123)+1,0)</f>
        <v>122</v>
      </c>
      <c r="V124" s="290" t="s">
        <v>1163</v>
      </c>
      <c r="W124" t="str">
        <f>IFERROR(VLOOKUP(ROWS($W$3:W124),$U$3:$V$718,2,0),"")</f>
        <v>Pěstování rýže</v>
      </c>
      <c r="X124">
        <f>IF(ISNUMBER(SEARCH('1Př1'!$A$34,N124)),MAX($M$2:M123)+1,0)</f>
        <v>122</v>
      </c>
      <c r="Y124" s="290" t="s">
        <v>1163</v>
      </c>
      <c r="Z124" t="str">
        <f>IFERROR(VLOOKUP(ROWS($Z$3:Z124),$X$3:$Y$718,2,0),"")</f>
        <v>Pěstování rýže</v>
      </c>
    </row>
    <row r="125" spans="1:26" ht="12.75" customHeight="1">
      <c r="A125" s="266"/>
      <c r="B125" s="266"/>
      <c r="C125" s="266"/>
      <c r="D125" s="282">
        <f>IF(ISNUMBER(SEARCH(ZAKL_DATA!$B$14,E125)),MAX($D$2:D124)+1,0)</f>
        <v>123</v>
      </c>
      <c r="E125" s="294" t="s">
        <v>1164</v>
      </c>
      <c r="F125" s="295">
        <v>2807</v>
      </c>
      <c r="G125" s="296"/>
      <c r="H125" s="297" t="str">
        <f>IFERROR(VLOOKUP(ROWS($H$3:H125),$D$3:$E$204,2,0),"")</f>
        <v>PŘELOUČ</v>
      </c>
      <c r="I125" s="266"/>
      <c r="J125" s="299" t="s">
        <v>1165</v>
      </c>
      <c r="K125" s="288" t="s">
        <v>1166</v>
      </c>
      <c r="M125" s="289">
        <f>IF(ISNUMBER(SEARCH(ZAKL_DATA!$B$29,N125)),MAX($M$2:M124)+1,0)</f>
        <v>123</v>
      </c>
      <c r="N125" s="482" t="s">
        <v>2762</v>
      </c>
      <c r="O125" s="482" t="s">
        <v>2763</v>
      </c>
      <c r="Q125" s="291" t="str">
        <f>IFERROR(VLOOKUP(ROWS($Q$3:Q125),$M$3:$N$718,2,0),"")</f>
        <v>Literární tvorba</v>
      </c>
      <c r="R125">
        <f>IF(ISNUMBER(SEARCH('1Př1'!$A$32,N125)),MAX($M$2:M124)+1,0)</f>
        <v>123</v>
      </c>
      <c r="S125" s="290" t="s">
        <v>1167</v>
      </c>
      <c r="T125" t="str">
        <f>IFERROR(VLOOKUP(ROWS($T$3:T125),$R$3:$S$718,2,0),"")</f>
        <v>Pěstování zeleniny a melounů, kořenů a hlíz</v>
      </c>
      <c r="U125">
        <f>IF(ISNUMBER(SEARCH('1Př1'!$A$33,N125)),MAX($M$2:M124)+1,0)</f>
        <v>123</v>
      </c>
      <c r="V125" s="290" t="s">
        <v>1167</v>
      </c>
      <c r="W125" t="str">
        <f>IFERROR(VLOOKUP(ROWS($W$3:W125),$U$3:$V$718,2,0),"")</f>
        <v>Pěstování zeleniny a melounů, kořenů a hlíz</v>
      </c>
      <c r="X125">
        <f>IF(ISNUMBER(SEARCH('1Př1'!$A$34,N125)),MAX($M$2:M124)+1,0)</f>
        <v>123</v>
      </c>
      <c r="Y125" s="290" t="s">
        <v>1167</v>
      </c>
      <c r="Z125" t="str">
        <f>IFERROR(VLOOKUP(ROWS($Z$3:Z125),$X$3:$Y$718,2,0),"")</f>
        <v>Pěstování zeleniny a melounů, kořenů a hlíz</v>
      </c>
    </row>
    <row r="126" spans="1:26" ht="12.75" customHeight="1">
      <c r="A126" s="266"/>
      <c r="B126" s="266"/>
      <c r="C126" s="266"/>
      <c r="D126" s="282">
        <f>IF(ISNUMBER(SEARCH(ZAKL_DATA!$B$14,E126)),MAX($D$2:D125)+1,0)</f>
        <v>124</v>
      </c>
      <c r="E126" s="294" t="s">
        <v>1168</v>
      </c>
      <c r="F126" s="295">
        <v>2808</v>
      </c>
      <c r="G126" s="296"/>
      <c r="H126" s="297" t="str">
        <f>IFERROR(VLOOKUP(ROWS($H$3:H126),$D$3:$E$204,2,0),"")</f>
        <v>SVITAVY</v>
      </c>
      <c r="I126" s="266"/>
      <c r="J126" s="299" t="s">
        <v>1169</v>
      </c>
      <c r="K126" s="288" t="s">
        <v>1170</v>
      </c>
      <c r="M126" s="289">
        <f>IF(ISNUMBER(SEARCH(ZAKL_DATA!$B$29,N126)),MAX($M$2:M125)+1,0)</f>
        <v>124</v>
      </c>
      <c r="N126" s="482" t="s">
        <v>2764</v>
      </c>
      <c r="O126" s="482" t="s">
        <v>2765</v>
      </c>
      <c r="Q126" s="291" t="str">
        <f>IFERROR(VLOOKUP(ROWS($Q$3:Q126),$M$3:$N$718,2,0),"")</f>
        <v>Logistické činnosti</v>
      </c>
      <c r="R126">
        <f>IF(ISNUMBER(SEARCH('1Př1'!$A$32,N126)),MAX($M$2:M125)+1,0)</f>
        <v>124</v>
      </c>
      <c r="S126" s="290" t="s">
        <v>1171</v>
      </c>
      <c r="T126" t="str">
        <f>IFERROR(VLOOKUP(ROWS($T$3:T126),$R$3:$S$718,2,0),"")</f>
        <v>Pěstování tabáku</v>
      </c>
      <c r="U126">
        <f>IF(ISNUMBER(SEARCH('1Př1'!$A$33,N126)),MAX($M$2:M125)+1,0)</f>
        <v>124</v>
      </c>
      <c r="V126" s="290" t="s">
        <v>1171</v>
      </c>
      <c r="W126" t="str">
        <f>IFERROR(VLOOKUP(ROWS($W$3:W126),$U$3:$V$718,2,0),"")</f>
        <v>Pěstování tabáku</v>
      </c>
      <c r="X126">
        <f>IF(ISNUMBER(SEARCH('1Př1'!$A$34,N126)),MAX($M$2:M125)+1,0)</f>
        <v>124</v>
      </c>
      <c r="Y126" s="290" t="s">
        <v>1171</v>
      </c>
      <c r="Z126" t="str">
        <f>IFERROR(VLOOKUP(ROWS($Z$3:Z126),$X$3:$Y$718,2,0),"")</f>
        <v>Pěstování tabáku</v>
      </c>
    </row>
    <row r="127" spans="1:26" ht="12.75" customHeight="1">
      <c r="A127" s="266"/>
      <c r="B127" s="266"/>
      <c r="C127" s="266"/>
      <c r="D127" s="282">
        <f>IF(ISNUMBER(SEARCH(ZAKL_DATA!$B$14,E127)),MAX($D$2:D126)+1,0)</f>
        <v>125</v>
      </c>
      <c r="E127" s="294" t="s">
        <v>1172</v>
      </c>
      <c r="F127" s="295">
        <v>2809</v>
      </c>
      <c r="G127" s="296"/>
      <c r="H127" s="297" t="str">
        <f>IFERROR(VLOOKUP(ROWS($H$3:H127),$D$3:$E$204,2,0),"")</f>
        <v>ÚSTÍ NAD ORLICÍ</v>
      </c>
      <c r="I127" s="266"/>
      <c r="J127" s="299" t="s">
        <v>1173</v>
      </c>
      <c r="K127" s="288" t="s">
        <v>1174</v>
      </c>
      <c r="M127" s="289">
        <f>IF(ISNUMBER(SEARCH(ZAKL_DATA!$B$29,N127)),MAX($M$2:M126)+1,0)</f>
        <v>125</v>
      </c>
      <c r="N127" s="482" t="s">
        <v>769</v>
      </c>
      <c r="O127" s="482" t="s">
        <v>2766</v>
      </c>
      <c r="Q127" s="291" t="str">
        <f>IFERROR(VLOOKUP(ROWS($Q$3:Q127),$M$3:$N$718,2,0),"")</f>
        <v>Lov a odchyt divokých zvířat a související činnosti</v>
      </c>
      <c r="R127">
        <f>IF(ISNUMBER(SEARCH('1Př1'!$A$32,N127)),MAX($M$2:M126)+1,0)</f>
        <v>125</v>
      </c>
      <c r="S127" s="290" t="s">
        <v>1175</v>
      </c>
      <c r="T127" t="str">
        <f>IFERROR(VLOOKUP(ROWS($T$3:T127),$R$3:$S$718,2,0),"")</f>
        <v>Pěstování přadných rostlin</v>
      </c>
      <c r="U127">
        <f>IF(ISNUMBER(SEARCH('1Př1'!$A$33,N127)),MAX($M$2:M126)+1,0)</f>
        <v>125</v>
      </c>
      <c r="V127" s="290" t="s">
        <v>1175</v>
      </c>
      <c r="W127" t="str">
        <f>IFERROR(VLOOKUP(ROWS($W$3:W127),$U$3:$V$718,2,0),"")</f>
        <v>Pěstování přadných rostlin</v>
      </c>
      <c r="X127">
        <f>IF(ISNUMBER(SEARCH('1Př1'!$A$34,N127)),MAX($M$2:M126)+1,0)</f>
        <v>125</v>
      </c>
      <c r="Y127" s="290" t="s">
        <v>1175</v>
      </c>
      <c r="Z127" t="str">
        <f>IFERROR(VLOOKUP(ROWS($Z$3:Z127),$X$3:$Y$718,2,0),"")</f>
        <v>Pěstování přadných rostlin</v>
      </c>
    </row>
    <row r="128" spans="1:26" ht="12.75" customHeight="1">
      <c r="A128" s="266"/>
      <c r="B128" s="266"/>
      <c r="C128" s="266"/>
      <c r="D128" s="282">
        <f>IF(ISNUMBER(SEARCH(ZAKL_DATA!$B$14,E128)),MAX($D$2:D127)+1,0)</f>
        <v>126</v>
      </c>
      <c r="E128" s="294" t="s">
        <v>1176</v>
      </c>
      <c r="F128" s="295">
        <v>2810</v>
      </c>
      <c r="G128" s="296"/>
      <c r="H128" s="297" t="str">
        <f>IFERROR(VLOOKUP(ROWS($H$3:H128),$D$3:$E$204,2,0),"")</f>
        <v>VYSOKÉ MÝTO</v>
      </c>
      <c r="I128" s="266"/>
      <c r="J128" s="299" t="s">
        <v>1177</v>
      </c>
      <c r="K128" s="288" t="s">
        <v>1178</v>
      </c>
      <c r="M128" s="289">
        <f>IF(ISNUMBER(SEARCH(ZAKL_DATA!$B$29,N128)),MAX($M$2:M127)+1,0)</f>
        <v>126</v>
      </c>
      <c r="N128" s="482" t="s">
        <v>2767</v>
      </c>
      <c r="O128" s="482" t="s">
        <v>2768</v>
      </c>
      <c r="Q128" s="291" t="str">
        <f>IFERROR(VLOOKUP(ROWS($Q$3:Q128),$M$3:$N$718,2,0),"")</f>
        <v>Lůžková zdravotní péče</v>
      </c>
      <c r="R128">
        <f>IF(ISNUMBER(SEARCH('1Př1'!$A$32,N128)),MAX($M$2:M127)+1,0)</f>
        <v>126</v>
      </c>
      <c r="S128" s="290" t="s">
        <v>1179</v>
      </c>
      <c r="T128" t="str">
        <f>IFERROR(VLOOKUP(ROWS($T$3:T128),$R$3:$S$718,2,0),"")</f>
        <v>Pěstování ostatních plodin jiných než trvalých</v>
      </c>
      <c r="U128">
        <f>IF(ISNUMBER(SEARCH('1Př1'!$A$33,N128)),MAX($M$2:M127)+1,0)</f>
        <v>126</v>
      </c>
      <c r="V128" s="290" t="s">
        <v>1179</v>
      </c>
      <c r="W128" t="str">
        <f>IFERROR(VLOOKUP(ROWS($W$3:W128),$U$3:$V$718,2,0),"")</f>
        <v>Pěstování ostatních plodin jiných než trvalých</v>
      </c>
      <c r="X128">
        <f>IF(ISNUMBER(SEARCH('1Př1'!$A$34,N128)),MAX($M$2:M127)+1,0)</f>
        <v>126</v>
      </c>
      <c r="Y128" s="290" t="s">
        <v>1179</v>
      </c>
      <c r="Z128" t="str">
        <f>IFERROR(VLOOKUP(ROWS($Z$3:Z128),$X$3:$Y$718,2,0),"")</f>
        <v>Pěstování ostatních plodin jiných než trvalých</v>
      </c>
    </row>
    <row r="129" spans="1:26" ht="12.75" customHeight="1">
      <c r="A129" s="266"/>
      <c r="B129" s="266"/>
      <c r="C129" s="266"/>
      <c r="D129" s="282">
        <f>IF(ISNUMBER(SEARCH(ZAKL_DATA!$B$14,E129)),MAX($D$2:D128)+1,0)</f>
        <v>127</v>
      </c>
      <c r="E129" s="294" t="s">
        <v>1180</v>
      </c>
      <c r="F129" s="295">
        <v>2811</v>
      </c>
      <c r="G129" s="296"/>
      <c r="H129" s="297" t="str">
        <f>IFERROR(VLOOKUP(ROWS($H$3:H129),$D$3:$E$204,2,0),"")</f>
        <v>ŽAMBERK</v>
      </c>
      <c r="I129" s="266"/>
      <c r="J129" s="299" t="s">
        <v>1181</v>
      </c>
      <c r="K129" s="288" t="s">
        <v>1182</v>
      </c>
      <c r="M129" s="289">
        <f>IF(ISNUMBER(SEARCH(ZAKL_DATA!$B$29,N129)),MAX($M$2:M128)+1,0)</f>
        <v>127</v>
      </c>
      <c r="N129" s="482" t="s">
        <v>2769</v>
      </c>
      <c r="O129" s="482" t="s">
        <v>2770</v>
      </c>
      <c r="Q129" s="291" t="str">
        <f>IFERROR(VLOOKUP(ROWS($Q$3:Q129),$M$3:$N$718,2,0),"")</f>
        <v>Maloobchod s díly a příslušenstvím pro motorová vozidla</v>
      </c>
      <c r="R129">
        <f>IF(ISNUMBER(SEARCH('1Př1'!$A$32,N129)),MAX($M$2:M128)+1,0)</f>
        <v>127</v>
      </c>
      <c r="S129" s="290" t="s">
        <v>1183</v>
      </c>
      <c r="T129" t="str">
        <f>IFERROR(VLOOKUP(ROWS($T$3:T129),$R$3:$S$718,2,0),"")</f>
        <v>Pěstování vinných hroznů</v>
      </c>
      <c r="U129">
        <f>IF(ISNUMBER(SEARCH('1Př1'!$A$33,N129)),MAX($M$2:M128)+1,0)</f>
        <v>127</v>
      </c>
      <c r="V129" s="290" t="s">
        <v>1183</v>
      </c>
      <c r="W129" t="str">
        <f>IFERROR(VLOOKUP(ROWS($W$3:W129),$U$3:$V$718,2,0),"")</f>
        <v>Pěstování vinných hroznů</v>
      </c>
      <c r="X129">
        <f>IF(ISNUMBER(SEARCH('1Př1'!$A$34,N129)),MAX($M$2:M128)+1,0)</f>
        <v>127</v>
      </c>
      <c r="Y129" s="290" t="s">
        <v>1183</v>
      </c>
      <c r="Z129" t="str">
        <f>IFERROR(VLOOKUP(ROWS($Z$3:Z129),$X$3:$Y$718,2,0),"")</f>
        <v>Pěstování vinných hroznů</v>
      </c>
    </row>
    <row r="130" spans="1:26" ht="12.75" customHeight="1">
      <c r="A130" s="266"/>
      <c r="B130" s="266"/>
      <c r="C130" s="266"/>
      <c r="D130" s="282">
        <f>IF(ISNUMBER(SEARCH(ZAKL_DATA!$B$14,E130)),MAX($D$2:D129)+1,0)</f>
        <v>128</v>
      </c>
      <c r="E130" s="294" t="s">
        <v>1184</v>
      </c>
      <c r="F130" s="295">
        <v>2901</v>
      </c>
      <c r="G130" s="296"/>
      <c r="H130" s="297" t="str">
        <f>IFERROR(VLOOKUP(ROWS($H$3:H130),$D$3:$E$204,2,0),"")</f>
        <v>JIHLAVA</v>
      </c>
      <c r="I130" s="266"/>
      <c r="J130" s="299" t="s">
        <v>1185</v>
      </c>
      <c r="K130" s="288" t="s">
        <v>1186</v>
      </c>
      <c r="M130" s="289">
        <f>IF(ISNUMBER(SEARCH(ZAKL_DATA!$B$29,N130)),MAX($M$2:M129)+1,0)</f>
        <v>128</v>
      </c>
      <c r="N130" s="482" t="s">
        <v>2771</v>
      </c>
      <c r="O130" s="482" t="s">
        <v>2772</v>
      </c>
      <c r="Q130" s="291" t="str">
        <f>IFERROR(VLOOKUP(ROWS($Q$3:Q130),$M$3:$N$718,2,0),"")</f>
        <v>Maloobchod s elektrospotřebiči a elektronikou převážně pro domácnost</v>
      </c>
      <c r="R130">
        <f>IF(ISNUMBER(SEARCH('1Př1'!$A$32,N130)),MAX($M$2:M129)+1,0)</f>
        <v>128</v>
      </c>
      <c r="S130" s="290" t="s">
        <v>1187</v>
      </c>
      <c r="T130" t="str">
        <f>IFERROR(VLOOKUP(ROWS($T$3:T130),$R$3:$S$718,2,0),"")</f>
        <v>Pěstování tropického a subtropického ovoce</v>
      </c>
      <c r="U130">
        <f>IF(ISNUMBER(SEARCH('1Př1'!$A$33,N130)),MAX($M$2:M129)+1,0)</f>
        <v>128</v>
      </c>
      <c r="V130" s="290" t="s">
        <v>1187</v>
      </c>
      <c r="W130" t="str">
        <f>IFERROR(VLOOKUP(ROWS($W$3:W130),$U$3:$V$718,2,0),"")</f>
        <v>Pěstování tropického a subtropického ovoce</v>
      </c>
      <c r="X130">
        <f>IF(ISNUMBER(SEARCH('1Př1'!$A$34,N130)),MAX($M$2:M129)+1,0)</f>
        <v>128</v>
      </c>
      <c r="Y130" s="290" t="s">
        <v>1187</v>
      </c>
      <c r="Z130" t="str">
        <f>IFERROR(VLOOKUP(ROWS($Z$3:Z130),$X$3:$Y$718,2,0),"")</f>
        <v>Pěstování tropického a subtropického ovoce</v>
      </c>
    </row>
    <row r="131" spans="1:26" ht="12.75" customHeight="1">
      <c r="A131" s="266"/>
      <c r="B131" s="266"/>
      <c r="C131" s="266"/>
      <c r="D131" s="282">
        <f>IF(ISNUMBER(SEARCH(ZAKL_DATA!$B$14,E131)),MAX($D$2:D130)+1,0)</f>
        <v>129</v>
      </c>
      <c r="E131" s="294" t="s">
        <v>1188</v>
      </c>
      <c r="F131" s="295">
        <v>2902</v>
      </c>
      <c r="G131" s="296"/>
      <c r="H131" s="297" t="str">
        <f>IFERROR(VLOOKUP(ROWS($H$3:H131),$D$3:$E$204,2,0),"")</f>
        <v>BYSTŘICE NAD PERN.</v>
      </c>
      <c r="I131" s="266"/>
      <c r="J131" s="299" t="s">
        <v>1189</v>
      </c>
      <c r="K131" s="288" t="s">
        <v>1190</v>
      </c>
      <c r="M131" s="289">
        <f>IF(ISNUMBER(SEARCH(ZAKL_DATA!$B$29,N131)),MAX($M$2:M130)+1,0)</f>
        <v>129</v>
      </c>
      <c r="N131" s="482" t="s">
        <v>2773</v>
      </c>
      <c r="O131" s="482" t="s">
        <v>2774</v>
      </c>
      <c r="Q131" s="291" t="str">
        <f>IFERROR(VLOOKUP(ROWS($Q$3:Q131),$M$3:$N$718,2,0),"")</f>
        <v>Maloobchod s farmaceutickými výrobky</v>
      </c>
      <c r="R131">
        <f>IF(ISNUMBER(SEARCH('1Př1'!$A$32,N131)),MAX($M$2:M130)+1,0)</f>
        <v>129</v>
      </c>
      <c r="S131" s="290" t="s">
        <v>1191</v>
      </c>
      <c r="T131" t="str">
        <f>IFERROR(VLOOKUP(ROWS($T$3:T131),$R$3:$S$718,2,0),"")</f>
        <v>Pěstování citrusových plodů</v>
      </c>
      <c r="U131">
        <f>IF(ISNUMBER(SEARCH('1Př1'!$A$33,N131)),MAX($M$2:M130)+1,0)</f>
        <v>129</v>
      </c>
      <c r="V131" s="290" t="s">
        <v>1191</v>
      </c>
      <c r="W131" t="str">
        <f>IFERROR(VLOOKUP(ROWS($W$3:W131),$U$3:$V$718,2,0),"")</f>
        <v>Pěstování citrusových plodů</v>
      </c>
      <c r="X131">
        <f>IF(ISNUMBER(SEARCH('1Př1'!$A$34,N131)),MAX($M$2:M130)+1,0)</f>
        <v>129</v>
      </c>
      <c r="Y131" s="290" t="s">
        <v>1191</v>
      </c>
      <c r="Z131" t="str">
        <f>IFERROR(VLOOKUP(ROWS($Z$3:Z131),$X$3:$Y$718,2,0),"")</f>
        <v>Pěstování citrusových plodů</v>
      </c>
    </row>
    <row r="132" spans="1:26" ht="12.75" customHeight="1">
      <c r="A132" s="266"/>
      <c r="B132" s="266"/>
      <c r="C132" s="266"/>
      <c r="D132" s="282">
        <f>IF(ISNUMBER(SEARCH(ZAKL_DATA!$B$14,E132)),MAX($D$2:D131)+1,0)</f>
        <v>130</v>
      </c>
      <c r="E132" s="294" t="s">
        <v>1192</v>
      </c>
      <c r="F132" s="295">
        <v>2903</v>
      </c>
      <c r="G132" s="296"/>
      <c r="H132" s="297" t="str">
        <f>IFERROR(VLOOKUP(ROWS($H$3:H132),$D$3:$E$204,2,0),"")</f>
        <v>HAVLÍČKŮV BROD</v>
      </c>
      <c r="I132" s="266"/>
      <c r="J132" s="299" t="s">
        <v>1193</v>
      </c>
      <c r="K132" s="288" t="s">
        <v>1194</v>
      </c>
      <c r="M132" s="289">
        <f>IF(ISNUMBER(SEARCH(ZAKL_DATA!$B$29,N132)),MAX($M$2:M131)+1,0)</f>
        <v>130</v>
      </c>
      <c r="N132" s="482" t="s">
        <v>2069</v>
      </c>
      <c r="O132" s="482" t="s">
        <v>2775</v>
      </c>
      <c r="Q132" s="291" t="str">
        <f>IFERROR(VLOOKUP(ROWS($Q$3:Q132),$M$3:$N$718,2,0),"")</f>
        <v>Maloobchod s hodinami, hodinkami a klenoty</v>
      </c>
      <c r="R132">
        <f>IF(ISNUMBER(SEARCH('1Př1'!$A$32,N132)),MAX($M$2:M131)+1,0)</f>
        <v>130</v>
      </c>
      <c r="S132" s="290" t="s">
        <v>1195</v>
      </c>
      <c r="T132" t="str">
        <f>IFERROR(VLOOKUP(ROWS($T$3:T132),$R$3:$S$718,2,0),"")</f>
        <v>Pěstování jádrového a peckového ovoce</v>
      </c>
      <c r="U132">
        <f>IF(ISNUMBER(SEARCH('1Př1'!$A$33,N132)),MAX($M$2:M131)+1,0)</f>
        <v>130</v>
      </c>
      <c r="V132" s="290" t="s">
        <v>1195</v>
      </c>
      <c r="W132" t="str">
        <f>IFERROR(VLOOKUP(ROWS($W$3:W132),$U$3:$V$718,2,0),"")</f>
        <v>Pěstování jádrového a peckového ovoce</v>
      </c>
      <c r="X132">
        <f>IF(ISNUMBER(SEARCH('1Př1'!$A$34,N132)),MAX($M$2:M131)+1,0)</f>
        <v>130</v>
      </c>
      <c r="Y132" s="290" t="s">
        <v>1195</v>
      </c>
      <c r="Z132" t="str">
        <f>IFERROR(VLOOKUP(ROWS($Z$3:Z132),$X$3:$Y$718,2,0),"")</f>
        <v>Pěstování jádrového a peckového ovoce</v>
      </c>
    </row>
    <row r="133" spans="1:26" ht="12.75" customHeight="1">
      <c r="A133" s="266"/>
      <c r="B133" s="266"/>
      <c r="C133" s="266"/>
      <c r="D133" s="282">
        <f>IF(ISNUMBER(SEARCH(ZAKL_DATA!$B$14,E133)),MAX($D$2:D132)+1,0)</f>
        <v>131</v>
      </c>
      <c r="E133" s="294" t="s">
        <v>1196</v>
      </c>
      <c r="F133" s="295">
        <v>2904</v>
      </c>
      <c r="G133" s="296"/>
      <c r="H133" s="297" t="str">
        <f>IFERROR(VLOOKUP(ROWS($H$3:H133),$D$3:$E$204,2,0),"")</f>
        <v>HUMPOLEC</v>
      </c>
      <c r="I133" s="266"/>
      <c r="J133" s="302" t="s">
        <v>1197</v>
      </c>
      <c r="K133" s="303" t="s">
        <v>1198</v>
      </c>
      <c r="M133" s="289">
        <f>IF(ISNUMBER(SEARCH(ZAKL_DATA!$B$29,N133)),MAX($M$2:M132)+1,0)</f>
        <v>131</v>
      </c>
      <c r="N133" s="482" t="s">
        <v>2062</v>
      </c>
      <c r="O133" s="482" t="s">
        <v>2776</v>
      </c>
      <c r="Q133" s="291" t="str">
        <f>IFERROR(VLOOKUP(ROWS($Q$3:Q133),$M$3:$N$718,2,0),"")</f>
        <v>Maloobchod s hrami a hračkami</v>
      </c>
      <c r="R133">
        <f>IF(ISNUMBER(SEARCH('1Př1'!$A$32,N133)),MAX($M$2:M132)+1,0)</f>
        <v>131</v>
      </c>
      <c r="S133" s="290" t="s">
        <v>1199</v>
      </c>
      <c r="T133" t="str">
        <f>IFERROR(VLOOKUP(ROWS($T$3:T133),$R$3:$S$718,2,0),"")</f>
        <v>Pěstování ostatního stromového a keřového ovoce a ořechů</v>
      </c>
      <c r="U133">
        <f>IF(ISNUMBER(SEARCH('1Př1'!$A$33,N133)),MAX($M$2:M132)+1,0)</f>
        <v>131</v>
      </c>
      <c r="V133" s="290" t="s">
        <v>1199</v>
      </c>
      <c r="W133" t="str">
        <f>IFERROR(VLOOKUP(ROWS($W$3:W133),$U$3:$V$718,2,0),"")</f>
        <v>Pěstování ostatního stromového a keřového ovoce a ořechů</v>
      </c>
      <c r="X133">
        <f>IF(ISNUMBER(SEARCH('1Př1'!$A$34,N133)),MAX($M$2:M132)+1,0)</f>
        <v>131</v>
      </c>
      <c r="Y133" s="290" t="s">
        <v>1199</v>
      </c>
      <c r="Z133" t="str">
        <f>IFERROR(VLOOKUP(ROWS($Z$3:Z133),$X$3:$Y$718,2,0),"")</f>
        <v>Pěstování ostatního stromového a keřového ovoce a ořechů</v>
      </c>
    </row>
    <row r="134" spans="1:26" ht="12.75" customHeight="1">
      <c r="A134" s="266"/>
      <c r="B134" s="266"/>
      <c r="C134" s="266"/>
      <c r="D134" s="282">
        <f>IF(ISNUMBER(SEARCH(ZAKL_DATA!$B$14,E134)),MAX($D$2:D133)+1,0)</f>
        <v>132</v>
      </c>
      <c r="E134" s="294" t="s">
        <v>1200</v>
      </c>
      <c r="F134" s="295">
        <v>2905</v>
      </c>
      <c r="G134" s="296"/>
      <c r="H134" s="297" t="str">
        <f>IFERROR(VLOOKUP(ROWS($H$3:H134),$D$3:$E$204,2,0),"")</f>
        <v>CHOTĚBOŘ</v>
      </c>
      <c r="I134" s="266"/>
      <c r="J134" s="299" t="s">
        <v>1201</v>
      </c>
      <c r="K134" s="288" t="s">
        <v>1202</v>
      </c>
      <c r="M134" s="289">
        <f>IF(ISNUMBER(SEARCH(ZAKL_DATA!$B$29,N134)),MAX($M$2:M133)+1,0)</f>
        <v>132</v>
      </c>
      <c r="N134" s="482" t="s">
        <v>2058</v>
      </c>
      <c r="O134" s="482" t="s">
        <v>2777</v>
      </c>
      <c r="Q134" s="291" t="str">
        <f>IFERROR(VLOOKUP(ROWS($Q$3:Q134),$M$3:$N$718,2,0),"")</f>
        <v>Maloobchod s knihami</v>
      </c>
      <c r="R134">
        <f>IF(ISNUMBER(SEARCH('1Př1'!$A$32,N134)),MAX($M$2:M133)+1,0)</f>
        <v>132</v>
      </c>
      <c r="S134" s="290" t="s">
        <v>1203</v>
      </c>
      <c r="T134" t="str">
        <f>IFERROR(VLOOKUP(ROWS($T$3:T134),$R$3:$S$718,2,0),"")</f>
        <v>Pěstování olejnatých plodů</v>
      </c>
      <c r="U134">
        <f>IF(ISNUMBER(SEARCH('1Př1'!$A$33,N134)),MAX($M$2:M133)+1,0)</f>
        <v>132</v>
      </c>
      <c r="V134" s="290" t="s">
        <v>1203</v>
      </c>
      <c r="W134" t="str">
        <f>IFERROR(VLOOKUP(ROWS($W$3:W134),$U$3:$V$718,2,0),"")</f>
        <v>Pěstování olejnatých plodů</v>
      </c>
      <c r="X134">
        <f>IF(ISNUMBER(SEARCH('1Př1'!$A$34,N134)),MAX($M$2:M133)+1,0)</f>
        <v>132</v>
      </c>
      <c r="Y134" s="290" t="s">
        <v>1203</v>
      </c>
      <c r="Z134" t="str">
        <f>IFERROR(VLOOKUP(ROWS($Z$3:Z134),$X$3:$Y$718,2,0),"")</f>
        <v>Pěstování olejnatých plodů</v>
      </c>
    </row>
    <row r="135" spans="1:26" ht="12.75" customHeight="1">
      <c r="A135" s="266"/>
      <c r="B135" s="266"/>
      <c r="C135" s="266"/>
      <c r="D135" s="282">
        <f>IF(ISNUMBER(SEARCH(ZAKL_DATA!$B$14,E135)),MAX($D$2:D134)+1,0)</f>
        <v>133</v>
      </c>
      <c r="E135" s="294" t="s">
        <v>1204</v>
      </c>
      <c r="F135" s="295">
        <v>2906</v>
      </c>
      <c r="G135" s="296"/>
      <c r="H135" s="297" t="str">
        <f>IFERROR(VLOOKUP(ROWS($H$3:H135),$D$3:$E$204,2,0),"")</f>
        <v>LEDEČ NAD SÁZAVOU</v>
      </c>
      <c r="I135" s="266"/>
      <c r="J135" s="298" t="s">
        <v>1205</v>
      </c>
      <c r="K135" s="288" t="s">
        <v>1206</v>
      </c>
      <c r="M135" s="289">
        <f>IF(ISNUMBER(SEARCH(ZAKL_DATA!$B$29,N135)),MAX($M$2:M134)+1,0)</f>
        <v>133</v>
      </c>
      <c r="N135" s="482" t="s">
        <v>2055</v>
      </c>
      <c r="O135" s="482" t="s">
        <v>2778</v>
      </c>
      <c r="Q135" s="291" t="str">
        <f>IFERROR(VLOOKUP(ROWS($Q$3:Q135),$M$3:$N$718,2,0),"")</f>
        <v>Maloobchod s koberci, podlahovými krytinami a nástěnnými obklady</v>
      </c>
      <c r="R135">
        <f>IF(ISNUMBER(SEARCH('1Př1'!$A$32,N135)),MAX($M$2:M134)+1,0)</f>
        <v>133</v>
      </c>
      <c r="S135" s="290" t="s">
        <v>1207</v>
      </c>
      <c r="T135" t="str">
        <f>IFERROR(VLOOKUP(ROWS($T$3:T135),$R$3:$S$718,2,0),"")</f>
        <v>Pěstování rostlin pro výrobu nápojů</v>
      </c>
      <c r="U135">
        <f>IF(ISNUMBER(SEARCH('1Př1'!$A$33,N135)),MAX($M$2:M134)+1,0)</f>
        <v>133</v>
      </c>
      <c r="V135" s="290" t="s">
        <v>1207</v>
      </c>
      <c r="W135" t="str">
        <f>IFERROR(VLOOKUP(ROWS($W$3:W135),$U$3:$V$718,2,0),"")</f>
        <v>Pěstování rostlin pro výrobu nápojů</v>
      </c>
      <c r="X135">
        <f>IF(ISNUMBER(SEARCH('1Př1'!$A$34,N135)),MAX($M$2:M134)+1,0)</f>
        <v>133</v>
      </c>
      <c r="Y135" s="290" t="s">
        <v>1207</v>
      </c>
      <c r="Z135" t="str">
        <f>IFERROR(VLOOKUP(ROWS($Z$3:Z135),$X$3:$Y$718,2,0),"")</f>
        <v>Pěstování rostlin pro výrobu nápojů</v>
      </c>
    </row>
    <row r="136" spans="1:26" ht="12.75" customHeight="1">
      <c r="A136" s="266"/>
      <c r="B136" s="266"/>
      <c r="C136" s="266"/>
      <c r="D136" s="282">
        <f>IF(ISNUMBER(SEARCH(ZAKL_DATA!$B$14,E136)),MAX($D$2:D135)+1,0)</f>
        <v>134</v>
      </c>
      <c r="E136" s="294" t="s">
        <v>1208</v>
      </c>
      <c r="F136" s="295">
        <v>2907</v>
      </c>
      <c r="G136" s="296"/>
      <c r="H136" s="297" t="str">
        <f>IFERROR(VLOOKUP(ROWS($H$3:H136),$D$3:$E$204,2,0),"")</f>
        <v>MORAVSKÉ BUDĚJOVICE</v>
      </c>
      <c r="I136" s="266"/>
      <c r="J136" s="299" t="s">
        <v>1209</v>
      </c>
      <c r="K136" s="288" t="s">
        <v>1210</v>
      </c>
      <c r="M136" s="289">
        <f>IF(ISNUMBER(SEARCH(ZAKL_DATA!$B$29,N136)),MAX($M$2:M135)+1,0)</f>
        <v>134</v>
      </c>
      <c r="N136" s="482" t="s">
        <v>2067</v>
      </c>
      <c r="O136" s="482" t="s">
        <v>2779</v>
      </c>
      <c r="Q136" s="291" t="str">
        <f>IFERROR(VLOOKUP(ROWS($Q$3:Q136),$M$3:$N$718,2,0),"")</f>
        <v>Maloobchod s kosmetickými a toaletními výrobky</v>
      </c>
      <c r="R136">
        <f>IF(ISNUMBER(SEARCH('1Př1'!$A$32,N136)),MAX($M$2:M135)+1,0)</f>
        <v>134</v>
      </c>
      <c r="S136" s="290" t="s">
        <v>1211</v>
      </c>
      <c r="T136" t="str">
        <f>IFERROR(VLOOKUP(ROWS($T$3:T136),$R$3:$S$718,2,0),"")</f>
        <v>Pěstování koření, aromatických, léčivých a farmaceutických rostlin</v>
      </c>
      <c r="U136">
        <f>IF(ISNUMBER(SEARCH('1Př1'!$A$33,N136)),MAX($M$2:M135)+1,0)</f>
        <v>134</v>
      </c>
      <c r="V136" s="290" t="s">
        <v>1211</v>
      </c>
      <c r="W136" t="str">
        <f>IFERROR(VLOOKUP(ROWS($W$3:W136),$U$3:$V$718,2,0),"")</f>
        <v>Pěstování koření, aromatických, léčivých a farmaceutických rostlin</v>
      </c>
      <c r="X136">
        <f>IF(ISNUMBER(SEARCH('1Př1'!$A$34,N136)),MAX($M$2:M135)+1,0)</f>
        <v>134</v>
      </c>
      <c r="Y136" s="290" t="s">
        <v>1211</v>
      </c>
      <c r="Z136" t="str">
        <f>IFERROR(VLOOKUP(ROWS($Z$3:Z136),$X$3:$Y$718,2,0),"")</f>
        <v>Pěstování koření, aromatických, léčivých a farmaceutických rostlin</v>
      </c>
    </row>
    <row r="137" spans="1:26" ht="12.75" customHeight="1">
      <c r="A137" s="266"/>
      <c r="B137" s="266"/>
      <c r="C137" s="266"/>
      <c r="D137" s="282">
        <f>IF(ISNUMBER(SEARCH(ZAKL_DATA!$B$14,E137)),MAX($D$2:D136)+1,0)</f>
        <v>135</v>
      </c>
      <c r="E137" s="294" t="s">
        <v>1212</v>
      </c>
      <c r="F137" s="295">
        <v>2908</v>
      </c>
      <c r="G137" s="296"/>
      <c r="H137" s="297" t="str">
        <f>IFERROR(VLOOKUP(ROWS($H$3:H137),$D$3:$E$204,2,0),"")</f>
        <v>NÁMĚŠŤ NAD OSLAVOU</v>
      </c>
      <c r="I137" s="266"/>
      <c r="J137" s="299" t="s">
        <v>1213</v>
      </c>
      <c r="K137" s="288" t="s">
        <v>1214</v>
      </c>
      <c r="M137" s="289">
        <f>IF(ISNUMBER(SEARCH(ZAKL_DATA!$B$29,N137)),MAX($M$2:M136)+1,0)</f>
        <v>135</v>
      </c>
      <c r="N137" s="482" t="s">
        <v>2780</v>
      </c>
      <c r="O137" s="482" t="s">
        <v>2781</v>
      </c>
      <c r="Q137" s="291" t="str">
        <f>IFERROR(VLOOKUP(ROWS($Q$3:Q137),$M$3:$N$718,2,0),"")</f>
        <v>Maloobchod s květinami, rostlinami, hnojivy, zvířaty pro zájmový chov a krmivy pro ně</v>
      </c>
      <c r="R137">
        <f>IF(ISNUMBER(SEARCH('1Př1'!$A$32,N137)),MAX($M$2:M136)+1,0)</f>
        <v>135</v>
      </c>
      <c r="S137" s="290" t="s">
        <v>1215</v>
      </c>
      <c r="T137" t="str">
        <f>IFERROR(VLOOKUP(ROWS($T$3:T137),$R$3:$S$718,2,0),"")</f>
        <v>Pěstování ostatních trvalých plodin</v>
      </c>
      <c r="U137">
        <f>IF(ISNUMBER(SEARCH('1Př1'!$A$33,N137)),MAX($M$2:M136)+1,0)</f>
        <v>135</v>
      </c>
      <c r="V137" s="290" t="s">
        <v>1215</v>
      </c>
      <c r="W137" t="str">
        <f>IFERROR(VLOOKUP(ROWS($W$3:W137),$U$3:$V$718,2,0),"")</f>
        <v>Pěstování ostatních trvalých plodin</v>
      </c>
      <c r="X137">
        <f>IF(ISNUMBER(SEARCH('1Př1'!$A$34,N137)),MAX($M$2:M136)+1,0)</f>
        <v>135</v>
      </c>
      <c r="Y137" s="290" t="s">
        <v>1215</v>
      </c>
      <c r="Z137" t="str">
        <f>IFERROR(VLOOKUP(ROWS($Z$3:Z137),$X$3:$Y$718,2,0),"")</f>
        <v>Pěstování ostatních trvalých plodin</v>
      </c>
    </row>
    <row r="138" spans="1:26" ht="12.75" customHeight="1">
      <c r="A138" s="266"/>
      <c r="B138" s="266"/>
      <c r="C138" s="266"/>
      <c r="D138" s="282">
        <f>IF(ISNUMBER(SEARCH(ZAKL_DATA!$B$14,E138)),MAX($D$2:D137)+1,0)</f>
        <v>136</v>
      </c>
      <c r="E138" s="294" t="s">
        <v>1216</v>
      </c>
      <c r="F138" s="295">
        <v>2909</v>
      </c>
      <c r="G138" s="296"/>
      <c r="H138" s="297" t="str">
        <f>IFERROR(VLOOKUP(ROWS($H$3:H138),$D$3:$E$204,2,0),"")</f>
        <v>PACOV</v>
      </c>
      <c r="I138" s="266"/>
      <c r="J138" s="299" t="s">
        <v>1217</v>
      </c>
      <c r="K138" s="288" t="s">
        <v>1218</v>
      </c>
      <c r="M138" s="289">
        <f>IF(ISNUMBER(SEARCH(ZAKL_DATA!$B$29,N138)),MAX($M$2:M137)+1,0)</f>
        <v>136</v>
      </c>
      <c r="N138" s="482" t="s">
        <v>2044</v>
      </c>
      <c r="O138" s="482" t="s">
        <v>2782</v>
      </c>
      <c r="Q138" s="291" t="str">
        <f>IFERROR(VLOOKUP(ROWS($Q$3:Q138),$M$3:$N$718,2,0),"")</f>
        <v>Maloobchod s masem a masnými výrobky</v>
      </c>
      <c r="R138">
        <f>IF(ISNUMBER(SEARCH('1Př1'!$A$32,N138)),MAX($M$2:M137)+1,0)</f>
        <v>136</v>
      </c>
      <c r="S138" s="290" t="s">
        <v>1219</v>
      </c>
      <c r="T138" t="str">
        <f>IFERROR(VLOOKUP(ROWS($T$3:T138),$R$3:$S$718,2,0),"")</f>
        <v>Úprava a spřádání textilních vláken a příze</v>
      </c>
      <c r="U138">
        <f>IF(ISNUMBER(SEARCH('1Př1'!$A$33,N138)),MAX($M$2:M137)+1,0)</f>
        <v>136</v>
      </c>
      <c r="V138" s="290" t="s">
        <v>1219</v>
      </c>
      <c r="W138" t="str">
        <f>IFERROR(VLOOKUP(ROWS($W$3:W138),$U$3:$V$718,2,0),"")</f>
        <v>Úprava a spřádání textilních vláken a příze</v>
      </c>
      <c r="X138">
        <f>IF(ISNUMBER(SEARCH('1Př1'!$A$34,N138)),MAX($M$2:M137)+1,0)</f>
        <v>136</v>
      </c>
      <c r="Y138" s="290" t="s">
        <v>1219</v>
      </c>
      <c r="Z138" t="str">
        <f>IFERROR(VLOOKUP(ROWS($Z$3:Z138),$X$3:$Y$718,2,0),"")</f>
        <v>Úprava a spřádání textilních vláken a příze</v>
      </c>
    </row>
    <row r="139" spans="1:26" ht="12.75" customHeight="1">
      <c r="A139" s="266"/>
      <c r="B139" s="266"/>
      <c r="C139" s="266"/>
      <c r="D139" s="282">
        <f>IF(ISNUMBER(SEARCH(ZAKL_DATA!$B$14,E139)),MAX($D$2:D138)+1,0)</f>
        <v>137</v>
      </c>
      <c r="E139" s="294" t="s">
        <v>1220</v>
      </c>
      <c r="F139" s="295">
        <v>2910</v>
      </c>
      <c r="G139" s="296"/>
      <c r="H139" s="297" t="str">
        <f>IFERROR(VLOOKUP(ROWS($H$3:H139),$D$3:$E$204,2,0),"")</f>
        <v>PELHŘIMOV</v>
      </c>
      <c r="I139" s="266"/>
      <c r="J139" s="299" t="s">
        <v>1221</v>
      </c>
      <c r="K139" s="288" t="s">
        <v>1222</v>
      </c>
      <c r="M139" s="289">
        <f>IF(ISNUMBER(SEARCH(ZAKL_DATA!$B$29,N139)),MAX($M$2:M138)+1,0)</f>
        <v>137</v>
      </c>
      <c r="N139" s="482" t="s">
        <v>2783</v>
      </c>
      <c r="O139" s="482" t="s">
        <v>2784</v>
      </c>
      <c r="Q139" s="291" t="str">
        <f>IFERROR(VLOOKUP(ROWS($Q$3:Q139),$M$3:$N$718,2,0),"")</f>
        <v>Maloobchod s motocykly a díly a příslušenstvím pro motocykly</v>
      </c>
      <c r="R139">
        <f>IF(ISNUMBER(SEARCH('1Př1'!$A$32,N139)),MAX($M$2:M138)+1,0)</f>
        <v>137</v>
      </c>
      <c r="S139" s="290" t="s">
        <v>1223</v>
      </c>
      <c r="T139" t="str">
        <f>IFERROR(VLOOKUP(ROWS($T$3:T139),$R$3:$S$718,2,0),"")</f>
        <v>Tkaní textilií</v>
      </c>
      <c r="U139">
        <f>IF(ISNUMBER(SEARCH('1Př1'!$A$33,N139)),MAX($M$2:M138)+1,0)</f>
        <v>137</v>
      </c>
      <c r="V139" s="290" t="s">
        <v>1223</v>
      </c>
      <c r="W139" t="str">
        <f>IFERROR(VLOOKUP(ROWS($W$3:W139),$U$3:$V$718,2,0),"")</f>
        <v>Tkaní textilií</v>
      </c>
      <c r="X139">
        <f>IF(ISNUMBER(SEARCH('1Př1'!$A$34,N139)),MAX($M$2:M138)+1,0)</f>
        <v>137</v>
      </c>
      <c r="Y139" s="290" t="s">
        <v>1223</v>
      </c>
      <c r="Z139" t="str">
        <f>IFERROR(VLOOKUP(ROWS($Z$3:Z139),$X$3:$Y$718,2,0),"")</f>
        <v>Tkaní textilií</v>
      </c>
    </row>
    <row r="140" spans="1:26" ht="12.75" customHeight="1">
      <c r="A140" s="266"/>
      <c r="B140" s="266"/>
      <c r="C140" s="266"/>
      <c r="D140" s="282">
        <f>IF(ISNUMBER(SEARCH(ZAKL_DATA!$B$14,E140)),MAX($D$2:D139)+1,0)</f>
        <v>138</v>
      </c>
      <c r="E140" s="294" t="s">
        <v>1224</v>
      </c>
      <c r="F140" s="295">
        <v>2911</v>
      </c>
      <c r="G140" s="296"/>
      <c r="H140" s="297" t="str">
        <f>IFERROR(VLOOKUP(ROWS($H$3:H140),$D$3:$E$204,2,0),"")</f>
        <v>TELČ</v>
      </c>
      <c r="I140" s="266"/>
      <c r="J140" s="299" t="s">
        <v>1225</v>
      </c>
      <c r="K140" s="288" t="s">
        <v>1226</v>
      </c>
      <c r="M140" s="289">
        <f>IF(ISNUMBER(SEARCH(ZAKL_DATA!$B$29,N140)),MAX($M$2:M139)+1,0)</f>
        <v>138</v>
      </c>
      <c r="N140" s="482" t="s">
        <v>2785</v>
      </c>
      <c r="O140" s="482" t="s">
        <v>2786</v>
      </c>
      <c r="Q140" s="291" t="str">
        <f>IFERROR(VLOOKUP(ROWS($Q$3:Q140),$M$3:$N$718,2,0),"")</f>
        <v>Maloobchod s motorovými vozidly</v>
      </c>
      <c r="R140">
        <f>IF(ISNUMBER(SEARCH('1Př1'!$A$32,N140)),MAX($M$2:M139)+1,0)</f>
        <v>138</v>
      </c>
      <c r="S140" s="290" t="s">
        <v>1227</v>
      </c>
      <c r="T140" t="str">
        <f>IFERROR(VLOOKUP(ROWS($T$3:T140),$R$3:$S$718,2,0),"")</f>
        <v>Konečná úprava textilií</v>
      </c>
      <c r="U140">
        <f>IF(ISNUMBER(SEARCH('1Př1'!$A$33,N140)),MAX($M$2:M139)+1,0)</f>
        <v>138</v>
      </c>
      <c r="V140" s="290" t="s">
        <v>1227</v>
      </c>
      <c r="W140" t="str">
        <f>IFERROR(VLOOKUP(ROWS($W$3:W140),$U$3:$V$718,2,0),"")</f>
        <v>Konečná úprava textilií</v>
      </c>
      <c r="X140">
        <f>IF(ISNUMBER(SEARCH('1Př1'!$A$34,N140)),MAX($M$2:M139)+1,0)</f>
        <v>138</v>
      </c>
      <c r="Y140" s="290" t="s">
        <v>1227</v>
      </c>
      <c r="Z140" t="str">
        <f>IFERROR(VLOOKUP(ROWS($Z$3:Z140),$X$3:$Y$718,2,0),"")</f>
        <v>Konečná úprava textilií</v>
      </c>
    </row>
    <row r="141" spans="1:26" ht="12.75" customHeight="1">
      <c r="A141" s="266"/>
      <c r="B141" s="266"/>
      <c r="C141" s="266"/>
      <c r="D141" s="282">
        <f>IF(ISNUMBER(SEARCH(ZAKL_DATA!$B$14,E141)),MAX($D$2:D140)+1,0)</f>
        <v>139</v>
      </c>
      <c r="E141" s="294" t="s">
        <v>1228</v>
      </c>
      <c r="F141" s="295">
        <v>2912</v>
      </c>
      <c r="G141" s="296"/>
      <c r="H141" s="297" t="str">
        <f>IFERROR(VLOOKUP(ROWS($H$3:H141),$D$3:$E$204,2,0),"")</f>
        <v>TŘEBÍČ</v>
      </c>
      <c r="I141" s="266"/>
      <c r="J141" s="299" t="s">
        <v>1229</v>
      </c>
      <c r="K141" s="288" t="s">
        <v>1230</v>
      </c>
      <c r="M141" s="289">
        <f>IF(ISNUMBER(SEARCH(ZAKL_DATA!$B$29,N141)),MAX($M$2:M140)+1,0)</f>
        <v>139</v>
      </c>
      <c r="N141" s="482" t="s">
        <v>2787</v>
      </c>
      <c r="O141" s="482" t="s">
        <v>2788</v>
      </c>
      <c r="Q141" s="291" t="str">
        <f>IFERROR(VLOOKUP(ROWS($Q$3:Q141),$M$3:$N$718,2,0),"")</f>
        <v>Maloobchod s nábytkem, osvětlovacími zařízeními, nádobím a ostatními výrobky převážně pro domácnost</v>
      </c>
      <c r="R141">
        <f>IF(ISNUMBER(SEARCH('1Př1'!$A$32,N141)),MAX($M$2:M140)+1,0)</f>
        <v>139</v>
      </c>
      <c r="S141" s="290" t="s">
        <v>1231</v>
      </c>
      <c r="T141" t="str">
        <f>IFERROR(VLOOKUP(ROWS($T$3:T141),$R$3:$S$718,2,0),"")</f>
        <v>Výroba ostatních textilií</v>
      </c>
      <c r="U141">
        <f>IF(ISNUMBER(SEARCH('1Př1'!$A$33,N141)),MAX($M$2:M140)+1,0)</f>
        <v>139</v>
      </c>
      <c r="V141" s="290" t="s">
        <v>1231</v>
      </c>
      <c r="W141" t="str">
        <f>IFERROR(VLOOKUP(ROWS($W$3:W141),$U$3:$V$718,2,0),"")</f>
        <v>Výroba ostatních textilií</v>
      </c>
      <c r="X141">
        <f>IF(ISNUMBER(SEARCH('1Př1'!$A$34,N141)),MAX($M$2:M140)+1,0)</f>
        <v>139</v>
      </c>
      <c r="Y141" s="290" t="s">
        <v>1231</v>
      </c>
      <c r="Z141" t="str">
        <f>IFERROR(VLOOKUP(ROWS($Z$3:Z141),$X$3:$Y$718,2,0),"")</f>
        <v>Výroba ostatních textilií</v>
      </c>
    </row>
    <row r="142" spans="1:26" ht="12.75" customHeight="1">
      <c r="A142" s="266"/>
      <c r="B142" s="266"/>
      <c r="C142" s="266"/>
      <c r="D142" s="282">
        <f>IF(ISNUMBER(SEARCH(ZAKL_DATA!$B$14,E142)),MAX($D$2:D141)+1,0)</f>
        <v>140</v>
      </c>
      <c r="E142" s="294" t="s">
        <v>1232</v>
      </c>
      <c r="F142" s="295">
        <v>2913</v>
      </c>
      <c r="G142" s="296"/>
      <c r="H142" s="297" t="str">
        <f>IFERROR(VLOOKUP(ROWS($H$3:H142),$D$3:$E$204,2,0),"")</f>
        <v>VELKÉ MEZIŘÍČÍ</v>
      </c>
      <c r="I142" s="266"/>
      <c r="J142" s="299" t="s">
        <v>1233</v>
      </c>
      <c r="K142" s="288" t="s">
        <v>1234</v>
      </c>
      <c r="M142" s="289">
        <f>IF(ISNUMBER(SEARCH(ZAKL_DATA!$B$29,N142)),MAX($M$2:M141)+1,0)</f>
        <v>140</v>
      </c>
      <c r="N142" s="482" t="s">
        <v>2047</v>
      </c>
      <c r="O142" s="482" t="s">
        <v>2789</v>
      </c>
      <c r="Q142" s="291" t="str">
        <f>IFERROR(VLOOKUP(ROWS($Q$3:Q142),$M$3:$N$718,2,0),"")</f>
        <v>Maloobchod s nápoji</v>
      </c>
      <c r="R142">
        <f>IF(ISNUMBER(SEARCH('1Př1'!$A$32,N142)),MAX($M$2:M141)+1,0)</f>
        <v>140</v>
      </c>
      <c r="S142" s="290" t="s">
        <v>1235</v>
      </c>
      <c r="T142" t="str">
        <f>IFERROR(VLOOKUP(ROWS($T$3:T142),$R$3:$S$718,2,0),"")</f>
        <v>Pěstování cukrové třtiny</v>
      </c>
      <c r="U142">
        <f>IF(ISNUMBER(SEARCH('1Př1'!$A$33,N142)),MAX($M$2:M141)+1,0)</f>
        <v>140</v>
      </c>
      <c r="V142" s="290" t="s">
        <v>1235</v>
      </c>
      <c r="W142" t="str">
        <f>IFERROR(VLOOKUP(ROWS($W$3:W142),$U$3:$V$718,2,0),"")</f>
        <v>Pěstování cukrové třtiny</v>
      </c>
      <c r="X142">
        <f>IF(ISNUMBER(SEARCH('1Př1'!$A$34,N142)),MAX($M$2:M141)+1,0)</f>
        <v>140</v>
      </c>
      <c r="Y142" s="290" t="s">
        <v>1235</v>
      </c>
      <c r="Z142" t="str">
        <f>IFERROR(VLOOKUP(ROWS($Z$3:Z142),$X$3:$Y$718,2,0),"")</f>
        <v>Pěstování cukrové třtiny</v>
      </c>
    </row>
    <row r="143" spans="1:26" ht="12.75" customHeight="1">
      <c r="A143" s="266"/>
      <c r="B143" s="266"/>
      <c r="C143" s="266"/>
      <c r="D143" s="282">
        <f>IF(ISNUMBER(SEARCH(ZAKL_DATA!$B$14,E143)),MAX($D$2:D142)+1,0)</f>
        <v>141</v>
      </c>
      <c r="E143" s="294" t="s">
        <v>1236</v>
      </c>
      <c r="F143" s="295">
        <v>2914</v>
      </c>
      <c r="G143" s="296"/>
      <c r="H143" s="297" t="str">
        <f>IFERROR(VLOOKUP(ROWS($H$3:H143),$D$3:$E$204,2,0),"")</f>
        <v>ŽĎÁR NAD SÁZAVOU</v>
      </c>
      <c r="I143" s="266"/>
      <c r="J143" s="299" t="s">
        <v>1237</v>
      </c>
      <c r="K143" s="288" t="s">
        <v>1238</v>
      </c>
      <c r="M143" s="289">
        <f>IF(ISNUMBER(SEARCH(ZAKL_DATA!$B$29,N143)),MAX($M$2:M142)+1,0)</f>
        <v>141</v>
      </c>
      <c r="N143" s="482" t="s">
        <v>2790</v>
      </c>
      <c r="O143" s="482" t="s">
        <v>2791</v>
      </c>
      <c r="Q143" s="291" t="str">
        <f>IFERROR(VLOOKUP(ROWS($Q$3:Q143),$M$3:$N$718,2,0),"")</f>
        <v>Maloobchod s novinami a ostatními periodickými publikacemi</v>
      </c>
      <c r="R143">
        <f>IF(ISNUMBER(SEARCH('1Př1'!$A$32,N143)),MAX($M$2:M142)+1,0)</f>
        <v>141</v>
      </c>
      <c r="S143" s="290" t="s">
        <v>1239</v>
      </c>
      <c r="T143" t="str">
        <f>IFERROR(VLOOKUP(ROWS($T$3:T143),$R$3:$S$718,2,0),"")</f>
        <v>Výroba oděvů, kromě kožešinových výrobků</v>
      </c>
      <c r="U143">
        <f>IF(ISNUMBER(SEARCH('1Př1'!$A$33,N143)),MAX($M$2:M142)+1,0)</f>
        <v>141</v>
      </c>
      <c r="V143" s="290" t="s">
        <v>1239</v>
      </c>
      <c r="W143" t="str">
        <f>IFERROR(VLOOKUP(ROWS($W$3:W143),$U$3:$V$718,2,0),"")</f>
        <v>Výroba oděvů, kromě kožešinových výrobků</v>
      </c>
      <c r="X143">
        <f>IF(ISNUMBER(SEARCH('1Př1'!$A$34,N143)),MAX($M$2:M142)+1,0)</f>
        <v>141</v>
      </c>
      <c r="Y143" s="290" t="s">
        <v>1239</v>
      </c>
      <c r="Z143" t="str">
        <f>IFERROR(VLOOKUP(ROWS($Z$3:Z143),$X$3:$Y$718,2,0),"")</f>
        <v>Výroba oděvů, kromě kožešinových výrobků</v>
      </c>
    </row>
    <row r="144" spans="1:26" ht="12.75" customHeight="1">
      <c r="A144" s="266"/>
      <c r="B144" s="266"/>
      <c r="C144" s="266"/>
      <c r="D144" s="282">
        <f>IF(ISNUMBER(SEARCH(ZAKL_DATA!$B$14,E144)),MAX($D$2:D143)+1,0)</f>
        <v>142</v>
      </c>
      <c r="E144" s="294" t="s">
        <v>1240</v>
      </c>
      <c r="F144" s="295">
        <v>3001</v>
      </c>
      <c r="G144" s="296"/>
      <c r="H144" s="297" t="str">
        <f>IFERROR(VLOOKUP(ROWS($H$3:H144),$D$3:$E$204,2,0),"")</f>
        <v>BRNO I</v>
      </c>
      <c r="I144" s="266"/>
      <c r="J144" s="299" t="s">
        <v>1241</v>
      </c>
      <c r="K144" s="288" t="s">
        <v>1242</v>
      </c>
      <c r="M144" s="289">
        <f>IF(ISNUMBER(SEARCH(ZAKL_DATA!$B$29,N144)),MAX($M$2:M143)+1,0)</f>
        <v>142</v>
      </c>
      <c r="N144" s="482" t="s">
        <v>2064</v>
      </c>
      <c r="O144" s="482" t="s">
        <v>2792</v>
      </c>
      <c r="Q144" s="291" t="str">
        <f>IFERROR(VLOOKUP(ROWS($Q$3:Q144),$M$3:$N$718,2,0),"")</f>
        <v>Maloobchod s obuví a koženými výrobky</v>
      </c>
      <c r="R144">
        <f>IF(ISNUMBER(SEARCH('1Př1'!$A$32,N144)),MAX($M$2:M143)+1,0)</f>
        <v>142</v>
      </c>
      <c r="S144" s="290" t="s">
        <v>1243</v>
      </c>
      <c r="T144" t="str">
        <f>IFERROR(VLOOKUP(ROWS($T$3:T144),$R$3:$S$718,2,0),"")</f>
        <v>Chov mléčného skotu</v>
      </c>
      <c r="U144">
        <f>IF(ISNUMBER(SEARCH('1Př1'!$A$33,N144)),MAX($M$2:M143)+1,0)</f>
        <v>142</v>
      </c>
      <c r="V144" s="290" t="s">
        <v>1243</v>
      </c>
      <c r="W144" t="str">
        <f>IFERROR(VLOOKUP(ROWS($W$3:W144),$U$3:$V$718,2,0),"")</f>
        <v>Chov mléčného skotu</v>
      </c>
      <c r="X144">
        <f>IF(ISNUMBER(SEARCH('1Př1'!$A$34,N144)),MAX($M$2:M143)+1,0)</f>
        <v>142</v>
      </c>
      <c r="Y144" s="290" t="s">
        <v>1243</v>
      </c>
      <c r="Z144" t="str">
        <f>IFERROR(VLOOKUP(ROWS($Z$3:Z144),$X$3:$Y$718,2,0),"")</f>
        <v>Chov mléčného skotu</v>
      </c>
    </row>
    <row r="145" spans="1:26" ht="12.75" customHeight="1">
      <c r="A145" s="266"/>
      <c r="B145" s="266"/>
      <c r="C145" s="266"/>
      <c r="D145" s="282">
        <f>IF(ISNUMBER(SEARCH(ZAKL_DATA!$B$14,E145)),MAX($D$2:D144)+1,0)</f>
        <v>143</v>
      </c>
      <c r="E145" s="294" t="s">
        <v>1244</v>
      </c>
      <c r="F145" s="295">
        <v>3002</v>
      </c>
      <c r="G145" s="296"/>
      <c r="H145" s="297" t="str">
        <f>IFERROR(VLOOKUP(ROWS($H$3:H145),$D$3:$E$204,2,0),"")</f>
        <v>BRNO II</v>
      </c>
      <c r="I145" s="266"/>
      <c r="J145" s="299" t="s">
        <v>1245</v>
      </c>
      <c r="K145" s="288" t="s">
        <v>1246</v>
      </c>
      <c r="M145" s="289">
        <f>IF(ISNUMBER(SEARCH(ZAKL_DATA!$B$29,N145)),MAX($M$2:M144)+1,0)</f>
        <v>143</v>
      </c>
      <c r="N145" s="482" t="s">
        <v>2063</v>
      </c>
      <c r="O145" s="482" t="s">
        <v>2793</v>
      </c>
      <c r="Q145" s="291" t="str">
        <f>IFERROR(VLOOKUP(ROWS($Q$3:Q145),$M$3:$N$718,2,0),"")</f>
        <v>Maloobchod s oděvy</v>
      </c>
      <c r="R145">
        <f>IF(ISNUMBER(SEARCH('1Př1'!$A$32,N145)),MAX($M$2:M144)+1,0)</f>
        <v>143</v>
      </c>
      <c r="S145" s="290" t="s">
        <v>1247</v>
      </c>
      <c r="T145" t="str">
        <f>IFERROR(VLOOKUP(ROWS($T$3:T145),$R$3:$S$718,2,0),"")</f>
        <v>Výroba kožešinových výrobků</v>
      </c>
      <c r="U145">
        <f>IF(ISNUMBER(SEARCH('1Př1'!$A$33,N145)),MAX($M$2:M144)+1,0)</f>
        <v>143</v>
      </c>
      <c r="V145" s="290" t="s">
        <v>1247</v>
      </c>
      <c r="W145" t="str">
        <f>IFERROR(VLOOKUP(ROWS($W$3:W145),$U$3:$V$718,2,0),"")</f>
        <v>Výroba kožešinových výrobků</v>
      </c>
      <c r="X145">
        <f>IF(ISNUMBER(SEARCH('1Př1'!$A$34,N145)),MAX($M$2:M144)+1,0)</f>
        <v>143</v>
      </c>
      <c r="Y145" s="290" t="s">
        <v>1247</v>
      </c>
      <c r="Z145" t="str">
        <f>IFERROR(VLOOKUP(ROWS($Z$3:Z145),$X$3:$Y$718,2,0),"")</f>
        <v>Výroba kožešinových výrobků</v>
      </c>
    </row>
    <row r="146" spans="1:26" ht="12.75" customHeight="1">
      <c r="A146" s="266"/>
      <c r="B146" s="266"/>
      <c r="C146" s="266"/>
      <c r="D146" s="282">
        <f>IF(ISNUMBER(SEARCH(ZAKL_DATA!$B$14,E146)),MAX($D$2:D145)+1,0)</f>
        <v>144</v>
      </c>
      <c r="E146" s="294" t="s">
        <v>1248</v>
      </c>
      <c r="F146" s="295">
        <v>3003</v>
      </c>
      <c r="G146" s="296"/>
      <c r="H146" s="297" t="str">
        <f>IFERROR(VLOOKUP(ROWS($H$3:H146),$D$3:$E$204,2,0),"")</f>
        <v>BRNO III</v>
      </c>
      <c r="I146" s="266"/>
      <c r="J146" s="299" t="s">
        <v>1249</v>
      </c>
      <c r="K146" s="288" t="s">
        <v>1250</v>
      </c>
      <c r="M146" s="289">
        <f>IF(ISNUMBER(SEARCH(ZAKL_DATA!$B$29,N146)),MAX($M$2:M145)+1,0)</f>
        <v>144</v>
      </c>
      <c r="N146" s="482" t="s">
        <v>2794</v>
      </c>
      <c r="O146" s="482" t="s">
        <v>2795</v>
      </c>
      <c r="Q146" s="291" t="str">
        <f>IFERROR(VLOOKUP(ROWS($Q$3:Q146),$M$3:$N$718,2,0),"")</f>
        <v>Maloobchod s ostatním novým zbožím</v>
      </c>
      <c r="R146">
        <f>IF(ISNUMBER(SEARCH('1Př1'!$A$32,N146)),MAX($M$2:M145)+1,0)</f>
        <v>144</v>
      </c>
      <c r="S146" s="290" t="s">
        <v>1251</v>
      </c>
      <c r="T146" t="str">
        <f>IFERROR(VLOOKUP(ROWS($T$3:T146),$R$3:$S$718,2,0),"")</f>
        <v>Chov jiného skotu</v>
      </c>
      <c r="U146">
        <f>IF(ISNUMBER(SEARCH('1Př1'!$A$33,N146)),MAX($M$2:M145)+1,0)</f>
        <v>144</v>
      </c>
      <c r="V146" s="290" t="s">
        <v>1251</v>
      </c>
      <c r="W146" t="str">
        <f>IFERROR(VLOOKUP(ROWS($W$3:W146),$U$3:$V$718,2,0),"")</f>
        <v>Chov jiného skotu</v>
      </c>
      <c r="X146">
        <f>IF(ISNUMBER(SEARCH('1Př1'!$A$34,N146)),MAX($M$2:M145)+1,0)</f>
        <v>144</v>
      </c>
      <c r="Y146" s="290" t="s">
        <v>1251</v>
      </c>
      <c r="Z146" t="str">
        <f>IFERROR(VLOOKUP(ROWS($Z$3:Z146),$X$3:$Y$718,2,0),"")</f>
        <v>Chov jiného skotu</v>
      </c>
    </row>
    <row r="147" spans="1:26" ht="12.75" customHeight="1">
      <c r="A147" s="266"/>
      <c r="B147" s="266"/>
      <c r="C147" s="266"/>
      <c r="D147" s="282">
        <f>IF(ISNUMBER(SEARCH(ZAKL_DATA!$B$14,E147)),MAX($D$2:D146)+1,0)</f>
        <v>145</v>
      </c>
      <c r="E147" s="294" t="s">
        <v>1252</v>
      </c>
      <c r="F147" s="295">
        <v>3004</v>
      </c>
      <c r="G147" s="296"/>
      <c r="H147" s="297" t="str">
        <f>IFERROR(VLOOKUP(ROWS($H$3:H147),$D$3:$E$204,2,0),"")</f>
        <v>BRNO IV</v>
      </c>
      <c r="I147" s="266"/>
      <c r="J147" s="299" t="s">
        <v>1253</v>
      </c>
      <c r="K147" s="288" t="s">
        <v>1254</v>
      </c>
      <c r="M147" s="289">
        <f>IF(ISNUMBER(SEARCH(ZAKL_DATA!$B$29,N147)),MAX($M$2:M146)+1,0)</f>
        <v>145</v>
      </c>
      <c r="N147" s="482" t="s">
        <v>2796</v>
      </c>
      <c r="O147" s="482" t="s">
        <v>2797</v>
      </c>
      <c r="Q147" s="291" t="str">
        <f>IFERROR(VLOOKUP(ROWS($Q$3:Q147),$M$3:$N$718,2,0),"")</f>
        <v>Maloobchod s ostatním použitým zbožím</v>
      </c>
      <c r="R147">
        <f>IF(ISNUMBER(SEARCH('1Př1'!$A$32,N147)),MAX($M$2:M146)+1,0)</f>
        <v>145</v>
      </c>
      <c r="S147" s="290" t="s">
        <v>1255</v>
      </c>
      <c r="T147" t="str">
        <f>IFERROR(VLOOKUP(ROWS($T$3:T147),$R$3:$S$718,2,0),"")</f>
        <v>Výroba pletených a háčkovaných oděvů</v>
      </c>
      <c r="U147">
        <f>IF(ISNUMBER(SEARCH('1Př1'!$A$33,N147)),MAX($M$2:M146)+1,0)</f>
        <v>145</v>
      </c>
      <c r="V147" s="290" t="s">
        <v>1255</v>
      </c>
      <c r="W147" t="str">
        <f>IFERROR(VLOOKUP(ROWS($W$3:W147),$U$3:$V$718,2,0),"")</f>
        <v>Výroba pletených a háčkovaných oděvů</v>
      </c>
      <c r="X147">
        <f>IF(ISNUMBER(SEARCH('1Př1'!$A$34,N147)),MAX($M$2:M146)+1,0)</f>
        <v>145</v>
      </c>
      <c r="Y147" s="290" t="s">
        <v>1255</v>
      </c>
      <c r="Z147" t="str">
        <f>IFERROR(VLOOKUP(ROWS($Z$3:Z147),$X$3:$Y$718,2,0),"")</f>
        <v>Výroba pletených a háčkovaných oděvů</v>
      </c>
    </row>
    <row r="148" spans="1:26" ht="12.75" customHeight="1">
      <c r="A148" s="266"/>
      <c r="B148" s="266"/>
      <c r="C148" s="266"/>
      <c r="D148" s="282">
        <f>IF(ISNUMBER(SEARCH(ZAKL_DATA!$B$14,E148)),MAX($D$2:D147)+1,0)</f>
        <v>146</v>
      </c>
      <c r="E148" s="294" t="s">
        <v>1256</v>
      </c>
      <c r="F148" s="295">
        <v>3005</v>
      </c>
      <c r="G148" s="296"/>
      <c r="H148" s="297" t="str">
        <f>IFERROR(VLOOKUP(ROWS($H$3:H148),$D$3:$E$204,2,0),"")</f>
        <v>BRNO VENKOV</v>
      </c>
      <c r="I148" s="266"/>
      <c r="J148" s="299" t="s">
        <v>1257</v>
      </c>
      <c r="K148" s="288" t="s">
        <v>1258</v>
      </c>
      <c r="M148" s="289">
        <f>IF(ISNUMBER(SEARCH(ZAKL_DATA!$B$29,N148)),MAX($M$2:M147)+1,0)</f>
        <v>146</v>
      </c>
      <c r="N148" s="482" t="s">
        <v>2043</v>
      </c>
      <c r="O148" s="482" t="s">
        <v>2798</v>
      </c>
      <c r="Q148" s="291" t="str">
        <f>IFERROR(VLOOKUP(ROWS($Q$3:Q148),$M$3:$N$718,2,0),"")</f>
        <v>Maloobchod s ovocem a zeleninou</v>
      </c>
      <c r="R148">
        <f>IF(ISNUMBER(SEARCH('1Př1'!$A$32,N148)),MAX($M$2:M147)+1,0)</f>
        <v>146</v>
      </c>
      <c r="S148" s="290" t="s">
        <v>1259</v>
      </c>
      <c r="T148" t="str">
        <f>IFERROR(VLOOKUP(ROWS($T$3:T148),$R$3:$S$718,2,0),"")</f>
        <v>Chov koní a jiných koňovitých</v>
      </c>
      <c r="U148">
        <f>IF(ISNUMBER(SEARCH('1Př1'!$A$33,N148)),MAX($M$2:M147)+1,0)</f>
        <v>146</v>
      </c>
      <c r="V148" s="290" t="s">
        <v>1259</v>
      </c>
      <c r="W148" t="str">
        <f>IFERROR(VLOOKUP(ROWS($W$3:W148),$U$3:$V$718,2,0),"")</f>
        <v>Chov koní a jiných koňovitých</v>
      </c>
      <c r="X148">
        <f>IF(ISNUMBER(SEARCH('1Př1'!$A$34,N148)),MAX($M$2:M147)+1,0)</f>
        <v>146</v>
      </c>
      <c r="Y148" s="290" t="s">
        <v>1259</v>
      </c>
      <c r="Z148" t="str">
        <f>IFERROR(VLOOKUP(ROWS($Z$3:Z148),$X$3:$Y$718,2,0),"")</f>
        <v>Chov koní a jiných koňovitých</v>
      </c>
    </row>
    <row r="149" spans="1:26" ht="12.75" customHeight="1">
      <c r="A149" s="266"/>
      <c r="B149" s="266"/>
      <c r="C149" s="266"/>
      <c r="D149" s="282">
        <f>IF(ISNUMBER(SEARCH(ZAKL_DATA!$B$14,E149)),MAX($D$2:D148)+1,0)</f>
        <v>147</v>
      </c>
      <c r="E149" s="294" t="s">
        <v>1260</v>
      </c>
      <c r="F149" s="295">
        <v>3006</v>
      </c>
      <c r="G149" s="296"/>
      <c r="H149" s="297" t="str">
        <f>IFERROR(VLOOKUP(ROWS($H$3:H149),$D$3:$E$204,2,0),"")</f>
        <v>BLANSKO</v>
      </c>
      <c r="I149" s="266"/>
      <c r="J149" s="299" t="s">
        <v>1261</v>
      </c>
      <c r="K149" s="288" t="s">
        <v>1262</v>
      </c>
      <c r="M149" s="289">
        <f>IF(ISNUMBER(SEARCH(ZAKL_DATA!$B$29,N149)),MAX($M$2:M148)+1,0)</f>
        <v>147</v>
      </c>
      <c r="N149" s="482" t="s">
        <v>2799</v>
      </c>
      <c r="O149" s="482" t="s">
        <v>2800</v>
      </c>
      <c r="Q149" s="291" t="str">
        <f>IFERROR(VLOOKUP(ROWS($Q$3:Q149),$M$3:$N$718,2,0),"")</f>
        <v>Maloobchod s papírnickým zbožím</v>
      </c>
      <c r="R149">
        <f>IF(ISNUMBER(SEARCH('1Př1'!$A$32,N149)),MAX($M$2:M148)+1,0)</f>
        <v>147</v>
      </c>
      <c r="S149" s="290" t="s">
        <v>1263</v>
      </c>
      <c r="T149" t="str">
        <f>IFERROR(VLOOKUP(ROWS($T$3:T149),$R$3:$S$718,2,0),"")</f>
        <v>Chov velbloudů a velbloudovitých</v>
      </c>
      <c r="U149">
        <f>IF(ISNUMBER(SEARCH('1Př1'!$A$33,N149)),MAX($M$2:M148)+1,0)</f>
        <v>147</v>
      </c>
      <c r="V149" s="290" t="s">
        <v>1263</v>
      </c>
      <c r="W149" t="str">
        <f>IFERROR(VLOOKUP(ROWS($W$3:W149),$U$3:$V$718,2,0),"")</f>
        <v>Chov velbloudů a velbloudovitých</v>
      </c>
      <c r="X149">
        <f>IF(ISNUMBER(SEARCH('1Př1'!$A$34,N149)),MAX($M$2:M148)+1,0)</f>
        <v>147</v>
      </c>
      <c r="Y149" s="290" t="s">
        <v>1263</v>
      </c>
      <c r="Z149" t="str">
        <f>IFERROR(VLOOKUP(ROWS($Z$3:Z149),$X$3:$Y$718,2,0),"")</f>
        <v>Chov velbloudů a velbloudovitých</v>
      </c>
    </row>
    <row r="150" spans="1:26" ht="12.75" customHeight="1">
      <c r="A150" s="266"/>
      <c r="B150" s="266"/>
      <c r="C150" s="266"/>
      <c r="D150" s="282">
        <f>IF(ISNUMBER(SEARCH(ZAKL_DATA!$B$14,E150)),MAX($D$2:D149)+1,0)</f>
        <v>148</v>
      </c>
      <c r="E150" s="294" t="s">
        <v>1264</v>
      </c>
      <c r="F150" s="295">
        <v>3007</v>
      </c>
      <c r="G150" s="296"/>
      <c r="H150" s="297" t="str">
        <f>IFERROR(VLOOKUP(ROWS($H$3:H150),$D$3:$E$204,2,0),"")</f>
        <v>BOSKOVICE</v>
      </c>
      <c r="I150" s="266"/>
      <c r="J150" s="299" t="s">
        <v>1265</v>
      </c>
      <c r="K150" s="288" t="s">
        <v>1266</v>
      </c>
      <c r="M150" s="289">
        <f>IF(ISNUMBER(SEARCH(ZAKL_DATA!$B$29,N150)),MAX($M$2:M149)+1,0)</f>
        <v>148</v>
      </c>
      <c r="N150" s="482" t="s">
        <v>2801</v>
      </c>
      <c r="O150" s="482" t="s">
        <v>2802</v>
      </c>
      <c r="Q150" s="291" t="str">
        <f>IFERROR(VLOOKUP(ROWS($Q$3:Q150),$M$3:$N$718,2,0),"")</f>
        <v>Maloobchod s pekařskými a cukrářskými výrobky a cukrovinkami</v>
      </c>
      <c r="R150">
        <f>IF(ISNUMBER(SEARCH('1Př1'!$A$32,N150)),MAX($M$2:M149)+1,0)</f>
        <v>148</v>
      </c>
      <c r="S150" s="290" t="s">
        <v>1267</v>
      </c>
      <c r="T150" t="str">
        <f>IFERROR(VLOOKUP(ROWS($T$3:T150),$R$3:$S$718,2,0),"")</f>
        <v>Chov ovcí a koz</v>
      </c>
      <c r="U150">
        <f>IF(ISNUMBER(SEARCH('1Př1'!$A$33,N150)),MAX($M$2:M149)+1,0)</f>
        <v>148</v>
      </c>
      <c r="V150" s="290" t="s">
        <v>1267</v>
      </c>
      <c r="W150" t="str">
        <f>IFERROR(VLOOKUP(ROWS($W$3:W150),$U$3:$V$718,2,0),"")</f>
        <v>Chov ovcí a koz</v>
      </c>
      <c r="X150">
        <f>IF(ISNUMBER(SEARCH('1Př1'!$A$34,N150)),MAX($M$2:M149)+1,0)</f>
        <v>148</v>
      </c>
      <c r="Y150" s="290" t="s">
        <v>1267</v>
      </c>
      <c r="Z150" t="str">
        <f>IFERROR(VLOOKUP(ROWS($Z$3:Z150),$X$3:$Y$718,2,0),"")</f>
        <v>Chov ovcí a koz</v>
      </c>
    </row>
    <row r="151" spans="1:26" ht="12.75" customHeight="1">
      <c r="A151" s="266"/>
      <c r="B151" s="266"/>
      <c r="C151" s="266"/>
      <c r="D151" s="282">
        <f>IF(ISNUMBER(SEARCH(ZAKL_DATA!$B$14,E151)),MAX($D$2:D150)+1,0)</f>
        <v>149</v>
      </c>
      <c r="E151" s="294" t="s">
        <v>1268</v>
      </c>
      <c r="F151" s="295">
        <v>3008</v>
      </c>
      <c r="G151" s="296"/>
      <c r="H151" s="297" t="str">
        <f>IFERROR(VLOOKUP(ROWS($H$3:H151),$D$3:$E$204,2,0),"")</f>
        <v>BŘECLAV</v>
      </c>
      <c r="I151" s="266"/>
      <c r="J151" s="299" t="s">
        <v>1269</v>
      </c>
      <c r="K151" s="288" t="s">
        <v>1270</v>
      </c>
      <c r="M151" s="289">
        <f>IF(ISNUMBER(SEARCH(ZAKL_DATA!$B$29,N151)),MAX($M$2:M150)+1,0)</f>
        <v>149</v>
      </c>
      <c r="N151" s="482" t="s">
        <v>2803</v>
      </c>
      <c r="O151" s="482" t="s">
        <v>2804</v>
      </c>
      <c r="Q151" s="291" t="str">
        <f>IFERROR(VLOOKUP(ROWS($Q$3:Q151),$M$3:$N$718,2,0),"")</f>
        <v>Maloobchod s počítačovým a komunikačním zařízením</v>
      </c>
      <c r="R151">
        <f>IF(ISNUMBER(SEARCH('1Př1'!$A$32,N151)),MAX($M$2:M150)+1,0)</f>
        <v>149</v>
      </c>
      <c r="S151" s="290" t="s">
        <v>1271</v>
      </c>
      <c r="T151" t="str">
        <f>IFERROR(VLOOKUP(ROWS($T$3:T151),$R$3:$S$718,2,0),"")</f>
        <v>Chov prasat</v>
      </c>
      <c r="U151">
        <f>IF(ISNUMBER(SEARCH('1Př1'!$A$33,N151)),MAX($M$2:M150)+1,0)</f>
        <v>149</v>
      </c>
      <c r="V151" s="290" t="s">
        <v>1271</v>
      </c>
      <c r="W151" t="str">
        <f>IFERROR(VLOOKUP(ROWS($W$3:W151),$U$3:$V$718,2,0),"")</f>
        <v>Chov prasat</v>
      </c>
      <c r="X151">
        <f>IF(ISNUMBER(SEARCH('1Př1'!$A$34,N151)),MAX($M$2:M150)+1,0)</f>
        <v>149</v>
      </c>
      <c r="Y151" s="290" t="s">
        <v>1271</v>
      </c>
      <c r="Z151" t="str">
        <f>IFERROR(VLOOKUP(ROWS($Z$3:Z151),$X$3:$Y$718,2,0),"")</f>
        <v>Chov prasat</v>
      </c>
    </row>
    <row r="152" spans="1:26" ht="12.75" customHeight="1">
      <c r="A152" s="266"/>
      <c r="B152" s="266"/>
      <c r="C152" s="266"/>
      <c r="D152" s="282">
        <f>IF(ISNUMBER(SEARCH(ZAKL_DATA!$B$14,E152)),MAX($D$2:D151)+1,0)</f>
        <v>150</v>
      </c>
      <c r="E152" s="294" t="s">
        <v>1272</v>
      </c>
      <c r="F152" s="295">
        <v>3009</v>
      </c>
      <c r="G152" s="296"/>
      <c r="H152" s="297" t="str">
        <f>IFERROR(VLOOKUP(ROWS($H$3:H152),$D$3:$E$204,2,0),"")</f>
        <v>BUČOVICE</v>
      </c>
      <c r="I152" s="266"/>
      <c r="J152" s="299" t="s">
        <v>1273</v>
      </c>
      <c r="K152" s="288" t="s">
        <v>1274</v>
      </c>
      <c r="M152" s="289">
        <f>IF(ISNUMBER(SEARCH(ZAKL_DATA!$B$29,N152)),MAX($M$2:M151)+1,0)</f>
        <v>150</v>
      </c>
      <c r="N152" s="482" t="s">
        <v>2805</v>
      </c>
      <c r="O152" s="482" t="s">
        <v>2806</v>
      </c>
      <c r="Q152" s="291" t="str">
        <f>IFERROR(VLOOKUP(ROWS($Q$3:Q152),$M$3:$N$718,2,0),"")</f>
        <v>Maloobchod s pohonnými hmotami</v>
      </c>
      <c r="R152">
        <f>IF(ISNUMBER(SEARCH('1Př1'!$A$32,N152)),MAX($M$2:M151)+1,0)</f>
        <v>150</v>
      </c>
      <c r="S152" s="290" t="s">
        <v>1275</v>
      </c>
      <c r="T152" t="str">
        <f>IFERROR(VLOOKUP(ROWS($T$3:T152),$R$3:$S$718,2,0),"")</f>
        <v>Chov drůbeže</v>
      </c>
      <c r="U152">
        <f>IF(ISNUMBER(SEARCH('1Př1'!$A$33,N152)),MAX($M$2:M151)+1,0)</f>
        <v>150</v>
      </c>
      <c r="V152" s="290" t="s">
        <v>1275</v>
      </c>
      <c r="W152" t="str">
        <f>IFERROR(VLOOKUP(ROWS($W$3:W152),$U$3:$V$718,2,0),"")</f>
        <v>Chov drůbeže</v>
      </c>
      <c r="X152">
        <f>IF(ISNUMBER(SEARCH('1Př1'!$A$34,N152)),MAX($M$2:M151)+1,0)</f>
        <v>150</v>
      </c>
      <c r="Y152" s="290" t="s">
        <v>1275</v>
      </c>
      <c r="Z152" t="str">
        <f>IFERROR(VLOOKUP(ROWS($Z$3:Z152),$X$3:$Y$718,2,0),"")</f>
        <v>Chov drůbeže</v>
      </c>
    </row>
    <row r="153" spans="1:26" ht="12.75" customHeight="1">
      <c r="A153" s="266"/>
      <c r="B153" s="266"/>
      <c r="C153" s="266"/>
      <c r="D153" s="282">
        <f>IF(ISNUMBER(SEARCH(ZAKL_DATA!$B$14,E153)),MAX($D$2:D152)+1,0)</f>
        <v>151</v>
      </c>
      <c r="E153" s="294" t="s">
        <v>1276</v>
      </c>
      <c r="F153" s="295">
        <v>3010</v>
      </c>
      <c r="G153" s="296"/>
      <c r="H153" s="297" t="str">
        <f>IFERROR(VLOOKUP(ROWS($H$3:H153),$D$3:$E$204,2,0),"")</f>
        <v>HODONÍN</v>
      </c>
      <c r="I153" s="266"/>
      <c r="J153" s="299" t="s">
        <v>1277</v>
      </c>
      <c r="K153" s="288" t="s">
        <v>1278</v>
      </c>
      <c r="M153" s="289">
        <f>IF(ISNUMBER(SEARCH(ZAKL_DATA!$B$29,N153)),MAX($M$2:M152)+1,0)</f>
        <v>151</v>
      </c>
      <c r="N153" s="482" t="s">
        <v>2807</v>
      </c>
      <c r="O153" s="482" t="s">
        <v>2808</v>
      </c>
      <c r="Q153" s="291" t="str">
        <f>IFERROR(VLOOKUP(ROWS($Q$3:Q153),$M$3:$N$718,2,0),"")</f>
        <v>Maloobchod s použitými knihami a starožitnostmi</v>
      </c>
      <c r="R153">
        <f>IF(ISNUMBER(SEARCH('1Př1'!$A$32,N153)),MAX($M$2:M152)+1,0)</f>
        <v>151</v>
      </c>
      <c r="S153" s="290" t="s">
        <v>1279</v>
      </c>
      <c r="T153" t="str">
        <f>IFERROR(VLOOKUP(ROWS($T$3:T153),$R$3:$S$718,2,0),"")</f>
        <v>Chov ostatních zvířat</v>
      </c>
      <c r="U153">
        <f>IF(ISNUMBER(SEARCH('1Př1'!$A$33,N153)),MAX($M$2:M152)+1,0)</f>
        <v>151</v>
      </c>
      <c r="V153" s="290" t="s">
        <v>1279</v>
      </c>
      <c r="W153" t="str">
        <f>IFERROR(VLOOKUP(ROWS($W$3:W153),$U$3:$V$718,2,0),"")</f>
        <v>Chov ostatních zvířat</v>
      </c>
      <c r="X153">
        <f>IF(ISNUMBER(SEARCH('1Př1'!$A$34,N153)),MAX($M$2:M152)+1,0)</f>
        <v>151</v>
      </c>
      <c r="Y153" s="290" t="s">
        <v>1279</v>
      </c>
      <c r="Z153" t="str">
        <f>IFERROR(VLOOKUP(ROWS($Z$3:Z153),$X$3:$Y$718,2,0),"")</f>
        <v>Chov ostatních zvířat</v>
      </c>
    </row>
    <row r="154" spans="1:26" ht="12.75" customHeight="1">
      <c r="A154" s="266"/>
      <c r="B154" s="266"/>
      <c r="C154" s="266"/>
      <c r="D154" s="282">
        <f>IF(ISNUMBER(SEARCH(ZAKL_DATA!$B$14,E154)),MAX($D$2:D153)+1,0)</f>
        <v>152</v>
      </c>
      <c r="E154" s="294" t="s">
        <v>1280</v>
      </c>
      <c r="F154" s="295">
        <v>3011</v>
      </c>
      <c r="G154" s="296"/>
      <c r="H154" s="297" t="str">
        <f>IFERROR(VLOOKUP(ROWS($H$3:H154),$D$3:$E$204,2,0),"")</f>
        <v>HUSTOPEČE</v>
      </c>
      <c r="I154" s="266"/>
      <c r="J154" s="299" t="s">
        <v>1281</v>
      </c>
      <c r="K154" s="288" t="s">
        <v>1282</v>
      </c>
      <c r="M154" s="289">
        <f>IF(ISNUMBER(SEARCH(ZAKL_DATA!$B$29,N154)),MAX($M$2:M153)+1,0)</f>
        <v>152</v>
      </c>
      <c r="N154" s="482" t="s">
        <v>2045</v>
      </c>
      <c r="O154" s="482" t="s">
        <v>2809</v>
      </c>
      <c r="Q154" s="291" t="str">
        <f>IFERROR(VLOOKUP(ROWS($Q$3:Q154),$M$3:$N$718,2,0),"")</f>
        <v>Maloobchod s rybami, korýši a měkkýši</v>
      </c>
      <c r="R154">
        <f>IF(ISNUMBER(SEARCH('1Př1'!$A$32,N154)),MAX($M$2:M153)+1,0)</f>
        <v>152</v>
      </c>
      <c r="S154" s="290" t="s">
        <v>1283</v>
      </c>
      <c r="T154" t="str">
        <f>IFERROR(VLOOKUP(ROWS($T$3:T154),$R$3:$S$718,2,0),"")</f>
        <v>Činění a úprava usní (vyčiněných kůží); zpracování a barvení kožešin; výrob</v>
      </c>
      <c r="U154">
        <f>IF(ISNUMBER(SEARCH('1Př1'!$A$33,N154)),MAX($M$2:M153)+1,0)</f>
        <v>152</v>
      </c>
      <c r="V154" s="290" t="s">
        <v>1283</v>
      </c>
      <c r="W154" t="str">
        <f>IFERROR(VLOOKUP(ROWS($W$3:W154),$U$3:$V$718,2,0),"")</f>
        <v>Činění a úprava usní (vyčiněných kůží); zpracování a barvení kožešin; výrob</v>
      </c>
      <c r="X154">
        <f>IF(ISNUMBER(SEARCH('1Př1'!$A$34,N154)),MAX($M$2:M153)+1,0)</f>
        <v>152</v>
      </c>
      <c r="Y154" s="290" t="s">
        <v>1283</v>
      </c>
      <c r="Z154" t="str">
        <f>IFERROR(VLOOKUP(ROWS($Z$3:Z154),$X$3:$Y$718,2,0),"")</f>
        <v>Činění a úprava usní (vyčiněných kůží); zpracování a barvení kožešin; výrob</v>
      </c>
    </row>
    <row r="155" spans="1:26" ht="12.75" customHeight="1">
      <c r="A155" s="266"/>
      <c r="B155" s="266"/>
      <c r="C155" s="266"/>
      <c r="D155" s="282">
        <f>IF(ISNUMBER(SEARCH(ZAKL_DATA!$B$14,E155)),MAX($D$2:D154)+1,0)</f>
        <v>153</v>
      </c>
      <c r="E155" s="294" t="s">
        <v>1284</v>
      </c>
      <c r="F155" s="295">
        <v>3012</v>
      </c>
      <c r="G155" s="296"/>
      <c r="H155" s="297" t="str">
        <f>IFERROR(VLOOKUP(ROWS($H$3:H155),$D$3:$E$204,2,0),"")</f>
        <v>IVANČICE</v>
      </c>
      <c r="I155" s="266"/>
      <c r="J155" s="299" t="s">
        <v>1285</v>
      </c>
      <c r="K155" s="288" t="s">
        <v>1286</v>
      </c>
      <c r="M155" s="289">
        <f>IF(ISNUMBER(SEARCH(ZAKL_DATA!$B$29,N155)),MAX($M$2:M154)+1,0)</f>
        <v>153</v>
      </c>
      <c r="N155" s="482" t="s">
        <v>2048</v>
      </c>
      <c r="O155" s="482" t="s">
        <v>2810</v>
      </c>
      <c r="Q155" s="291" t="str">
        <f>IFERROR(VLOOKUP(ROWS($Q$3:Q155),$M$3:$N$718,2,0),"")</f>
        <v>Maloobchod s tabákovými výrobky</v>
      </c>
      <c r="R155">
        <f>IF(ISNUMBER(SEARCH('1Př1'!$A$32,N155)),MAX($M$2:M154)+1,0)</f>
        <v>153</v>
      </c>
      <c r="S155" s="290" t="s">
        <v>1287</v>
      </c>
      <c r="T155" t="str">
        <f>IFERROR(VLOOKUP(ROWS($T$3:T155),$R$3:$S$718,2,0),"")</f>
        <v>Výroba obuvi</v>
      </c>
      <c r="U155">
        <f>IF(ISNUMBER(SEARCH('1Př1'!$A$33,N155)),MAX($M$2:M154)+1,0)</f>
        <v>153</v>
      </c>
      <c r="V155" s="290" t="s">
        <v>1287</v>
      </c>
      <c r="W155" t="str">
        <f>IFERROR(VLOOKUP(ROWS($W$3:W155),$U$3:$V$718,2,0),"")</f>
        <v>Výroba obuvi</v>
      </c>
      <c r="X155">
        <f>IF(ISNUMBER(SEARCH('1Př1'!$A$34,N155)),MAX($M$2:M154)+1,0)</f>
        <v>153</v>
      </c>
      <c r="Y155" s="290" t="s">
        <v>1287</v>
      </c>
      <c r="Z155" t="str">
        <f>IFERROR(VLOOKUP(ROWS($Z$3:Z155),$X$3:$Y$718,2,0),"")</f>
        <v>Výroba obuvi</v>
      </c>
    </row>
    <row r="156" spans="1:26" ht="12.75" customHeight="1">
      <c r="A156" s="266"/>
      <c r="B156" s="266"/>
      <c r="C156" s="266"/>
      <c r="D156" s="282">
        <f>IF(ISNUMBER(SEARCH(ZAKL_DATA!$B$14,E156)),MAX($D$2:D155)+1,0)</f>
        <v>154</v>
      </c>
      <c r="E156" s="294" t="s">
        <v>1288</v>
      </c>
      <c r="F156" s="295">
        <v>3013</v>
      </c>
      <c r="G156" s="296"/>
      <c r="H156" s="297" t="str">
        <f>IFERROR(VLOOKUP(ROWS($H$3:H156),$D$3:$E$204,2,0),"")</f>
        <v>KYJOV</v>
      </c>
      <c r="I156" s="266"/>
      <c r="J156" s="299" t="s">
        <v>1289</v>
      </c>
      <c r="K156" s="288" t="s">
        <v>1290</v>
      </c>
      <c r="M156" s="289">
        <f>IF(ISNUMBER(SEARCH(ZAKL_DATA!$B$29,N156)),MAX($M$2:M155)+1,0)</f>
        <v>154</v>
      </c>
      <c r="N156" s="482" t="s">
        <v>2053</v>
      </c>
      <c r="O156" s="482" t="s">
        <v>2811</v>
      </c>
      <c r="Q156" s="291" t="str">
        <f>IFERROR(VLOOKUP(ROWS($Q$3:Q156),$M$3:$N$718,2,0),"")</f>
        <v>Maloobchod s textilem</v>
      </c>
      <c r="R156">
        <f>IF(ISNUMBER(SEARCH('1Př1'!$A$32,N156)),MAX($M$2:M155)+1,0)</f>
        <v>154</v>
      </c>
      <c r="S156" s="290" t="s">
        <v>1291</v>
      </c>
      <c r="T156" t="str">
        <f>IFERROR(VLOOKUP(ROWS($T$3:T156),$R$3:$S$718,2,0),"")</f>
        <v>Výroba pilařská a impregnace dřeva</v>
      </c>
      <c r="U156">
        <f>IF(ISNUMBER(SEARCH('1Př1'!$A$33,N156)),MAX($M$2:M155)+1,0)</f>
        <v>154</v>
      </c>
      <c r="V156" s="290" t="s">
        <v>1291</v>
      </c>
      <c r="W156" t="str">
        <f>IFERROR(VLOOKUP(ROWS($W$3:W156),$U$3:$V$718,2,0),"")</f>
        <v>Výroba pilařská a impregnace dřeva</v>
      </c>
      <c r="X156">
        <f>IF(ISNUMBER(SEARCH('1Př1'!$A$34,N156)),MAX($M$2:M155)+1,0)</f>
        <v>154</v>
      </c>
      <c r="Y156" s="290" t="s">
        <v>1291</v>
      </c>
      <c r="Z156" t="str">
        <f>IFERROR(VLOOKUP(ROWS($Z$3:Z156),$X$3:$Y$718,2,0),"")</f>
        <v>Výroba pilařská a impregnace dřeva</v>
      </c>
    </row>
    <row r="157" spans="1:26" ht="12.75" customHeight="1">
      <c r="A157" s="266"/>
      <c r="B157" s="266"/>
      <c r="C157" s="266"/>
      <c r="D157" s="282">
        <f>IF(ISNUMBER(SEARCH(ZAKL_DATA!$B$14,E157)),MAX($D$2:D156)+1,0)</f>
        <v>155</v>
      </c>
      <c r="E157" s="294" t="s">
        <v>1292</v>
      </c>
      <c r="F157" s="295">
        <v>3014</v>
      </c>
      <c r="G157" s="296"/>
      <c r="H157" s="297" t="str">
        <f>IFERROR(VLOOKUP(ROWS($H$3:H157),$D$3:$E$204,2,0),"")</f>
        <v>MIKULOV</v>
      </c>
      <c r="I157" s="266"/>
      <c r="J157" s="299" t="s">
        <v>1293</v>
      </c>
      <c r="K157" s="288" t="s">
        <v>1294</v>
      </c>
      <c r="M157" s="289">
        <f>IF(ISNUMBER(SEARCH(ZAKL_DATA!$B$29,N157)),MAX($M$2:M156)+1,0)</f>
        <v>155</v>
      </c>
      <c r="N157" s="482" t="s">
        <v>2812</v>
      </c>
      <c r="O157" s="482" t="s">
        <v>2813</v>
      </c>
      <c r="Q157" s="291" t="str">
        <f>IFERROR(VLOOKUP(ROWS($Q$3:Q157),$M$3:$N$718,2,0),"")</f>
        <v>Maloobchod s výrobky pro kulturní rozhled a rekreaci j. n.</v>
      </c>
      <c r="R157">
        <f>IF(ISNUMBER(SEARCH('1Př1'!$A$32,N157)),MAX($M$2:M156)+1,0)</f>
        <v>155</v>
      </c>
      <c r="S157" s="290" t="s">
        <v>1295</v>
      </c>
      <c r="T157" t="str">
        <f>IFERROR(VLOOKUP(ROWS($T$3:T157),$R$3:$S$718,2,0),"")</f>
        <v>Podpůrné činnosti pro rostlinnou výrobu</v>
      </c>
      <c r="U157">
        <f>IF(ISNUMBER(SEARCH('1Př1'!$A$33,N157)),MAX($M$2:M156)+1,0)</f>
        <v>155</v>
      </c>
      <c r="V157" s="290" t="s">
        <v>1295</v>
      </c>
      <c r="W157" t="str">
        <f>IFERROR(VLOOKUP(ROWS($W$3:W157),$U$3:$V$718,2,0),"")</f>
        <v>Podpůrné činnosti pro rostlinnou výrobu</v>
      </c>
      <c r="X157">
        <f>IF(ISNUMBER(SEARCH('1Př1'!$A$34,N157)),MAX($M$2:M156)+1,0)</f>
        <v>155</v>
      </c>
      <c r="Y157" s="290" t="s">
        <v>1295</v>
      </c>
      <c r="Z157" t="str">
        <f>IFERROR(VLOOKUP(ROWS($Z$3:Z157),$X$3:$Y$718,2,0),"")</f>
        <v>Podpůrné činnosti pro rostlinnou výrobu</v>
      </c>
    </row>
    <row r="158" spans="1:26" ht="12.75" customHeight="1">
      <c r="A158" s="266"/>
      <c r="B158" s="266"/>
      <c r="C158" s="266"/>
      <c r="D158" s="282">
        <f>IF(ISNUMBER(SEARCH(ZAKL_DATA!$B$14,E158)),MAX($D$2:D157)+1,0)</f>
        <v>156</v>
      </c>
      <c r="E158" s="294" t="s">
        <v>1296</v>
      </c>
      <c r="F158" s="295">
        <v>3015</v>
      </c>
      <c r="G158" s="296"/>
      <c r="H158" s="297" t="str">
        <f>IFERROR(VLOOKUP(ROWS($H$3:H158),$D$3:$E$204,2,0),"")</f>
        <v>MORAVSKÝ KRUMLOV</v>
      </c>
      <c r="I158" s="266"/>
      <c r="J158" s="299" t="s">
        <v>1297</v>
      </c>
      <c r="K158" s="288" t="s">
        <v>1298</v>
      </c>
      <c r="M158" s="289">
        <f>IF(ISNUMBER(SEARCH(ZAKL_DATA!$B$29,N158)),MAX($M$2:M157)+1,0)</f>
        <v>156</v>
      </c>
      <c r="N158" s="482" t="s">
        <v>2814</v>
      </c>
      <c r="O158" s="482" t="s">
        <v>2815</v>
      </c>
      <c r="Q158" s="291" t="str">
        <f>IFERROR(VLOOKUP(ROWS($Q$3:Q158),$M$3:$N$718,2,0),"")</f>
        <v>Maloobchod s železářským zbožím, stavebními materiály, barvami a sklem</v>
      </c>
      <c r="R158">
        <f>IF(ISNUMBER(SEARCH('1Př1'!$A$32,N158)),MAX($M$2:M157)+1,0)</f>
        <v>156</v>
      </c>
      <c r="S158" s="290" t="s">
        <v>1299</v>
      </c>
      <c r="T158" t="str">
        <f>IFERROR(VLOOKUP(ROWS($T$3:T158),$R$3:$S$718,2,0),"")</f>
        <v>Výroba dřevěných,korkových,proutěných a slaměných výrobků,kromě nábytku</v>
      </c>
      <c r="U158">
        <f>IF(ISNUMBER(SEARCH('1Př1'!$A$33,N158)),MAX($M$2:M157)+1,0)</f>
        <v>156</v>
      </c>
      <c r="V158" s="290" t="s">
        <v>1299</v>
      </c>
      <c r="W158" t="str">
        <f>IFERROR(VLOOKUP(ROWS($W$3:W158),$U$3:$V$718,2,0),"")</f>
        <v>Výroba dřevěných,korkových,proutěných a slaměných výrobků,kromě nábytku</v>
      </c>
      <c r="X158">
        <f>IF(ISNUMBER(SEARCH('1Př1'!$A$34,N158)),MAX($M$2:M157)+1,0)</f>
        <v>156</v>
      </c>
      <c r="Y158" s="290" t="s">
        <v>1299</v>
      </c>
      <c r="Z158" t="str">
        <f>IFERROR(VLOOKUP(ROWS($Z$3:Z158),$X$3:$Y$718,2,0),"")</f>
        <v>Výroba dřevěných,korkových,proutěných a slaměných výrobků,kromě nábytku</v>
      </c>
    </row>
    <row r="159" spans="1:26" ht="12.75" customHeight="1">
      <c r="A159" s="266"/>
      <c r="B159" s="266"/>
      <c r="C159" s="266"/>
      <c r="D159" s="282">
        <f>IF(ISNUMBER(SEARCH(ZAKL_DATA!$B$14,E159)),MAX($D$2:D158)+1,0)</f>
        <v>157</v>
      </c>
      <c r="E159" s="294" t="s">
        <v>1300</v>
      </c>
      <c r="F159" s="295">
        <v>3016</v>
      </c>
      <c r="G159" s="296"/>
      <c r="H159" s="297" t="str">
        <f>IFERROR(VLOOKUP(ROWS($H$3:H159),$D$3:$E$204,2,0),"")</f>
        <v>SLAVKOV U BRNA</v>
      </c>
      <c r="I159" s="266"/>
      <c r="J159" s="299" t="s">
        <v>1301</v>
      </c>
      <c r="K159" s="288" t="s">
        <v>1302</v>
      </c>
      <c r="M159" s="289">
        <f>IF(ISNUMBER(SEARCH(ZAKL_DATA!$B$29,N159)),MAX($M$2:M158)+1,0)</f>
        <v>157</v>
      </c>
      <c r="N159" s="482" t="s">
        <v>2061</v>
      </c>
      <c r="O159" s="482" t="s">
        <v>2816</v>
      </c>
      <c r="Q159" s="291" t="str">
        <f>IFERROR(VLOOKUP(ROWS($Q$3:Q159),$M$3:$N$718,2,0),"")</f>
        <v>Maloobchod se sportovním vybavením</v>
      </c>
      <c r="R159">
        <f>IF(ISNUMBER(SEARCH('1Př1'!$A$32,N159)),MAX($M$2:M158)+1,0)</f>
        <v>157</v>
      </c>
      <c r="S159" s="290" t="s">
        <v>1303</v>
      </c>
      <c r="T159" t="str">
        <f>IFERROR(VLOOKUP(ROWS($T$3:T159),$R$3:$S$718,2,0),"")</f>
        <v>Podpůrné činnosti pro živočišnou výrobu</v>
      </c>
      <c r="U159">
        <f>IF(ISNUMBER(SEARCH('1Př1'!$A$33,N159)),MAX($M$2:M158)+1,0)</f>
        <v>157</v>
      </c>
      <c r="V159" s="290" t="s">
        <v>1303</v>
      </c>
      <c r="W159" t="str">
        <f>IFERROR(VLOOKUP(ROWS($W$3:W159),$U$3:$V$718,2,0),"")</f>
        <v>Podpůrné činnosti pro živočišnou výrobu</v>
      </c>
      <c r="X159">
        <f>IF(ISNUMBER(SEARCH('1Př1'!$A$34,N159)),MAX($M$2:M158)+1,0)</f>
        <v>157</v>
      </c>
      <c r="Y159" s="290" t="s">
        <v>1303</v>
      </c>
      <c r="Z159" t="str">
        <f>IFERROR(VLOOKUP(ROWS($Z$3:Z159),$X$3:$Y$718,2,0),"")</f>
        <v>Podpůrné činnosti pro živočišnou výrobu</v>
      </c>
    </row>
    <row r="160" spans="1:26" ht="12.75" customHeight="1">
      <c r="A160" s="266"/>
      <c r="B160" s="266"/>
      <c r="C160" s="266"/>
      <c r="D160" s="282">
        <f>IF(ISNUMBER(SEARCH(ZAKL_DATA!$B$14,E160)),MAX($D$2:D159)+1,0)</f>
        <v>158</v>
      </c>
      <c r="E160" s="294" t="s">
        <v>1304</v>
      </c>
      <c r="F160" s="295">
        <v>3017</v>
      </c>
      <c r="G160" s="296"/>
      <c r="H160" s="297" t="str">
        <f>IFERROR(VLOOKUP(ROWS($H$3:H160),$D$3:$E$204,2,0),"")</f>
        <v>TIŠNOV</v>
      </c>
      <c r="I160" s="266"/>
      <c r="J160" s="299" t="s">
        <v>1305</v>
      </c>
      <c r="K160" s="288" t="s">
        <v>1306</v>
      </c>
      <c r="M160" s="289">
        <f>IF(ISNUMBER(SEARCH(ZAKL_DATA!$B$29,N160)),MAX($M$2:M159)+1,0)</f>
        <v>158</v>
      </c>
      <c r="N160" s="482" t="s">
        <v>2066</v>
      </c>
      <c r="O160" s="482" t="s">
        <v>2817</v>
      </c>
      <c r="Q160" s="291" t="str">
        <f>IFERROR(VLOOKUP(ROWS($Q$3:Q160),$M$3:$N$718,2,0),"")</f>
        <v>Maloobchod se zdravotnickými a ortopedickými výrobky</v>
      </c>
      <c r="R160">
        <f>IF(ISNUMBER(SEARCH('1Př1'!$A$32,N160)),MAX($M$2:M159)+1,0)</f>
        <v>158</v>
      </c>
      <c r="S160" s="290" t="s">
        <v>1307</v>
      </c>
      <c r="T160" t="str">
        <f>IFERROR(VLOOKUP(ROWS($T$3:T160),$R$3:$S$718,2,0),"")</f>
        <v>Posklizňové činnosti</v>
      </c>
      <c r="U160">
        <f>IF(ISNUMBER(SEARCH('1Př1'!$A$33,N160)),MAX($M$2:M159)+1,0)</f>
        <v>158</v>
      </c>
      <c r="V160" s="290" t="s">
        <v>1307</v>
      </c>
      <c r="W160" t="str">
        <f>IFERROR(VLOOKUP(ROWS($W$3:W160),$U$3:$V$718,2,0),"")</f>
        <v>Posklizňové činnosti</v>
      </c>
      <c r="X160">
        <f>IF(ISNUMBER(SEARCH('1Př1'!$A$34,N160)),MAX($M$2:M159)+1,0)</f>
        <v>158</v>
      </c>
      <c r="Y160" s="290" t="s">
        <v>1307</v>
      </c>
      <c r="Z160" t="str">
        <f>IFERROR(VLOOKUP(ROWS($Z$3:Z160),$X$3:$Y$718,2,0),"")</f>
        <v>Posklizňové činnosti</v>
      </c>
    </row>
    <row r="161" spans="1:26" ht="12.75" customHeight="1">
      <c r="A161" s="266"/>
      <c r="B161" s="266"/>
      <c r="C161" s="266"/>
      <c r="D161" s="282">
        <f>IF(ISNUMBER(SEARCH(ZAKL_DATA!$B$14,E161)),MAX($D$2:D160)+1,0)</f>
        <v>159</v>
      </c>
      <c r="E161" s="294" t="s">
        <v>1308</v>
      </c>
      <c r="F161" s="295">
        <v>3018</v>
      </c>
      <c r="G161" s="296"/>
      <c r="H161" s="297" t="str">
        <f>IFERROR(VLOOKUP(ROWS($H$3:H161),$D$3:$E$204,2,0),"")</f>
        <v>VESELÍ NAD MORAVOU</v>
      </c>
      <c r="I161" s="266"/>
      <c r="J161" s="298" t="s">
        <v>1309</v>
      </c>
      <c r="K161" s="288" t="s">
        <v>1310</v>
      </c>
      <c r="M161" s="289">
        <f>IF(ISNUMBER(SEARCH(ZAKL_DATA!$B$29,N161)),MAX($M$2:M160)+1,0)</f>
        <v>159</v>
      </c>
      <c r="N161" s="482" t="s">
        <v>2093</v>
      </c>
      <c r="O161" s="482" t="s">
        <v>2818</v>
      </c>
      <c r="Q161" s="291" t="str">
        <f>IFERROR(VLOOKUP(ROWS($Q$3:Q161),$M$3:$N$718,2,0),"")</f>
        <v>Manipulace s nákladem</v>
      </c>
      <c r="R161">
        <f>IF(ISNUMBER(SEARCH('1Př1'!$A$32,N161)),MAX($M$2:M160)+1,0)</f>
        <v>159</v>
      </c>
      <c r="S161" s="290" t="s">
        <v>1311</v>
      </c>
      <c r="T161" t="str">
        <f>IFERROR(VLOOKUP(ROWS($T$3:T161),$R$3:$S$718,2,0),"")</f>
        <v>Zpracování osiva pro účely množení</v>
      </c>
      <c r="U161">
        <f>IF(ISNUMBER(SEARCH('1Př1'!$A$33,N161)),MAX($M$2:M160)+1,0)</f>
        <v>159</v>
      </c>
      <c r="V161" s="290" t="s">
        <v>1311</v>
      </c>
      <c r="W161" t="str">
        <f>IFERROR(VLOOKUP(ROWS($W$3:W161),$U$3:$V$718,2,0),"")</f>
        <v>Zpracování osiva pro účely množení</v>
      </c>
      <c r="X161">
        <f>IF(ISNUMBER(SEARCH('1Př1'!$A$34,N161)),MAX($M$2:M160)+1,0)</f>
        <v>159</v>
      </c>
      <c r="Y161" s="290" t="s">
        <v>1311</v>
      </c>
      <c r="Z161" t="str">
        <f>IFERROR(VLOOKUP(ROWS($Z$3:Z161),$X$3:$Y$718,2,0),"")</f>
        <v>Zpracování osiva pro účely množení</v>
      </c>
    </row>
    <row r="162" spans="1:26" ht="12.75" customHeight="1">
      <c r="A162" s="266"/>
      <c r="B162" s="266"/>
      <c r="C162" s="266"/>
      <c r="D162" s="282">
        <f>IF(ISNUMBER(SEARCH(ZAKL_DATA!$B$14,E162)),MAX($D$2:D161)+1,0)</f>
        <v>160</v>
      </c>
      <c r="E162" s="294" t="s">
        <v>1312</v>
      </c>
      <c r="F162" s="295">
        <v>3019</v>
      </c>
      <c r="G162" s="296"/>
      <c r="H162" s="297" t="str">
        <f>IFERROR(VLOOKUP(ROWS($H$3:H162),$D$3:$E$204,2,0),"")</f>
        <v>VYŠKOV</v>
      </c>
      <c r="I162" s="266"/>
      <c r="J162" s="299" t="s">
        <v>1313</v>
      </c>
      <c r="K162" s="288" t="s">
        <v>1314</v>
      </c>
      <c r="M162" s="289">
        <f>IF(ISNUMBER(SEARCH(ZAKL_DATA!$B$29,N162)),MAX($M$2:M161)+1,0)</f>
        <v>160</v>
      </c>
      <c r="N162" s="482" t="s">
        <v>737</v>
      </c>
      <c r="O162" s="482" t="s">
        <v>2819</v>
      </c>
      <c r="Q162" s="291" t="str">
        <f>IFERROR(VLOOKUP(ROWS($Q$3:Q162),$M$3:$N$718,2,0),"")</f>
        <v>Množení rostlin</v>
      </c>
      <c r="R162">
        <f>IF(ISNUMBER(SEARCH('1Př1'!$A$32,N162)),MAX($M$2:M161)+1,0)</f>
        <v>160</v>
      </c>
      <c r="S162" s="290" t="s">
        <v>1315</v>
      </c>
      <c r="T162" t="str">
        <f>IFERROR(VLOOKUP(ROWS($T$3:T162),$R$3:$S$718,2,0),"")</f>
        <v>Výroba buničiny, papíru a lepenky</v>
      </c>
      <c r="U162">
        <f>IF(ISNUMBER(SEARCH('1Př1'!$A$33,N162)),MAX($M$2:M161)+1,0)</f>
        <v>160</v>
      </c>
      <c r="V162" s="290" t="s">
        <v>1315</v>
      </c>
      <c r="W162" t="str">
        <f>IFERROR(VLOOKUP(ROWS($W$3:W162),$U$3:$V$718,2,0),"")</f>
        <v>Výroba buničiny, papíru a lepenky</v>
      </c>
      <c r="X162">
        <f>IF(ISNUMBER(SEARCH('1Př1'!$A$34,N162)),MAX($M$2:M161)+1,0)</f>
        <v>160</v>
      </c>
      <c r="Y162" s="290" t="s">
        <v>1315</v>
      </c>
      <c r="Z162" t="str">
        <f>IFERROR(VLOOKUP(ROWS($Z$3:Z162),$X$3:$Y$718,2,0),"")</f>
        <v>Výroba buničiny, papíru a lepenky</v>
      </c>
    </row>
    <row r="163" spans="1:26" ht="12.75" customHeight="1">
      <c r="A163" s="266"/>
      <c r="B163" s="266"/>
      <c r="C163" s="266"/>
      <c r="D163" s="282">
        <f>IF(ISNUMBER(SEARCH(ZAKL_DATA!$B$14,E163)),MAX($D$2:D162)+1,0)</f>
        <v>161</v>
      </c>
      <c r="E163" s="294" t="s">
        <v>1316</v>
      </c>
      <c r="F163" s="295">
        <v>3020</v>
      </c>
      <c r="G163" s="296"/>
      <c r="H163" s="297" t="str">
        <f>IFERROR(VLOOKUP(ROWS($H$3:H163),$D$3:$E$204,2,0),"")</f>
        <v>ZNOJMO</v>
      </c>
      <c r="I163" s="266"/>
      <c r="J163" s="299" t="s">
        <v>1317</v>
      </c>
      <c r="K163" s="288" t="s">
        <v>1318</v>
      </c>
      <c r="M163" s="289">
        <f>IF(ISNUMBER(SEARCH(ZAKL_DATA!$B$29,N163)),MAX($M$2:M162)+1,0)</f>
        <v>161</v>
      </c>
      <c r="N163" s="482" t="s">
        <v>1557</v>
      </c>
      <c r="O163" s="482" t="s">
        <v>2820</v>
      </c>
      <c r="Q163" s="291" t="str">
        <f>IFERROR(VLOOKUP(ROWS($Q$3:Q163),$M$3:$N$718,2,0),"")</f>
        <v>Mořská akvakultura</v>
      </c>
      <c r="R163">
        <f>IF(ISNUMBER(SEARCH('1Př1'!$A$32,N163)),MAX($M$2:M162)+1,0)</f>
        <v>161</v>
      </c>
      <c r="S163" s="290" t="s">
        <v>1319</v>
      </c>
      <c r="T163" t="str">
        <f>IFERROR(VLOOKUP(ROWS($T$3:T163),$R$3:$S$718,2,0),"")</f>
        <v>Výroba výrobků z papíru a lepenky</v>
      </c>
      <c r="U163">
        <f>IF(ISNUMBER(SEARCH('1Př1'!$A$33,N163)),MAX($M$2:M162)+1,0)</f>
        <v>161</v>
      </c>
      <c r="V163" s="290" t="s">
        <v>1319</v>
      </c>
      <c r="W163" t="str">
        <f>IFERROR(VLOOKUP(ROWS($W$3:W163),$U$3:$V$718,2,0),"")</f>
        <v>Výroba výrobků z papíru a lepenky</v>
      </c>
      <c r="X163">
        <f>IF(ISNUMBER(SEARCH('1Př1'!$A$34,N163)),MAX($M$2:M162)+1,0)</f>
        <v>161</v>
      </c>
      <c r="Y163" s="290" t="s">
        <v>1319</v>
      </c>
      <c r="Z163" t="str">
        <f>IFERROR(VLOOKUP(ROWS($Z$3:Z163),$X$3:$Y$718,2,0),"")</f>
        <v>Výroba výrobků z papíru a lepenky</v>
      </c>
    </row>
    <row r="164" spans="1:26" ht="12.75" customHeight="1">
      <c r="A164" s="266"/>
      <c r="B164" s="266"/>
      <c r="C164" s="266"/>
      <c r="D164" s="282">
        <f>IF(ISNUMBER(SEARCH(ZAKL_DATA!$B$14,E164)),MAX($D$2:D163)+1,0)</f>
        <v>162</v>
      </c>
      <c r="E164" s="294" t="s">
        <v>1320</v>
      </c>
      <c r="F164" s="295">
        <v>3101</v>
      </c>
      <c r="G164" s="296"/>
      <c r="H164" s="297" t="str">
        <f>IFERROR(VLOOKUP(ROWS($H$3:H164),$D$3:$E$204,2,0),"")</f>
        <v>OLOMOUC</v>
      </c>
      <c r="I164" s="266"/>
      <c r="J164" s="299" t="s">
        <v>1321</v>
      </c>
      <c r="K164" s="288" t="s">
        <v>1322</v>
      </c>
      <c r="M164" s="289">
        <f>IF(ISNUMBER(SEARCH(ZAKL_DATA!$B$29,N164)),MAX($M$2:M163)+1,0)</f>
        <v>162</v>
      </c>
      <c r="N164" s="482" t="s">
        <v>1548</v>
      </c>
      <c r="O164" s="482" t="s">
        <v>2821</v>
      </c>
      <c r="Q164" s="291" t="str">
        <f>IFERROR(VLOOKUP(ROWS($Q$3:Q164),$M$3:$N$718,2,0),"")</f>
        <v>Mořský rybolov</v>
      </c>
      <c r="R164">
        <f>IF(ISNUMBER(SEARCH('1Př1'!$A$32,N164)),MAX($M$2:M163)+1,0)</f>
        <v>162</v>
      </c>
      <c r="S164" s="290" t="s">
        <v>1323</v>
      </c>
      <c r="T164" t="str">
        <f>IFERROR(VLOOKUP(ROWS($T$3:T164),$R$3:$S$718,2,0),"")</f>
        <v>Tisk a činnosti související s tiskem</v>
      </c>
      <c r="U164">
        <f>IF(ISNUMBER(SEARCH('1Př1'!$A$33,N164)),MAX($M$2:M163)+1,0)</f>
        <v>162</v>
      </c>
      <c r="V164" s="290" t="s">
        <v>1323</v>
      </c>
      <c r="W164" t="str">
        <f>IFERROR(VLOOKUP(ROWS($W$3:W164),$U$3:$V$718,2,0),"")</f>
        <v>Tisk a činnosti související s tiskem</v>
      </c>
      <c r="X164">
        <f>IF(ISNUMBER(SEARCH('1Př1'!$A$34,N164)),MAX($M$2:M163)+1,0)</f>
        <v>162</v>
      </c>
      <c r="Y164" s="290" t="s">
        <v>1323</v>
      </c>
      <c r="Z164" t="str">
        <f>IFERROR(VLOOKUP(ROWS($Z$3:Z164),$X$3:$Y$718,2,0),"")</f>
        <v>Tisk a činnosti související s tiskem</v>
      </c>
    </row>
    <row r="165" spans="1:26" ht="12.75" customHeight="1">
      <c r="A165" s="266"/>
      <c r="B165" s="266"/>
      <c r="C165" s="266"/>
      <c r="D165" s="282">
        <f>IF(ISNUMBER(SEARCH(ZAKL_DATA!$B$14,E165)),MAX($D$2:D164)+1,0)</f>
        <v>163</v>
      </c>
      <c r="E165" s="294" t="s">
        <v>1324</v>
      </c>
      <c r="F165" s="295">
        <v>3102</v>
      </c>
      <c r="G165" s="296"/>
      <c r="H165" s="297" t="str">
        <f>IFERROR(VLOOKUP(ROWS($H$3:H165),$D$3:$E$204,2,0),"")</f>
        <v>HRANICE</v>
      </c>
      <c r="I165" s="266"/>
      <c r="J165" s="298" t="s">
        <v>1325</v>
      </c>
      <c r="K165" s="288" t="s">
        <v>1326</v>
      </c>
      <c r="M165" s="289">
        <f>IF(ISNUMBER(SEARCH(ZAKL_DATA!$B$29,N165)),MAX($M$2:M164)+1,0)</f>
        <v>163</v>
      </c>
      <c r="N165" s="482" t="s">
        <v>1693</v>
      </c>
      <c r="O165" s="482" t="s">
        <v>2822</v>
      </c>
      <c r="Q165" s="291" t="str">
        <f>IFERROR(VLOOKUP(ROWS($Q$3:Q165),$M$3:$N$718,2,0),"")</f>
        <v>Nákup a následný prodej vlastních nemovitostí</v>
      </c>
      <c r="R165">
        <f>IF(ISNUMBER(SEARCH('1Př1'!$A$32,N165)),MAX($M$2:M164)+1,0)</f>
        <v>163</v>
      </c>
      <c r="S165" s="290" t="s">
        <v>1327</v>
      </c>
      <c r="T165" t="str">
        <f>IFERROR(VLOOKUP(ROWS($T$3:T165),$R$3:$S$718,2,0),"")</f>
        <v>Rozmnožování nahraných nosičů</v>
      </c>
      <c r="U165">
        <f>IF(ISNUMBER(SEARCH('1Př1'!$A$33,N165)),MAX($M$2:M164)+1,0)</f>
        <v>163</v>
      </c>
      <c r="V165" s="290" t="s">
        <v>1327</v>
      </c>
      <c r="W165" t="str">
        <f>IFERROR(VLOOKUP(ROWS($W$3:W165),$U$3:$V$718,2,0),"")</f>
        <v>Rozmnožování nahraných nosičů</v>
      </c>
      <c r="X165">
        <f>IF(ISNUMBER(SEARCH('1Př1'!$A$34,N165)),MAX($M$2:M164)+1,0)</f>
        <v>163</v>
      </c>
      <c r="Y165" s="290" t="s">
        <v>1327</v>
      </c>
      <c r="Z165" t="str">
        <f>IFERROR(VLOOKUP(ROWS($Z$3:Z165),$X$3:$Y$718,2,0),"")</f>
        <v>Rozmnožování nahraných nosičů</v>
      </c>
    </row>
    <row r="166" spans="1:26" ht="12.75" customHeight="1">
      <c r="A166" s="266"/>
      <c r="B166" s="266"/>
      <c r="C166" s="266"/>
      <c r="D166" s="282">
        <f>IF(ISNUMBER(SEARCH(ZAKL_DATA!$B$14,E166)),MAX($D$2:D165)+1,0)</f>
        <v>164</v>
      </c>
      <c r="E166" s="294" t="s">
        <v>1328</v>
      </c>
      <c r="F166" s="295">
        <v>3103</v>
      </c>
      <c r="G166" s="296"/>
      <c r="H166" s="297" t="str">
        <f>IFERROR(VLOOKUP(ROWS($H$3:H166),$D$3:$E$204,2,0),"")</f>
        <v>JESENÍK</v>
      </c>
      <c r="I166" s="266"/>
      <c r="J166" s="299" t="s">
        <v>1329</v>
      </c>
      <c r="K166" s="288" t="s">
        <v>1330</v>
      </c>
      <c r="M166" s="289">
        <f>IF(ISNUMBER(SEARCH(ZAKL_DATA!$B$29,N166)),MAX($M$2:M165)+1,0)</f>
        <v>164</v>
      </c>
      <c r="N166" s="482" t="s">
        <v>1656</v>
      </c>
      <c r="O166" s="482" t="s">
        <v>2823</v>
      </c>
      <c r="Q166" s="291" t="str">
        <f>IFERROR(VLOOKUP(ROWS($Q$3:Q166),$M$3:$N$718,2,0),"")</f>
        <v>Námořní a pobřežní nákladní doprava</v>
      </c>
      <c r="R166">
        <f>IF(ISNUMBER(SEARCH('1Př1'!$A$32,N166)),MAX($M$2:M165)+1,0)</f>
        <v>164</v>
      </c>
      <c r="S166" s="290" t="s">
        <v>1331</v>
      </c>
      <c r="T166" t="str">
        <f>IFERROR(VLOOKUP(ROWS($T$3:T166),$R$3:$S$718,2,0),"")</f>
        <v>Výroba koksárenských produktů</v>
      </c>
      <c r="U166">
        <f>IF(ISNUMBER(SEARCH('1Př1'!$A$33,N166)),MAX($M$2:M165)+1,0)</f>
        <v>164</v>
      </c>
      <c r="V166" s="290" t="s">
        <v>1331</v>
      </c>
      <c r="W166" t="str">
        <f>IFERROR(VLOOKUP(ROWS($W$3:W166),$U$3:$V$718,2,0),"")</f>
        <v>Výroba koksárenských produktů</v>
      </c>
      <c r="X166">
        <f>IF(ISNUMBER(SEARCH('1Př1'!$A$34,N166)),MAX($M$2:M165)+1,0)</f>
        <v>164</v>
      </c>
      <c r="Y166" s="290" t="s">
        <v>1331</v>
      </c>
      <c r="Z166" t="str">
        <f>IFERROR(VLOOKUP(ROWS($Z$3:Z166),$X$3:$Y$718,2,0),"")</f>
        <v>Výroba koksárenských produktů</v>
      </c>
    </row>
    <row r="167" spans="1:26" ht="12.75" customHeight="1">
      <c r="A167" s="266"/>
      <c r="B167" s="266"/>
      <c r="C167" s="266"/>
      <c r="D167" s="282">
        <f>IF(ISNUMBER(SEARCH(ZAKL_DATA!$B$14,E167)),MAX($D$2:D166)+1,0)</f>
        <v>165</v>
      </c>
      <c r="E167" s="294" t="s">
        <v>1332</v>
      </c>
      <c r="F167" s="295">
        <v>3104</v>
      </c>
      <c r="G167" s="296"/>
      <c r="H167" s="297" t="str">
        <f>IFERROR(VLOOKUP(ROWS($H$3:H167),$D$3:$E$204,2,0),"")</f>
        <v>KONICE</v>
      </c>
      <c r="I167" s="266"/>
      <c r="J167" s="299" t="s">
        <v>1333</v>
      </c>
      <c r="K167" s="288" t="s">
        <v>1334</v>
      </c>
      <c r="M167" s="289">
        <f>IF(ISNUMBER(SEARCH(ZAKL_DATA!$B$29,N167)),MAX($M$2:M166)+1,0)</f>
        <v>165</v>
      </c>
      <c r="N167" s="482" t="s">
        <v>1655</v>
      </c>
      <c r="O167" s="482" t="s">
        <v>2824</v>
      </c>
      <c r="Q167" s="291" t="str">
        <f>IFERROR(VLOOKUP(ROWS($Q$3:Q167),$M$3:$N$718,2,0),"")</f>
        <v>Námořní a pobřežní osobní doprava</v>
      </c>
      <c r="R167">
        <f>IF(ISNUMBER(SEARCH('1Př1'!$A$32,N167)),MAX($M$2:M166)+1,0)</f>
        <v>165</v>
      </c>
      <c r="S167" s="290" t="s">
        <v>1335</v>
      </c>
      <c r="T167" t="str">
        <f>IFERROR(VLOOKUP(ROWS($T$3:T167),$R$3:$S$718,2,0),"")</f>
        <v>Výroba rafinovaných ropných produktů</v>
      </c>
      <c r="U167">
        <f>IF(ISNUMBER(SEARCH('1Př1'!$A$33,N167)),MAX($M$2:M166)+1,0)</f>
        <v>165</v>
      </c>
      <c r="V167" s="290" t="s">
        <v>1335</v>
      </c>
      <c r="W167" t="str">
        <f>IFERROR(VLOOKUP(ROWS($W$3:W167),$U$3:$V$718,2,0),"")</f>
        <v>Výroba rafinovaných ropných produktů</v>
      </c>
      <c r="X167">
        <f>IF(ISNUMBER(SEARCH('1Př1'!$A$34,N167)),MAX($M$2:M166)+1,0)</f>
        <v>165</v>
      </c>
      <c r="Y167" s="290" t="s">
        <v>1335</v>
      </c>
      <c r="Z167" t="str">
        <f>IFERROR(VLOOKUP(ROWS($Z$3:Z167),$X$3:$Y$718,2,0),"")</f>
        <v>Výroba rafinovaných ropných produktů</v>
      </c>
    </row>
    <row r="168" spans="1:26" ht="12.75" customHeight="1">
      <c r="A168" s="266"/>
      <c r="B168" s="266"/>
      <c r="C168" s="266"/>
      <c r="D168" s="282">
        <f>IF(ISNUMBER(SEARCH(ZAKL_DATA!$B$14,E168)),MAX($D$2:D167)+1,0)</f>
        <v>166</v>
      </c>
      <c r="E168" s="294" t="s">
        <v>1336</v>
      </c>
      <c r="F168" s="295">
        <v>3105</v>
      </c>
      <c r="G168" s="296"/>
      <c r="H168" s="297" t="str">
        <f>IFERROR(VLOOKUP(ROWS($H$3:H168),$D$3:$E$204,2,0),"")</f>
        <v>LITOVEL</v>
      </c>
      <c r="I168" s="266"/>
      <c r="J168" s="299" t="s">
        <v>1337</v>
      </c>
      <c r="K168" s="288" t="s">
        <v>1338</v>
      </c>
      <c r="M168" s="289">
        <f>IF(ISNUMBER(SEARCH(ZAKL_DATA!$B$29,N168)),MAX($M$2:M167)+1,0)</f>
        <v>166</v>
      </c>
      <c r="N168" s="482" t="s">
        <v>2825</v>
      </c>
      <c r="O168" s="482" t="s">
        <v>2826</v>
      </c>
      <c r="Q168" s="291" t="str">
        <f>IFERROR(VLOOKUP(ROWS($Q$3:Q168),$M$3:$N$718,2,0),"")</f>
        <v>Navrhování interiérů</v>
      </c>
      <c r="R168">
        <f>IF(ISNUMBER(SEARCH('1Př1'!$A$32,N168)),MAX($M$2:M167)+1,0)</f>
        <v>166</v>
      </c>
      <c r="S168" s="290" t="s">
        <v>1339</v>
      </c>
      <c r="T168" t="str">
        <f>IFERROR(VLOOKUP(ROWS($T$3:T168),$R$3:$S$718,2,0),"")</f>
        <v>Výroba zákl.chem.látek,hnojiv a dusík.sl.,plastů a synt.kaučuku v prim.f.</v>
      </c>
      <c r="U168">
        <f>IF(ISNUMBER(SEARCH('1Př1'!$A$33,N168)),MAX($M$2:M167)+1,0)</f>
        <v>166</v>
      </c>
      <c r="V168" s="290" t="s">
        <v>1339</v>
      </c>
      <c r="W168" t="str">
        <f>IFERROR(VLOOKUP(ROWS($W$3:W168),$U$3:$V$718,2,0),"")</f>
        <v>Výroba zákl.chem.látek,hnojiv a dusík.sl.,plastů a synt.kaučuku v prim.f.</v>
      </c>
      <c r="X168">
        <f>IF(ISNUMBER(SEARCH('1Př1'!$A$34,N168)),MAX($M$2:M167)+1,0)</f>
        <v>166</v>
      </c>
      <c r="Y168" s="290" t="s">
        <v>1339</v>
      </c>
      <c r="Z168" t="str">
        <f>IFERROR(VLOOKUP(ROWS($Z$3:Z168),$X$3:$Y$718,2,0),"")</f>
        <v>Výroba zákl.chem.látek,hnojiv a dusík.sl.,plastů a synt.kaučuku v prim.f.</v>
      </c>
    </row>
    <row r="169" spans="1:26" ht="12.75" customHeight="1">
      <c r="A169" s="266"/>
      <c r="B169" s="266"/>
      <c r="C169" s="266"/>
      <c r="D169" s="282">
        <f>IF(ISNUMBER(SEARCH(ZAKL_DATA!$B$14,E169)),MAX($D$2:D168)+1,0)</f>
        <v>167</v>
      </c>
      <c r="E169" s="294" t="s">
        <v>1340</v>
      </c>
      <c r="F169" s="295">
        <v>3106</v>
      </c>
      <c r="G169" s="296"/>
      <c r="H169" s="297" t="str">
        <f>IFERROR(VLOOKUP(ROWS($H$3:H169),$D$3:$E$204,2,0),"")</f>
        <v>PROSTĚJOV</v>
      </c>
      <c r="I169" s="266"/>
      <c r="J169" s="299" t="s">
        <v>1341</v>
      </c>
      <c r="K169" s="288" t="s">
        <v>1342</v>
      </c>
      <c r="M169" s="289">
        <f>IF(ISNUMBER(SEARCH(ZAKL_DATA!$B$29,N169)),MAX($M$2:M168)+1,0)</f>
        <v>167</v>
      </c>
      <c r="N169" s="482" t="s">
        <v>2827</v>
      </c>
      <c r="O169" s="482" t="s">
        <v>2828</v>
      </c>
      <c r="Q169" s="291" t="str">
        <f>IFERROR(VLOOKUP(ROWS($Q$3:Q169),$M$3:$N$718,2,0),"")</f>
        <v>Nepravidelná silniční osobní doprava</v>
      </c>
      <c r="R169">
        <f>IF(ISNUMBER(SEARCH('1Př1'!$A$32,N169)),MAX($M$2:M168)+1,0)</f>
        <v>167</v>
      </c>
      <c r="S169" s="290" t="s">
        <v>1343</v>
      </c>
      <c r="T169" t="str">
        <f>IFERROR(VLOOKUP(ROWS($T$3:T169),$R$3:$S$718,2,0),"")</f>
        <v>Výroba pesticidů a jiných agrochemických přípravků</v>
      </c>
      <c r="U169">
        <f>IF(ISNUMBER(SEARCH('1Př1'!$A$33,N169)),MAX($M$2:M168)+1,0)</f>
        <v>167</v>
      </c>
      <c r="V169" s="290" t="s">
        <v>1343</v>
      </c>
      <c r="W169" t="str">
        <f>IFERROR(VLOOKUP(ROWS($W$3:W169),$U$3:$V$718,2,0),"")</f>
        <v>Výroba pesticidů a jiných agrochemických přípravků</v>
      </c>
      <c r="X169">
        <f>IF(ISNUMBER(SEARCH('1Př1'!$A$34,N169)),MAX($M$2:M168)+1,0)</f>
        <v>167</v>
      </c>
      <c r="Y169" s="290" t="s">
        <v>1343</v>
      </c>
      <c r="Z169" t="str">
        <f>IFERROR(VLOOKUP(ROWS($Z$3:Z169),$X$3:$Y$718,2,0),"")</f>
        <v>Výroba pesticidů a jiných agrochemických přípravků</v>
      </c>
    </row>
    <row r="170" spans="1:26" ht="12.75" customHeight="1">
      <c r="A170" s="266"/>
      <c r="B170" s="266"/>
      <c r="C170" s="266"/>
      <c r="D170" s="282">
        <f>IF(ISNUMBER(SEARCH(ZAKL_DATA!$B$14,E170)),MAX($D$2:D169)+1,0)</f>
        <v>168</v>
      </c>
      <c r="E170" s="294" t="s">
        <v>1344</v>
      </c>
      <c r="F170" s="295">
        <v>3107</v>
      </c>
      <c r="G170" s="296"/>
      <c r="H170" s="297" t="str">
        <f>IFERROR(VLOOKUP(ROWS($H$3:H170),$D$3:$E$204,2,0),"")</f>
        <v>PŘEROV</v>
      </c>
      <c r="I170" s="266"/>
      <c r="J170" s="299" t="s">
        <v>1345</v>
      </c>
      <c r="K170" s="288" t="s">
        <v>1346</v>
      </c>
      <c r="M170" s="289">
        <f>IF(ISNUMBER(SEARCH(ZAKL_DATA!$B$29,N170)),MAX($M$2:M169)+1,0)</f>
        <v>168</v>
      </c>
      <c r="N170" s="482" t="s">
        <v>2829</v>
      </c>
      <c r="O170" s="482" t="s">
        <v>2830</v>
      </c>
      <c r="Q170" s="291" t="str">
        <f>IFERROR(VLOOKUP(ROWS($Q$3:Q170),$M$3:$N$718,2,0),"")</f>
        <v>Nespecializovaný maloobchod s převahou potravin, nápojů a tabákových výrobků</v>
      </c>
      <c r="R170">
        <f>IF(ISNUMBER(SEARCH('1Př1'!$A$32,N170)),MAX($M$2:M169)+1,0)</f>
        <v>168</v>
      </c>
      <c r="S170" s="290" t="s">
        <v>1347</v>
      </c>
      <c r="T170" t="str">
        <f>IFERROR(VLOOKUP(ROWS($T$3:T170),$R$3:$S$718,2,0),"")</f>
        <v>Výroba nátěr.barev,laků a jiných nátěrových mater.,tisk.barev a tmelů</v>
      </c>
      <c r="U170">
        <f>IF(ISNUMBER(SEARCH('1Př1'!$A$33,N170)),MAX($M$2:M169)+1,0)</f>
        <v>168</v>
      </c>
      <c r="V170" s="290" t="s">
        <v>1347</v>
      </c>
      <c r="W170" t="str">
        <f>IFERROR(VLOOKUP(ROWS($W$3:W170),$U$3:$V$718,2,0),"")</f>
        <v>Výroba nátěr.barev,laků a jiných nátěrových mater.,tisk.barev a tmelů</v>
      </c>
      <c r="X170">
        <f>IF(ISNUMBER(SEARCH('1Př1'!$A$34,N170)),MAX($M$2:M169)+1,0)</f>
        <v>168</v>
      </c>
      <c r="Y170" s="290" t="s">
        <v>1347</v>
      </c>
      <c r="Z170" t="str">
        <f>IFERROR(VLOOKUP(ROWS($Z$3:Z170),$X$3:$Y$718,2,0),"")</f>
        <v>Výroba nátěr.barev,laků a jiných nátěrových mater.,tisk.barev a tmelů</v>
      </c>
    </row>
    <row r="171" spans="1:26" ht="12.75" customHeight="1">
      <c r="A171" s="266"/>
      <c r="B171" s="266"/>
      <c r="C171" s="266"/>
      <c r="D171" s="282">
        <f>IF(ISNUMBER(SEARCH(ZAKL_DATA!$B$14,E171)),MAX($D$2:D170)+1,0)</f>
        <v>169</v>
      </c>
      <c r="E171" s="294" t="s">
        <v>1348</v>
      </c>
      <c r="F171" s="295">
        <v>3108</v>
      </c>
      <c r="G171" s="296"/>
      <c r="H171" s="297" t="str">
        <f>IFERROR(VLOOKUP(ROWS($H$3:H171),$D$3:$E$204,2,0),"")</f>
        <v>ŠTERNBERK</v>
      </c>
      <c r="I171" s="266"/>
      <c r="J171" s="299" t="s">
        <v>1349</v>
      </c>
      <c r="K171" s="288" t="s">
        <v>1350</v>
      </c>
      <c r="M171" s="289">
        <f>IF(ISNUMBER(SEARCH(ZAKL_DATA!$B$29,N171)),MAX($M$2:M170)+1,0)</f>
        <v>169</v>
      </c>
      <c r="N171" s="482" t="s">
        <v>1640</v>
      </c>
      <c r="O171" s="482" t="s">
        <v>2831</v>
      </c>
      <c r="Q171" s="291" t="str">
        <f>IFERROR(VLOOKUP(ROWS($Q$3:Q171),$M$3:$N$718,2,0),"")</f>
        <v>Nespecializovaný velkoobchod</v>
      </c>
      <c r="R171">
        <f>IF(ISNUMBER(SEARCH('1Př1'!$A$32,N171)),MAX($M$2:M170)+1,0)</f>
        <v>169</v>
      </c>
      <c r="S171" s="290" t="s">
        <v>1351</v>
      </c>
      <c r="T171" t="str">
        <f>IFERROR(VLOOKUP(ROWS($T$3:T171),$R$3:$S$718,2,0),"")</f>
        <v>Výroba mýdel a detergentů,čist.a lešticích prostř.,parfémů a toal. přípr.</v>
      </c>
      <c r="U171">
        <f>IF(ISNUMBER(SEARCH('1Př1'!$A$33,N171)),MAX($M$2:M170)+1,0)</f>
        <v>169</v>
      </c>
      <c r="V171" s="290" t="s">
        <v>1351</v>
      </c>
      <c r="W171" t="str">
        <f>IFERROR(VLOOKUP(ROWS($W$3:W171),$U$3:$V$718,2,0),"")</f>
        <v>Výroba mýdel a detergentů,čist.a lešticích prostř.,parfémů a toal. přípr.</v>
      </c>
      <c r="X171">
        <f>IF(ISNUMBER(SEARCH('1Př1'!$A$34,N171)),MAX($M$2:M170)+1,0)</f>
        <v>169</v>
      </c>
      <c r="Y171" s="290" t="s">
        <v>1351</v>
      </c>
      <c r="Z171" t="str">
        <f>IFERROR(VLOOKUP(ROWS($Z$3:Z171),$X$3:$Y$718,2,0),"")</f>
        <v>Výroba mýdel a detergentů,čist.a lešticích prostř.,parfémů a toal. přípr.</v>
      </c>
    </row>
    <row r="172" spans="1:26" ht="12.75" customHeight="1">
      <c r="A172" s="266"/>
      <c r="B172" s="266"/>
      <c r="C172" s="266"/>
      <c r="D172" s="282">
        <f>IF(ISNUMBER(SEARCH(ZAKL_DATA!$B$14,E172)),MAX($D$2:D171)+1,0)</f>
        <v>170</v>
      </c>
      <c r="E172" s="294" t="s">
        <v>1352</v>
      </c>
      <c r="F172" s="295">
        <v>3109</v>
      </c>
      <c r="G172" s="296"/>
      <c r="H172" s="297" t="str">
        <f>IFERROR(VLOOKUP(ROWS($H$3:H172),$D$3:$E$204,2,0),"")</f>
        <v>ŠUMPERK</v>
      </c>
      <c r="I172" s="266"/>
      <c r="J172" s="299" t="s">
        <v>1353</v>
      </c>
      <c r="K172" s="288" t="s">
        <v>1354</v>
      </c>
      <c r="M172" s="289">
        <f>IF(ISNUMBER(SEARCH(ZAKL_DATA!$B$29,N172)),MAX($M$2:M171)+1,0)</f>
        <v>170</v>
      </c>
      <c r="N172" s="482" t="s">
        <v>2832</v>
      </c>
      <c r="O172" s="482" t="s">
        <v>2833</v>
      </c>
      <c r="Q172" s="291" t="str">
        <f>IFERROR(VLOOKUP(ROWS($Q$3:Q172),$M$3:$N$718,2,0),"")</f>
        <v>Nespecializovaný velkoobchod s potravinami, nápoji a tabákovými výrobky</v>
      </c>
      <c r="R172">
        <f>IF(ISNUMBER(SEARCH('1Př1'!$A$32,N172)),MAX($M$2:M171)+1,0)</f>
        <v>170</v>
      </c>
      <c r="S172" s="290" t="s">
        <v>1355</v>
      </c>
      <c r="T172" t="str">
        <f>IFERROR(VLOOKUP(ROWS($T$3:T172),$R$3:$S$718,2,0),"")</f>
        <v>Výroba ostatních chemických výrobků</v>
      </c>
      <c r="U172">
        <f>IF(ISNUMBER(SEARCH('1Př1'!$A$33,N172)),MAX($M$2:M171)+1,0)</f>
        <v>170</v>
      </c>
      <c r="V172" s="290" t="s">
        <v>1355</v>
      </c>
      <c r="W172" t="str">
        <f>IFERROR(VLOOKUP(ROWS($W$3:W172),$U$3:$V$718,2,0),"")</f>
        <v>Výroba ostatních chemických výrobků</v>
      </c>
      <c r="X172">
        <f>IF(ISNUMBER(SEARCH('1Př1'!$A$34,N172)),MAX($M$2:M171)+1,0)</f>
        <v>170</v>
      </c>
      <c r="Y172" s="290" t="s">
        <v>1355</v>
      </c>
      <c r="Z172" t="str">
        <f>IFERROR(VLOOKUP(ROWS($Z$3:Z172),$X$3:$Y$718,2,0),"")</f>
        <v>Výroba ostatních chemických výrobků</v>
      </c>
    </row>
    <row r="173" spans="1:26" ht="12.75" customHeight="1">
      <c r="A173" s="266"/>
      <c r="B173" s="266"/>
      <c r="C173" s="266"/>
      <c r="D173" s="282">
        <f>IF(ISNUMBER(SEARCH(ZAKL_DATA!$B$14,E173)),MAX($D$2:D172)+1,0)</f>
        <v>171</v>
      </c>
      <c r="E173" s="294" t="s">
        <v>1356</v>
      </c>
      <c r="F173" s="295">
        <v>3110</v>
      </c>
      <c r="G173" s="296"/>
      <c r="H173" s="297" t="str">
        <f>IFERROR(VLOOKUP(ROWS($H$3:H173),$D$3:$E$204,2,0),"")</f>
        <v>ZÁBŘEH</v>
      </c>
      <c r="I173" s="266"/>
      <c r="J173" s="299" t="s">
        <v>1357</v>
      </c>
      <c r="K173" s="288" t="s">
        <v>1358</v>
      </c>
      <c r="M173" s="289">
        <f>IF(ISNUMBER(SEARCH(ZAKL_DATA!$B$29,N173)),MAX($M$2:M172)+1,0)</f>
        <v>171</v>
      </c>
      <c r="N173" s="482" t="s">
        <v>1959</v>
      </c>
      <c r="O173" s="482" t="s">
        <v>2834</v>
      </c>
      <c r="Q173" s="291" t="str">
        <f>IFERROR(VLOOKUP(ROWS($Q$3:Q173),$M$3:$N$718,2,0),"")</f>
        <v>Obchod s elektřinou</v>
      </c>
      <c r="R173">
        <f>IF(ISNUMBER(SEARCH('1Př1'!$A$32,N173)),MAX($M$2:M172)+1,0)</f>
        <v>171</v>
      </c>
      <c r="S173" s="290" t="s">
        <v>1359</v>
      </c>
      <c r="T173" t="str">
        <f>IFERROR(VLOOKUP(ROWS($T$3:T173),$R$3:$S$718,2,0),"")</f>
        <v>Výroba chemických vláken</v>
      </c>
      <c r="U173">
        <f>IF(ISNUMBER(SEARCH('1Př1'!$A$33,N173)),MAX($M$2:M172)+1,0)</f>
        <v>171</v>
      </c>
      <c r="V173" s="290" t="s">
        <v>1359</v>
      </c>
      <c r="W173" t="str">
        <f>IFERROR(VLOOKUP(ROWS($W$3:W173),$U$3:$V$718,2,0),"")</f>
        <v>Výroba chemických vláken</v>
      </c>
      <c r="X173">
        <f>IF(ISNUMBER(SEARCH('1Př1'!$A$34,N173)),MAX($M$2:M172)+1,0)</f>
        <v>171</v>
      </c>
      <c r="Y173" s="290" t="s">
        <v>1359</v>
      </c>
      <c r="Z173" t="str">
        <f>IFERROR(VLOOKUP(ROWS($Z$3:Z173),$X$3:$Y$718,2,0),"")</f>
        <v>Výroba chemických vláken</v>
      </c>
    </row>
    <row r="174" spans="1:26" ht="12.75" customHeight="1">
      <c r="A174" s="266"/>
      <c r="B174" s="266"/>
      <c r="C174" s="266"/>
      <c r="D174" s="282">
        <f>IF(ISNUMBER(SEARCH(ZAKL_DATA!$B$14,E174)),MAX($D$2:D173)+1,0)</f>
        <v>172</v>
      </c>
      <c r="E174" s="294" t="s">
        <v>1360</v>
      </c>
      <c r="F174" s="295">
        <v>3201</v>
      </c>
      <c r="G174" s="296"/>
      <c r="H174" s="297" t="str">
        <f>IFERROR(VLOOKUP(ROWS($H$3:H174),$D$3:$E$204,2,0),"")</f>
        <v>OSTRAVA I</v>
      </c>
      <c r="I174" s="266"/>
      <c r="J174" s="299" t="s">
        <v>1361</v>
      </c>
      <c r="K174" s="288" t="s">
        <v>1362</v>
      </c>
      <c r="M174" s="289">
        <f>IF(ISNUMBER(SEARCH(ZAKL_DATA!$B$29,N174)),MAX($M$2:M173)+1,0)</f>
        <v>172</v>
      </c>
      <c r="N174" s="482" t="s">
        <v>1962</v>
      </c>
      <c r="O174" s="482" t="s">
        <v>2835</v>
      </c>
      <c r="Q174" s="291" t="str">
        <f>IFERROR(VLOOKUP(ROWS($Q$3:Q174),$M$3:$N$718,2,0),"")</f>
        <v>Obchod s plynem prostřednictvím sítí</v>
      </c>
      <c r="R174">
        <f>IF(ISNUMBER(SEARCH('1Př1'!$A$32,N174)),MAX($M$2:M173)+1,0)</f>
        <v>172</v>
      </c>
      <c r="S174" s="290" t="s">
        <v>1363</v>
      </c>
      <c r="T174" t="str">
        <f>IFERROR(VLOOKUP(ROWS($T$3:T174),$R$3:$S$718,2,0),"")</f>
        <v>Výroba základních farmaceutických výrobků</v>
      </c>
      <c r="U174">
        <f>IF(ISNUMBER(SEARCH('1Př1'!$A$33,N174)),MAX($M$2:M173)+1,0)</f>
        <v>172</v>
      </c>
      <c r="V174" s="290" t="s">
        <v>1363</v>
      </c>
      <c r="W174" t="str">
        <f>IFERROR(VLOOKUP(ROWS($W$3:W174),$U$3:$V$718,2,0),"")</f>
        <v>Výroba základních farmaceutických výrobků</v>
      </c>
      <c r="X174">
        <f>IF(ISNUMBER(SEARCH('1Př1'!$A$34,N174)),MAX($M$2:M173)+1,0)</f>
        <v>172</v>
      </c>
      <c r="Y174" s="290" t="s">
        <v>1363</v>
      </c>
      <c r="Z174" t="str">
        <f>IFERROR(VLOOKUP(ROWS($Z$3:Z174),$X$3:$Y$718,2,0),"")</f>
        <v>Výroba základních farmaceutických výrobků</v>
      </c>
    </row>
    <row r="175" spans="1:26" ht="12.75" customHeight="1">
      <c r="A175" s="266"/>
      <c r="B175" s="266"/>
      <c r="C175" s="266"/>
      <c r="D175" s="282">
        <f>IF(ISNUMBER(SEARCH(ZAKL_DATA!$B$14,E175)),MAX($D$2:D174)+1,0)</f>
        <v>173</v>
      </c>
      <c r="E175" s="294" t="s">
        <v>1364</v>
      </c>
      <c r="F175" s="295">
        <v>3202</v>
      </c>
      <c r="G175" s="296"/>
      <c r="H175" s="297" t="str">
        <f>IFERROR(VLOOKUP(ROWS($H$3:H175),$D$3:$E$204,2,0),"")</f>
        <v>OSTRAVA II</v>
      </c>
      <c r="I175" s="266"/>
      <c r="J175" s="299" t="s">
        <v>1365</v>
      </c>
      <c r="K175" s="288" t="s">
        <v>1366</v>
      </c>
      <c r="M175" s="289">
        <f>IF(ISNUMBER(SEARCH(ZAKL_DATA!$B$29,N175)),MAX($M$2:M174)+1,0)</f>
        <v>173</v>
      </c>
      <c r="N175" s="482" t="s">
        <v>2101</v>
      </c>
      <c r="O175" s="482" t="s">
        <v>2836</v>
      </c>
      <c r="Q175" s="291" t="str">
        <f>IFERROR(VLOOKUP(ROWS($Q$3:Q175),$M$3:$N$718,2,0),"")</f>
        <v>Obchodování s cennými papíry a komoditami na burzách</v>
      </c>
      <c r="R175">
        <f>IF(ISNUMBER(SEARCH('1Př1'!$A$32,N175)),MAX($M$2:M174)+1,0)</f>
        <v>173</v>
      </c>
      <c r="S175" s="290" t="s">
        <v>1367</v>
      </c>
      <c r="T175" t="str">
        <f>IFERROR(VLOOKUP(ROWS($T$3:T175),$R$3:$S$718,2,0),"")</f>
        <v>Výroba farmaceutických přípravků</v>
      </c>
      <c r="U175">
        <f>IF(ISNUMBER(SEARCH('1Př1'!$A$33,N175)),MAX($M$2:M174)+1,0)</f>
        <v>173</v>
      </c>
      <c r="V175" s="290" t="s">
        <v>1367</v>
      </c>
      <c r="W175" t="str">
        <f>IFERROR(VLOOKUP(ROWS($W$3:W175),$U$3:$V$718,2,0),"")</f>
        <v>Výroba farmaceutických přípravků</v>
      </c>
      <c r="X175">
        <f>IF(ISNUMBER(SEARCH('1Př1'!$A$34,N175)),MAX($M$2:M174)+1,0)</f>
        <v>173</v>
      </c>
      <c r="Y175" s="290" t="s">
        <v>1367</v>
      </c>
      <c r="Z175" t="str">
        <f>IFERROR(VLOOKUP(ROWS($Z$3:Z175),$X$3:$Y$718,2,0),"")</f>
        <v>Výroba farmaceutických přípravků</v>
      </c>
    </row>
    <row r="176" spans="1:26" ht="12.75" customHeight="1">
      <c r="A176" s="266"/>
      <c r="B176" s="266"/>
      <c r="C176" s="266"/>
      <c r="D176" s="282">
        <f>IF(ISNUMBER(SEARCH(ZAKL_DATA!$B$14,E176)),MAX($D$2:D175)+1,0)</f>
        <v>174</v>
      </c>
      <c r="E176" s="294" t="s">
        <v>1368</v>
      </c>
      <c r="F176" s="295">
        <v>3203</v>
      </c>
      <c r="G176" s="296"/>
      <c r="H176" s="297" t="str">
        <f>IFERROR(VLOOKUP(ROWS($H$3:H176),$D$3:$E$204,2,0),"")</f>
        <v>OSTRAVA III</v>
      </c>
      <c r="I176" s="266"/>
      <c r="J176" s="299" t="s">
        <v>1369</v>
      </c>
      <c r="K176" s="288" t="s">
        <v>1370</v>
      </c>
      <c r="M176" s="289">
        <f>IF(ISNUMBER(SEARCH(ZAKL_DATA!$B$29,N176)),MAX($M$2:M175)+1,0)</f>
        <v>174</v>
      </c>
      <c r="N176" s="482" t="s">
        <v>2154</v>
      </c>
      <c r="O176" s="482" t="s">
        <v>2837</v>
      </c>
      <c r="Q176" s="291" t="str">
        <f>IFERROR(VLOOKUP(ROWS($Q$3:Q176),$M$3:$N$718,2,0),"")</f>
        <v>Obchodování s cennými papíry na vlastní účet</v>
      </c>
      <c r="R176">
        <f>IF(ISNUMBER(SEARCH('1Př1'!$A$32,N176)),MAX($M$2:M175)+1,0)</f>
        <v>174</v>
      </c>
      <c r="S176" s="290" t="s">
        <v>1371</v>
      </c>
      <c r="T176" t="str">
        <f>IFERROR(VLOOKUP(ROWS($T$3:T176),$R$3:$S$718,2,0),"")</f>
        <v>Výroba pryžových výrobků</v>
      </c>
      <c r="U176">
        <f>IF(ISNUMBER(SEARCH('1Př1'!$A$33,N176)),MAX($M$2:M175)+1,0)</f>
        <v>174</v>
      </c>
      <c r="V176" s="290" t="s">
        <v>1371</v>
      </c>
      <c r="W176" t="str">
        <f>IFERROR(VLOOKUP(ROWS($W$3:W176),$U$3:$V$718,2,0),"")</f>
        <v>Výroba pryžových výrobků</v>
      </c>
      <c r="X176">
        <f>IF(ISNUMBER(SEARCH('1Př1'!$A$34,N176)),MAX($M$2:M175)+1,0)</f>
        <v>174</v>
      </c>
      <c r="Y176" s="290" t="s">
        <v>1371</v>
      </c>
      <c r="Z176" t="str">
        <f>IFERROR(VLOOKUP(ROWS($Z$3:Z176),$X$3:$Y$718,2,0),"")</f>
        <v>Výroba pryžových výrobků</v>
      </c>
    </row>
    <row r="177" spans="1:26" ht="12.75" customHeight="1">
      <c r="A177" s="266"/>
      <c r="B177" s="266"/>
      <c r="C177" s="266"/>
      <c r="D177" s="282">
        <f>IF(ISNUMBER(SEARCH(ZAKL_DATA!$B$14,E177)),MAX($D$2:D176)+1,0)</f>
        <v>175</v>
      </c>
      <c r="E177" s="294" t="s">
        <v>1372</v>
      </c>
      <c r="F177" s="295">
        <v>3204</v>
      </c>
      <c r="G177" s="296"/>
      <c r="H177" s="297" t="str">
        <f>IFERROR(VLOOKUP(ROWS($H$3:H177),$D$3:$E$204,2,0),"")</f>
        <v>BOHUMÍN</v>
      </c>
      <c r="I177" s="266"/>
      <c r="J177" s="299" t="s">
        <v>1373</v>
      </c>
      <c r="K177" s="288" t="s">
        <v>1374</v>
      </c>
      <c r="M177" s="289">
        <f>IF(ISNUMBER(SEARCH(ZAKL_DATA!$B$29,N177)),MAX($M$2:M176)+1,0)</f>
        <v>175</v>
      </c>
      <c r="N177" s="482" t="s">
        <v>1985</v>
      </c>
      <c r="O177" s="482" t="s">
        <v>2838</v>
      </c>
      <c r="Q177" s="291" t="str">
        <f>IFERROR(VLOOKUP(ROWS($Q$3:Q177),$M$3:$N$718,2,0),"")</f>
        <v>Obkládání stěn a pokládání podlahových krytin</v>
      </c>
      <c r="R177">
        <f>IF(ISNUMBER(SEARCH('1Př1'!$A$32,N177)),MAX($M$2:M176)+1,0)</f>
        <v>175</v>
      </c>
      <c r="S177" s="290" t="s">
        <v>1375</v>
      </c>
      <c r="T177" t="str">
        <f>IFERROR(VLOOKUP(ROWS($T$3:T177),$R$3:$S$718,2,0),"")</f>
        <v>Výroba plastových výrobků</v>
      </c>
      <c r="U177">
        <f>IF(ISNUMBER(SEARCH('1Př1'!$A$33,N177)),MAX($M$2:M176)+1,0)</f>
        <v>175</v>
      </c>
      <c r="V177" s="290" t="s">
        <v>1375</v>
      </c>
      <c r="W177" t="str">
        <f>IFERROR(VLOOKUP(ROWS($W$3:W177),$U$3:$V$718,2,0),"")</f>
        <v>Výroba plastových výrobků</v>
      </c>
      <c r="X177">
        <f>IF(ISNUMBER(SEARCH('1Př1'!$A$34,N177)),MAX($M$2:M176)+1,0)</f>
        <v>175</v>
      </c>
      <c r="Y177" s="290" t="s">
        <v>1375</v>
      </c>
      <c r="Z177" t="str">
        <f>IFERROR(VLOOKUP(ROWS($Z$3:Z177),$X$3:$Y$718,2,0),"")</f>
        <v>Výroba plastových výrobků</v>
      </c>
    </row>
    <row r="178" spans="1:26" ht="12.75" customHeight="1">
      <c r="A178" s="266"/>
      <c r="B178" s="266"/>
      <c r="C178" s="266"/>
      <c r="D178" s="282">
        <f>IF(ISNUMBER(SEARCH(ZAKL_DATA!$B$14,E178)),MAX($D$2:D177)+1,0)</f>
        <v>176</v>
      </c>
      <c r="E178" s="294" t="s">
        <v>1376</v>
      </c>
      <c r="F178" s="295">
        <v>3205</v>
      </c>
      <c r="G178" s="296"/>
      <c r="H178" s="297" t="str">
        <f>IFERROR(VLOOKUP(ROWS($H$3:H178),$D$3:$E$204,2,0),"")</f>
        <v>BRUNTÁL</v>
      </c>
      <c r="I178" s="266"/>
      <c r="J178" s="299" t="s">
        <v>1377</v>
      </c>
      <c r="K178" s="288" t="s">
        <v>1378</v>
      </c>
      <c r="M178" s="289">
        <f>IF(ISNUMBER(SEARCH(ZAKL_DATA!$B$29,N178)),MAX($M$2:M177)+1,0)</f>
        <v>176</v>
      </c>
      <c r="N178" s="482" t="s">
        <v>2839</v>
      </c>
      <c r="O178" s="482" t="s">
        <v>2840</v>
      </c>
      <c r="Q178" s="291" t="str">
        <f>IFERROR(VLOOKUP(ROWS($Q$3:Q178),$M$3:$N$718,2,0),"")</f>
        <v>Obrábění kovů</v>
      </c>
      <c r="R178">
        <f>IF(ISNUMBER(SEARCH('1Př1'!$A$32,N178)),MAX($M$2:M177)+1,0)</f>
        <v>176</v>
      </c>
      <c r="S178" s="290" t="s">
        <v>1379</v>
      </c>
      <c r="T178" t="str">
        <f>IFERROR(VLOOKUP(ROWS($T$3:T178),$R$3:$S$718,2,0),"")</f>
        <v>Výroba skla a skleněných výrobků</v>
      </c>
      <c r="U178">
        <f>IF(ISNUMBER(SEARCH('1Př1'!$A$33,N178)),MAX($M$2:M177)+1,0)</f>
        <v>176</v>
      </c>
      <c r="V178" s="290" t="s">
        <v>1379</v>
      </c>
      <c r="W178" t="str">
        <f>IFERROR(VLOOKUP(ROWS($W$3:W178),$U$3:$V$718,2,0),"")</f>
        <v>Výroba skla a skleněných výrobků</v>
      </c>
      <c r="X178">
        <f>IF(ISNUMBER(SEARCH('1Př1'!$A$34,N178)),MAX($M$2:M177)+1,0)</f>
        <v>176</v>
      </c>
      <c r="Y178" s="290" t="s">
        <v>1379</v>
      </c>
      <c r="Z178" t="str">
        <f>IFERROR(VLOOKUP(ROWS($Z$3:Z178),$X$3:$Y$718,2,0),"")</f>
        <v>Výroba skla a skleněných výrobků</v>
      </c>
    </row>
    <row r="179" spans="1:26" ht="12.75" customHeight="1">
      <c r="A179" s="266"/>
      <c r="B179" s="266"/>
      <c r="C179" s="266"/>
      <c r="D179" s="282">
        <f>IF(ISNUMBER(SEARCH(ZAKL_DATA!$B$14,E179)),MAX($D$2:D178)+1,0)</f>
        <v>177</v>
      </c>
      <c r="E179" s="294" t="s">
        <v>1380</v>
      </c>
      <c r="F179" s="295">
        <v>3206</v>
      </c>
      <c r="G179" s="296"/>
      <c r="H179" s="297" t="str">
        <f>IFERROR(VLOOKUP(ROWS($H$3:H179),$D$3:$E$204,2,0),"")</f>
        <v>ČESKÝ TĚŠÍN</v>
      </c>
      <c r="I179" s="266"/>
      <c r="J179" s="299" t="s">
        <v>1381</v>
      </c>
      <c r="K179" s="288" t="s">
        <v>1382</v>
      </c>
      <c r="M179" s="289">
        <f>IF(ISNUMBER(SEARCH(ZAKL_DATA!$B$29,N179)),MAX($M$2:M178)+1,0)</f>
        <v>177</v>
      </c>
      <c r="N179" s="482" t="s">
        <v>2841</v>
      </c>
      <c r="O179" s="482" t="s">
        <v>2842</v>
      </c>
      <c r="Q179" s="291" t="str">
        <f>IFERROR(VLOOKUP(ROWS($Q$3:Q179),$M$3:$N$718,2,0),"")</f>
        <v>Odlévání legovaných ocelí</v>
      </c>
      <c r="R179">
        <f>IF(ISNUMBER(SEARCH('1Př1'!$A$32,N179)),MAX($M$2:M178)+1,0)</f>
        <v>177</v>
      </c>
      <c r="S179" s="290" t="s">
        <v>1383</v>
      </c>
      <c r="T179" t="str">
        <f>IFERROR(VLOOKUP(ROWS($T$3:T179),$R$3:$S$718,2,0),"")</f>
        <v>Výroba žáruvzdorných výrobků</v>
      </c>
      <c r="U179">
        <f>IF(ISNUMBER(SEARCH('1Př1'!$A$33,N179)),MAX($M$2:M178)+1,0)</f>
        <v>177</v>
      </c>
      <c r="V179" s="290" t="s">
        <v>1383</v>
      </c>
      <c r="W179" t="str">
        <f>IFERROR(VLOOKUP(ROWS($W$3:W179),$U$3:$V$718,2,0),"")</f>
        <v>Výroba žáruvzdorných výrobků</v>
      </c>
      <c r="X179">
        <f>IF(ISNUMBER(SEARCH('1Př1'!$A$34,N179)),MAX($M$2:M178)+1,0)</f>
        <v>177</v>
      </c>
      <c r="Y179" s="290" t="s">
        <v>1383</v>
      </c>
      <c r="Z179" t="str">
        <f>IFERROR(VLOOKUP(ROWS($Z$3:Z179),$X$3:$Y$718,2,0),"")</f>
        <v>Výroba žáruvzdorných výrobků</v>
      </c>
    </row>
    <row r="180" spans="1:26" ht="12.75" customHeight="1">
      <c r="A180" s="266"/>
      <c r="B180" s="266"/>
      <c r="C180" s="266"/>
      <c r="D180" s="282">
        <f>IF(ISNUMBER(SEARCH(ZAKL_DATA!$B$14,E180)),MAX($D$2:D179)+1,0)</f>
        <v>178</v>
      </c>
      <c r="E180" s="294" t="s">
        <v>1384</v>
      </c>
      <c r="F180" s="295">
        <v>3207</v>
      </c>
      <c r="G180" s="296"/>
      <c r="H180" s="297" t="str">
        <f>IFERROR(VLOOKUP(ROWS($H$3:H180),$D$3:$E$204,2,0),"")</f>
        <v>FRÝDEK-MÍSTEK</v>
      </c>
      <c r="I180" s="266"/>
      <c r="J180" s="299" t="s">
        <v>1385</v>
      </c>
      <c r="K180" s="288" t="s">
        <v>1386</v>
      </c>
      <c r="M180" s="289">
        <f>IF(ISNUMBER(SEARCH(ZAKL_DATA!$B$29,N180)),MAX($M$2:M179)+1,0)</f>
        <v>178</v>
      </c>
      <c r="N180" s="482" t="s">
        <v>2843</v>
      </c>
      <c r="O180" s="482" t="s">
        <v>2844</v>
      </c>
      <c r="Q180" s="291" t="str">
        <f>IFERROR(VLOOKUP(ROWS($Q$3:Q180),$M$3:$N$718,2,0),"")</f>
        <v>Odlévání lehkých kovů</v>
      </c>
      <c r="R180">
        <f>IF(ISNUMBER(SEARCH('1Př1'!$A$32,N180)),MAX($M$2:M179)+1,0)</f>
        <v>178</v>
      </c>
      <c r="S180" s="290" t="s">
        <v>1387</v>
      </c>
      <c r="T180" t="str">
        <f>IFERROR(VLOOKUP(ROWS($T$3:T180),$R$3:$S$718,2,0),"")</f>
        <v>Výroba stavebních výrobků z jílovitých materiálů</v>
      </c>
      <c r="U180">
        <f>IF(ISNUMBER(SEARCH('1Př1'!$A$33,N180)),MAX($M$2:M179)+1,0)</f>
        <v>178</v>
      </c>
      <c r="V180" s="290" t="s">
        <v>1387</v>
      </c>
      <c r="W180" t="str">
        <f>IFERROR(VLOOKUP(ROWS($W$3:W180),$U$3:$V$718,2,0),"")</f>
        <v>Výroba stavebních výrobků z jílovitých materiálů</v>
      </c>
      <c r="X180">
        <f>IF(ISNUMBER(SEARCH('1Př1'!$A$34,N180)),MAX($M$2:M179)+1,0)</f>
        <v>178</v>
      </c>
      <c r="Y180" s="290" t="s">
        <v>1387</v>
      </c>
      <c r="Z180" t="str">
        <f>IFERROR(VLOOKUP(ROWS($Z$3:Z180),$X$3:$Y$718,2,0),"")</f>
        <v>Výroba stavebních výrobků z jílovitých materiálů</v>
      </c>
    </row>
    <row r="181" spans="1:26" ht="12.75" customHeight="1">
      <c r="A181" s="266"/>
      <c r="B181" s="266"/>
      <c r="C181" s="266"/>
      <c r="D181" s="282">
        <f>IF(ISNUMBER(SEARCH(ZAKL_DATA!$B$14,E181)),MAX($D$2:D180)+1,0)</f>
        <v>179</v>
      </c>
      <c r="E181" s="294" t="s">
        <v>1388</v>
      </c>
      <c r="F181" s="295">
        <v>3208</v>
      </c>
      <c r="G181" s="296"/>
      <c r="H181" s="297" t="str">
        <f>IFERROR(VLOOKUP(ROWS($H$3:H181),$D$3:$E$204,2,0),"")</f>
        <v>FRÝDLANT NAD OSTRAV.</v>
      </c>
      <c r="I181" s="266"/>
      <c r="J181" s="299" t="s">
        <v>1389</v>
      </c>
      <c r="K181" s="288" t="s">
        <v>1390</v>
      </c>
      <c r="M181" s="289">
        <f>IF(ISNUMBER(SEARCH(ZAKL_DATA!$B$29,N181)),MAX($M$2:M180)+1,0)</f>
        <v>179</v>
      </c>
      <c r="N181" s="482" t="s">
        <v>2845</v>
      </c>
      <c r="O181" s="482" t="s">
        <v>2846</v>
      </c>
      <c r="Q181" s="291" t="str">
        <f>IFERROR(VLOOKUP(ROWS($Q$3:Q181),$M$3:$N$718,2,0),"")</f>
        <v>Odlévání litiny s kuličkovým grafitem</v>
      </c>
      <c r="R181">
        <f>IF(ISNUMBER(SEARCH('1Př1'!$A$32,N181)),MAX($M$2:M180)+1,0)</f>
        <v>179</v>
      </c>
      <c r="S181" s="290" t="s">
        <v>1391</v>
      </c>
      <c r="T181" t="str">
        <f>IFERROR(VLOOKUP(ROWS($T$3:T181),$R$3:$S$718,2,0),"")</f>
        <v>Výroba ostatních porcelánových a keramických výrobků</v>
      </c>
      <c r="U181">
        <f>IF(ISNUMBER(SEARCH('1Př1'!$A$33,N181)),MAX($M$2:M180)+1,0)</f>
        <v>179</v>
      </c>
      <c r="V181" s="290" t="s">
        <v>1391</v>
      </c>
      <c r="W181" t="str">
        <f>IFERROR(VLOOKUP(ROWS($W$3:W181),$U$3:$V$718,2,0),"")</f>
        <v>Výroba ostatních porcelánových a keramických výrobků</v>
      </c>
      <c r="X181">
        <f>IF(ISNUMBER(SEARCH('1Př1'!$A$34,N181)),MAX($M$2:M180)+1,0)</f>
        <v>179</v>
      </c>
      <c r="Y181" s="290" t="s">
        <v>1391</v>
      </c>
      <c r="Z181" t="str">
        <f>IFERROR(VLOOKUP(ROWS($Z$3:Z181),$X$3:$Y$718,2,0),"")</f>
        <v>Výroba ostatních porcelánových a keramických výrobků</v>
      </c>
    </row>
    <row r="182" spans="1:26" ht="12.75" customHeight="1">
      <c r="A182" s="266"/>
      <c r="B182" s="266"/>
      <c r="C182" s="266"/>
      <c r="D182" s="282">
        <f>IF(ISNUMBER(SEARCH(ZAKL_DATA!$B$14,E182)),MAX($D$2:D181)+1,0)</f>
        <v>180</v>
      </c>
      <c r="E182" s="294" t="s">
        <v>1392</v>
      </c>
      <c r="F182" s="295">
        <v>3209</v>
      </c>
      <c r="G182" s="296"/>
      <c r="H182" s="297" t="str">
        <f>IFERROR(VLOOKUP(ROWS($H$3:H182),$D$3:$E$204,2,0),"")</f>
        <v>FULNEK</v>
      </c>
      <c r="I182" s="266"/>
      <c r="J182" s="299" t="s">
        <v>1393</v>
      </c>
      <c r="K182" s="288" t="s">
        <v>1394</v>
      </c>
      <c r="M182" s="289">
        <f>IF(ISNUMBER(SEARCH(ZAKL_DATA!$B$29,N182)),MAX($M$2:M181)+1,0)</f>
        <v>180</v>
      </c>
      <c r="N182" s="482" t="s">
        <v>2847</v>
      </c>
      <c r="O182" s="482" t="s">
        <v>2848</v>
      </c>
      <c r="Q182" s="291" t="str">
        <f>IFERROR(VLOOKUP(ROWS($Q$3:Q182),$M$3:$N$718,2,0),"")</f>
        <v>Odlévání litiny s lupínkovým grafitem</v>
      </c>
      <c r="R182">
        <f>IF(ISNUMBER(SEARCH('1Př1'!$A$32,N182)),MAX($M$2:M181)+1,0)</f>
        <v>180</v>
      </c>
      <c r="S182" s="290" t="s">
        <v>1395</v>
      </c>
      <c r="T182" t="str">
        <f>IFERROR(VLOOKUP(ROWS($T$3:T182),$R$3:$S$718,2,0),"")</f>
        <v>Výroba cementu, vápna a sádry</v>
      </c>
      <c r="U182">
        <f>IF(ISNUMBER(SEARCH('1Př1'!$A$33,N182)),MAX($M$2:M181)+1,0)</f>
        <v>180</v>
      </c>
      <c r="V182" s="290" t="s">
        <v>1395</v>
      </c>
      <c r="W182" t="str">
        <f>IFERROR(VLOOKUP(ROWS($W$3:W182),$U$3:$V$718,2,0),"")</f>
        <v>Výroba cementu, vápna a sádry</v>
      </c>
      <c r="X182">
        <f>IF(ISNUMBER(SEARCH('1Př1'!$A$34,N182)),MAX($M$2:M181)+1,0)</f>
        <v>180</v>
      </c>
      <c r="Y182" s="290" t="s">
        <v>1395</v>
      </c>
      <c r="Z182" t="str">
        <f>IFERROR(VLOOKUP(ROWS($Z$3:Z182),$X$3:$Y$718,2,0),"")</f>
        <v>Výroba cementu, vápna a sádry</v>
      </c>
    </row>
    <row r="183" spans="1:26" ht="12.75" customHeight="1">
      <c r="A183" s="266"/>
      <c r="B183" s="266"/>
      <c r="C183" s="266"/>
      <c r="D183" s="282">
        <f>IF(ISNUMBER(SEARCH(ZAKL_DATA!$B$14,E183)),MAX($D$2:D182)+1,0)</f>
        <v>181</v>
      </c>
      <c r="E183" s="294" t="s">
        <v>1396</v>
      </c>
      <c r="F183" s="295">
        <v>3210</v>
      </c>
      <c r="G183" s="296"/>
      <c r="H183" s="297" t="str">
        <f>IFERROR(VLOOKUP(ROWS($H$3:H183),$D$3:$E$204,2,0),"")</f>
        <v>HAVÍŘOV</v>
      </c>
      <c r="I183" s="266"/>
      <c r="J183" s="299" t="s">
        <v>1397</v>
      </c>
      <c r="K183" s="288" t="s">
        <v>1398</v>
      </c>
      <c r="M183" s="289">
        <f>IF(ISNUMBER(SEARCH(ZAKL_DATA!$B$29,N183)),MAX($M$2:M182)+1,0)</f>
        <v>181</v>
      </c>
      <c r="N183" s="482" t="s">
        <v>2849</v>
      </c>
      <c r="O183" s="482" t="s">
        <v>2850</v>
      </c>
      <c r="Q183" s="291" t="str">
        <f>IFERROR(VLOOKUP(ROWS($Q$3:Q183),$M$3:$N$718,2,0),"")</f>
        <v>Odlévání ostatní litiny</v>
      </c>
      <c r="R183">
        <f>IF(ISNUMBER(SEARCH('1Př1'!$A$32,N183)),MAX($M$2:M182)+1,0)</f>
        <v>181</v>
      </c>
      <c r="S183" s="290" t="s">
        <v>1399</v>
      </c>
      <c r="T183" t="str">
        <f>IFERROR(VLOOKUP(ROWS($T$3:T183),$R$3:$S$718,2,0),"")</f>
        <v>Výroba betonových, cementových a sádrových výrobků</v>
      </c>
      <c r="U183">
        <f>IF(ISNUMBER(SEARCH('1Př1'!$A$33,N183)),MAX($M$2:M182)+1,0)</f>
        <v>181</v>
      </c>
      <c r="V183" s="290" t="s">
        <v>1399</v>
      </c>
      <c r="W183" t="str">
        <f>IFERROR(VLOOKUP(ROWS($W$3:W183),$U$3:$V$718,2,0),"")</f>
        <v>Výroba betonových, cementových a sádrových výrobků</v>
      </c>
      <c r="X183">
        <f>IF(ISNUMBER(SEARCH('1Př1'!$A$34,N183)),MAX($M$2:M182)+1,0)</f>
        <v>181</v>
      </c>
      <c r="Y183" s="290" t="s">
        <v>1399</v>
      </c>
      <c r="Z183" t="str">
        <f>IFERROR(VLOOKUP(ROWS($Z$3:Z183),$X$3:$Y$718,2,0),"")</f>
        <v>Výroba betonových, cementových a sádrových výrobků</v>
      </c>
    </row>
    <row r="184" spans="1:26" ht="12.75" customHeight="1">
      <c r="A184" s="266"/>
      <c r="B184" s="266"/>
      <c r="C184" s="266"/>
      <c r="D184" s="282">
        <f>IF(ISNUMBER(SEARCH(ZAKL_DATA!$B$14,E184)),MAX($D$2:D183)+1,0)</f>
        <v>182</v>
      </c>
      <c r="E184" s="294" t="s">
        <v>1400</v>
      </c>
      <c r="F184" s="295">
        <v>3211</v>
      </c>
      <c r="G184" s="296"/>
      <c r="H184" s="297" t="str">
        <f>IFERROR(VLOOKUP(ROWS($H$3:H184),$D$3:$E$204,2,0),"")</f>
        <v>HLUČÍN</v>
      </c>
      <c r="I184" s="266"/>
      <c r="J184" s="299" t="s">
        <v>1401</v>
      </c>
      <c r="K184" s="288" t="s">
        <v>1402</v>
      </c>
      <c r="M184" s="289">
        <f>IF(ISNUMBER(SEARCH(ZAKL_DATA!$B$29,N184)),MAX($M$2:M183)+1,0)</f>
        <v>182</v>
      </c>
      <c r="N184" s="482" t="s">
        <v>2851</v>
      </c>
      <c r="O184" s="482" t="s">
        <v>2852</v>
      </c>
      <c r="Q184" s="291" t="str">
        <f>IFERROR(VLOOKUP(ROWS($Q$3:Q184),$M$3:$N$718,2,0),"")</f>
        <v>Odlévání ostatních neželezných kovů</v>
      </c>
      <c r="R184">
        <f>IF(ISNUMBER(SEARCH('1Př1'!$A$32,N184)),MAX($M$2:M183)+1,0)</f>
        <v>182</v>
      </c>
      <c r="S184" s="290" t="s">
        <v>1403</v>
      </c>
      <c r="T184" t="str">
        <f>IFERROR(VLOOKUP(ROWS($T$3:T184),$R$3:$S$718,2,0),"")</f>
        <v>Řezání, tvarování a konečná úprava kamenů</v>
      </c>
      <c r="U184">
        <f>IF(ISNUMBER(SEARCH('1Př1'!$A$33,N184)),MAX($M$2:M183)+1,0)</f>
        <v>182</v>
      </c>
      <c r="V184" s="290" t="s">
        <v>1403</v>
      </c>
      <c r="W184" t="str">
        <f>IFERROR(VLOOKUP(ROWS($W$3:W184),$U$3:$V$718,2,0),"")</f>
        <v>Řezání, tvarování a konečná úprava kamenů</v>
      </c>
      <c r="X184">
        <f>IF(ISNUMBER(SEARCH('1Př1'!$A$34,N184)),MAX($M$2:M183)+1,0)</f>
        <v>182</v>
      </c>
      <c r="Y184" s="290" t="s">
        <v>1403</v>
      </c>
      <c r="Z184" t="str">
        <f>IFERROR(VLOOKUP(ROWS($Z$3:Z184),$X$3:$Y$718,2,0),"")</f>
        <v>Řezání, tvarování a konečná úprava kamenů</v>
      </c>
    </row>
    <row r="185" spans="1:26" ht="12.75" customHeight="1">
      <c r="A185" s="266"/>
      <c r="B185" s="266"/>
      <c r="C185" s="266"/>
      <c r="D185" s="282">
        <f>IF(ISNUMBER(SEARCH(ZAKL_DATA!$B$14,E185)),MAX($D$2:D184)+1,0)</f>
        <v>183</v>
      </c>
      <c r="E185" s="294" t="s">
        <v>1404</v>
      </c>
      <c r="F185" s="295">
        <v>3212</v>
      </c>
      <c r="G185" s="296"/>
      <c r="H185" s="297" t="str">
        <f>IFERROR(VLOOKUP(ROWS($H$3:H185),$D$3:$E$204,2,0),"")</f>
        <v>KARVINÁ</v>
      </c>
      <c r="I185" s="266"/>
      <c r="J185" s="299" t="s">
        <v>1405</v>
      </c>
      <c r="K185" s="288" t="s">
        <v>1406</v>
      </c>
      <c r="M185" s="289">
        <f>IF(ISNUMBER(SEARCH(ZAKL_DATA!$B$29,N185)),MAX($M$2:M184)+1,0)</f>
        <v>183</v>
      </c>
      <c r="N185" s="482" t="s">
        <v>2853</v>
      </c>
      <c r="O185" s="482" t="s">
        <v>2854</v>
      </c>
      <c r="Q185" s="291" t="str">
        <f>IFERROR(VLOOKUP(ROWS($Q$3:Q185),$M$3:$N$718,2,0),"")</f>
        <v>Odlévání uhlíkatých ocelí</v>
      </c>
      <c r="R185">
        <f>IF(ISNUMBER(SEARCH('1Př1'!$A$32,N185)),MAX($M$2:M184)+1,0)</f>
        <v>183</v>
      </c>
      <c r="S185" s="290" t="s">
        <v>1407</v>
      </c>
      <c r="T185" t="str">
        <f>IFERROR(VLOOKUP(ROWS($T$3:T185),$R$3:$S$718,2,0),"")</f>
        <v>Výroba brusiv a ostatních nekovových minerálních výrobků j. n.</v>
      </c>
      <c r="U185">
        <f>IF(ISNUMBER(SEARCH('1Př1'!$A$33,N185)),MAX($M$2:M184)+1,0)</f>
        <v>183</v>
      </c>
      <c r="V185" s="290" t="s">
        <v>1407</v>
      </c>
      <c r="W185" t="str">
        <f>IFERROR(VLOOKUP(ROWS($W$3:W185),$U$3:$V$718,2,0),"")</f>
        <v>Výroba brusiv a ostatních nekovových minerálních výrobků j. n.</v>
      </c>
      <c r="X185">
        <f>IF(ISNUMBER(SEARCH('1Př1'!$A$34,N185)),MAX($M$2:M184)+1,0)</f>
        <v>183</v>
      </c>
      <c r="Y185" s="290" t="s">
        <v>1407</v>
      </c>
      <c r="Z185" t="str">
        <f>IFERROR(VLOOKUP(ROWS($Z$3:Z185),$X$3:$Y$718,2,0),"")</f>
        <v>Výroba brusiv a ostatních nekovových minerálních výrobků j. n.</v>
      </c>
    </row>
    <row r="186" spans="1:26" ht="12.75" customHeight="1">
      <c r="A186" s="266"/>
      <c r="B186" s="266"/>
      <c r="C186" s="266"/>
      <c r="D186" s="282">
        <f>IF(ISNUMBER(SEARCH(ZAKL_DATA!$B$14,E186)),MAX($D$2:D185)+1,0)</f>
        <v>184</v>
      </c>
      <c r="E186" s="294" t="s">
        <v>1408</v>
      </c>
      <c r="F186" s="295">
        <v>3213</v>
      </c>
      <c r="G186" s="296"/>
      <c r="H186" s="297" t="str">
        <f>IFERROR(VLOOKUP(ROWS($H$3:H186),$D$3:$E$204,2,0),"")</f>
        <v>KOPŘIVNICE</v>
      </c>
      <c r="I186" s="266"/>
      <c r="J186" s="299" t="s">
        <v>1409</v>
      </c>
      <c r="K186" s="288" t="s">
        <v>1410</v>
      </c>
      <c r="M186" s="289">
        <f>IF(ISNUMBER(SEARCH(ZAKL_DATA!$B$29,N186)),MAX($M$2:M185)+1,0)</f>
        <v>184</v>
      </c>
      <c r="N186" s="482" t="s">
        <v>1983</v>
      </c>
      <c r="O186" s="482" t="s">
        <v>2855</v>
      </c>
      <c r="Q186" s="291" t="str">
        <f>IFERROR(VLOOKUP(ROWS($Q$3:Q186),$M$3:$N$718,2,0),"")</f>
        <v>Omítkářské práce</v>
      </c>
      <c r="R186">
        <f>IF(ISNUMBER(SEARCH('1Př1'!$A$32,N186)),MAX($M$2:M185)+1,0)</f>
        <v>184</v>
      </c>
      <c r="S186" s="290" t="s">
        <v>1411</v>
      </c>
      <c r="T186" t="str">
        <f>IFERROR(VLOOKUP(ROWS($T$3:T186),$R$3:$S$718,2,0),"")</f>
        <v>Výroba sur.železa,oceli a feroslitin,ploch.výr.,tváření výrobků za tepla</v>
      </c>
      <c r="U186">
        <f>IF(ISNUMBER(SEARCH('1Př1'!$A$33,N186)),MAX($M$2:M185)+1,0)</f>
        <v>184</v>
      </c>
      <c r="V186" s="290" t="s">
        <v>1411</v>
      </c>
      <c r="W186" t="str">
        <f>IFERROR(VLOOKUP(ROWS($W$3:W186),$U$3:$V$718,2,0),"")</f>
        <v>Výroba sur.železa,oceli a feroslitin,ploch.výr.,tváření výrobků za tepla</v>
      </c>
      <c r="X186">
        <f>IF(ISNUMBER(SEARCH('1Př1'!$A$34,N186)),MAX($M$2:M185)+1,0)</f>
        <v>184</v>
      </c>
      <c r="Y186" s="290" t="s">
        <v>1411</v>
      </c>
      <c r="Z186" t="str">
        <f>IFERROR(VLOOKUP(ROWS($Z$3:Z186),$X$3:$Y$718,2,0),"")</f>
        <v>Výroba sur.železa,oceli a feroslitin,ploch.výr.,tváření výrobků za tepla</v>
      </c>
    </row>
    <row r="187" spans="1:26" ht="12.75" customHeight="1">
      <c r="A187" s="266"/>
      <c r="B187" s="266"/>
      <c r="C187" s="266"/>
      <c r="D187" s="282">
        <f>IF(ISNUMBER(SEARCH(ZAKL_DATA!$B$14,E187)),MAX($D$2:D186)+1,0)</f>
        <v>185</v>
      </c>
      <c r="E187" s="294" t="s">
        <v>1412</v>
      </c>
      <c r="F187" s="295">
        <v>3214</v>
      </c>
      <c r="G187" s="296"/>
      <c r="H187" s="297" t="str">
        <f>IFERROR(VLOOKUP(ROWS($H$3:H187),$D$3:$E$204,2,0),"")</f>
        <v>KRNOV</v>
      </c>
      <c r="I187" s="266"/>
      <c r="J187" s="299" t="s">
        <v>1413</v>
      </c>
      <c r="K187" s="288" t="s">
        <v>1414</v>
      </c>
      <c r="M187" s="289">
        <f>IF(ISNUMBER(SEARCH(ZAKL_DATA!$B$29,N187)),MAX($M$2:M186)+1,0)</f>
        <v>185</v>
      </c>
      <c r="N187" s="482" t="s">
        <v>2856</v>
      </c>
      <c r="O187" s="482" t="s">
        <v>2857</v>
      </c>
      <c r="Q187" s="291" t="str">
        <f>IFERROR(VLOOKUP(ROWS($Q$3:Q187),$M$3:$N$718,2,0),"")</f>
        <v>Opravy a údržba civilních letadel a kosmických lodí</v>
      </c>
      <c r="R187">
        <f>IF(ISNUMBER(SEARCH('1Př1'!$A$32,N187)),MAX($M$2:M186)+1,0)</f>
        <v>185</v>
      </c>
      <c r="S187" s="290" t="s">
        <v>1415</v>
      </c>
      <c r="T187" t="str">
        <f>IFERROR(VLOOKUP(ROWS($T$3:T187),$R$3:$S$718,2,0),"")</f>
        <v>Výroba ocelových trub,trubek,dutých profilů a souvis.potrubních tvarovek</v>
      </c>
      <c r="U187">
        <f>IF(ISNUMBER(SEARCH('1Př1'!$A$33,N187)),MAX($M$2:M186)+1,0)</f>
        <v>185</v>
      </c>
      <c r="V187" s="290" t="s">
        <v>1415</v>
      </c>
      <c r="W187" t="str">
        <f>IFERROR(VLOOKUP(ROWS($W$3:W187),$U$3:$V$718,2,0),"")</f>
        <v>Výroba ocelových trub,trubek,dutých profilů a souvis.potrubních tvarovek</v>
      </c>
      <c r="X187">
        <f>IF(ISNUMBER(SEARCH('1Př1'!$A$34,N187)),MAX($M$2:M186)+1,0)</f>
        <v>185</v>
      </c>
      <c r="Y187" s="290" t="s">
        <v>1415</v>
      </c>
      <c r="Z187" t="str">
        <f>IFERROR(VLOOKUP(ROWS($Z$3:Z187),$X$3:$Y$718,2,0),"")</f>
        <v>Výroba ocelových trub,trubek,dutých profilů a souvis.potrubních tvarovek</v>
      </c>
    </row>
    <row r="188" spans="1:26" ht="12.75" customHeight="1">
      <c r="A188" s="266"/>
      <c r="B188" s="266"/>
      <c r="C188" s="266"/>
      <c r="D188" s="282">
        <f>IF(ISNUMBER(SEARCH(ZAKL_DATA!$B$14,E188)),MAX($D$2:D187)+1,0)</f>
        <v>186</v>
      </c>
      <c r="E188" s="294" t="s">
        <v>1416</v>
      </c>
      <c r="F188" s="295">
        <v>3215</v>
      </c>
      <c r="G188" s="296"/>
      <c r="H188" s="297" t="str">
        <f>IFERROR(VLOOKUP(ROWS($H$3:H188),$D$3:$E$204,2,0),"")</f>
        <v>NOVÝ JIČÍN</v>
      </c>
      <c r="I188" s="266"/>
      <c r="J188" s="299" t="s">
        <v>1417</v>
      </c>
      <c r="K188" s="288" t="s">
        <v>1418</v>
      </c>
      <c r="M188" s="289">
        <f>IF(ISNUMBER(SEARCH(ZAKL_DATA!$B$29,N188)),MAX($M$2:M187)+1,0)</f>
        <v>186</v>
      </c>
      <c r="N188" s="482" t="s">
        <v>2858</v>
      </c>
      <c r="O188" s="482" t="s">
        <v>2859</v>
      </c>
      <c r="Q188" s="291" t="str">
        <f>IFERROR(VLOOKUP(ROWS($Q$3:Q188),$M$3:$N$718,2,0),"")</f>
        <v>Opravy a údržba civilních lodí a člunů</v>
      </c>
      <c r="R188">
        <f>IF(ISNUMBER(SEARCH('1Př1'!$A$32,N188)),MAX($M$2:M187)+1,0)</f>
        <v>186</v>
      </c>
      <c r="S188" s="290" t="s">
        <v>1419</v>
      </c>
      <c r="T188" t="str">
        <f>IFERROR(VLOOKUP(ROWS($T$3:T188),$R$3:$S$718,2,0),"")</f>
        <v>Výroba ostatních výrobků získaných jednostupňovým zpracováním oceli</v>
      </c>
      <c r="U188">
        <f>IF(ISNUMBER(SEARCH('1Př1'!$A$33,N188)),MAX($M$2:M187)+1,0)</f>
        <v>186</v>
      </c>
      <c r="V188" s="290" t="s">
        <v>1419</v>
      </c>
      <c r="W188" t="str">
        <f>IFERROR(VLOOKUP(ROWS($W$3:W188),$U$3:$V$718,2,0),"")</f>
        <v>Výroba ostatních výrobků získaných jednostupňovým zpracováním oceli</v>
      </c>
      <c r="X188">
        <f>IF(ISNUMBER(SEARCH('1Př1'!$A$34,N188)),MAX($M$2:M187)+1,0)</f>
        <v>186</v>
      </c>
      <c r="Y188" s="290" t="s">
        <v>1419</v>
      </c>
      <c r="Z188" t="str">
        <f>IFERROR(VLOOKUP(ROWS($Z$3:Z188),$X$3:$Y$718,2,0),"")</f>
        <v>Výroba ostatních výrobků získaných jednostupňovým zpracováním oceli</v>
      </c>
    </row>
    <row r="189" spans="1:26" ht="12.75" customHeight="1">
      <c r="A189" s="266"/>
      <c r="B189" s="266"/>
      <c r="C189" s="266"/>
      <c r="D189" s="282">
        <f>IF(ISNUMBER(SEARCH(ZAKL_DATA!$B$14,E189)),MAX($D$2:D188)+1,0)</f>
        <v>187</v>
      </c>
      <c r="E189" s="294" t="s">
        <v>1420</v>
      </c>
      <c r="F189" s="295">
        <v>3216</v>
      </c>
      <c r="G189" s="296"/>
      <c r="H189" s="297" t="str">
        <f>IFERROR(VLOOKUP(ROWS($H$3:H189),$D$3:$E$204,2,0),"")</f>
        <v>OPAVA</v>
      </c>
      <c r="I189" s="266"/>
      <c r="J189" s="299" t="s">
        <v>1421</v>
      </c>
      <c r="K189" s="288" t="s">
        <v>1422</v>
      </c>
      <c r="M189" s="289">
        <f>IF(ISNUMBER(SEARCH(ZAKL_DATA!$B$29,N189)),MAX($M$2:M188)+1,0)</f>
        <v>187</v>
      </c>
      <c r="N189" s="482" t="s">
        <v>2860</v>
      </c>
      <c r="O189" s="482" t="s">
        <v>2861</v>
      </c>
      <c r="Q189" s="291" t="str">
        <f>IFERROR(VLOOKUP(ROWS($Q$3:Q189),$M$3:$N$718,2,0),"")</f>
        <v>Opravy a údržba elektrických zařízení</v>
      </c>
      <c r="R189">
        <f>IF(ISNUMBER(SEARCH('1Př1'!$A$32,N189)),MAX($M$2:M188)+1,0)</f>
        <v>187</v>
      </c>
      <c r="S189" s="290" t="s">
        <v>1423</v>
      </c>
      <c r="T189" t="str">
        <f>IFERROR(VLOOKUP(ROWS($T$3:T189),$R$3:$S$718,2,0),"")</f>
        <v>Výroba a hutní zpracování drahých a neželezných kovů</v>
      </c>
      <c r="U189">
        <f>IF(ISNUMBER(SEARCH('1Př1'!$A$33,N189)),MAX($M$2:M188)+1,0)</f>
        <v>187</v>
      </c>
      <c r="V189" s="290" t="s">
        <v>1423</v>
      </c>
      <c r="W189" t="str">
        <f>IFERROR(VLOOKUP(ROWS($W$3:W189),$U$3:$V$718,2,0),"")</f>
        <v>Výroba a hutní zpracování drahých a neželezných kovů</v>
      </c>
      <c r="X189">
        <f>IF(ISNUMBER(SEARCH('1Př1'!$A$34,N189)),MAX($M$2:M188)+1,0)</f>
        <v>187</v>
      </c>
      <c r="Y189" s="290" t="s">
        <v>1423</v>
      </c>
      <c r="Z189" t="str">
        <f>IFERROR(VLOOKUP(ROWS($Z$3:Z189),$X$3:$Y$718,2,0),"")</f>
        <v>Výroba a hutní zpracování drahých a neželezných kovů</v>
      </c>
    </row>
    <row r="190" spans="1:26" ht="12.75" customHeight="1">
      <c r="A190" s="266"/>
      <c r="B190" s="266"/>
      <c r="C190" s="266"/>
      <c r="D190" s="282">
        <f>IF(ISNUMBER(SEARCH(ZAKL_DATA!$B$14,E190)),MAX($D$2:D189)+1,0)</f>
        <v>188</v>
      </c>
      <c r="E190" s="294" t="s">
        <v>1424</v>
      </c>
      <c r="F190" s="295">
        <v>3217</v>
      </c>
      <c r="G190" s="296"/>
      <c r="H190" s="297" t="str">
        <f>IFERROR(VLOOKUP(ROWS($H$3:H190),$D$3:$E$204,2,0),"")</f>
        <v>ORLOVÁ</v>
      </c>
      <c r="I190" s="266"/>
      <c r="J190" s="299" t="s">
        <v>1425</v>
      </c>
      <c r="K190" s="288" t="s">
        <v>1426</v>
      </c>
      <c r="M190" s="289">
        <f>IF(ISNUMBER(SEARCH(ZAKL_DATA!$B$29,N190)),MAX($M$2:M189)+1,0)</f>
        <v>188</v>
      </c>
      <c r="N190" s="482" t="s">
        <v>2862</v>
      </c>
      <c r="O190" s="482" t="s">
        <v>2863</v>
      </c>
      <c r="Q190" s="291" t="str">
        <f>IFERROR(VLOOKUP(ROWS($Q$3:Q190),$M$3:$N$718,2,0),"")</f>
        <v>Opravy a údržba elektronických a optických přístrojů a zařízení</v>
      </c>
      <c r="R190">
        <f>IF(ISNUMBER(SEARCH('1Př1'!$A$32,N190)),MAX($M$2:M189)+1,0)</f>
        <v>188</v>
      </c>
      <c r="S190" s="290" t="s">
        <v>1427</v>
      </c>
      <c r="T190" t="str">
        <f>IFERROR(VLOOKUP(ROWS($T$3:T190),$R$3:$S$718,2,0),"")</f>
        <v>Slévárenství</v>
      </c>
      <c r="U190">
        <f>IF(ISNUMBER(SEARCH('1Př1'!$A$33,N190)),MAX($M$2:M189)+1,0)</f>
        <v>188</v>
      </c>
      <c r="V190" s="290" t="s">
        <v>1427</v>
      </c>
      <c r="W190" t="str">
        <f>IFERROR(VLOOKUP(ROWS($W$3:W190),$U$3:$V$718,2,0),"")</f>
        <v>Slévárenství</v>
      </c>
      <c r="X190">
        <f>IF(ISNUMBER(SEARCH('1Př1'!$A$34,N190)),MAX($M$2:M189)+1,0)</f>
        <v>188</v>
      </c>
      <c r="Y190" s="290" t="s">
        <v>1427</v>
      </c>
      <c r="Z190" t="str">
        <f>IFERROR(VLOOKUP(ROWS($Z$3:Z190),$X$3:$Y$718,2,0),"")</f>
        <v>Slévárenství</v>
      </c>
    </row>
    <row r="191" spans="1:26" ht="12.75" customHeight="1">
      <c r="A191" s="266"/>
      <c r="B191" s="266"/>
      <c r="C191" s="266"/>
      <c r="D191" s="282">
        <f>IF(ISNUMBER(SEARCH(ZAKL_DATA!$B$14,E191)),MAX($D$2:D190)+1,0)</f>
        <v>189</v>
      </c>
      <c r="E191" s="294" t="s">
        <v>1428</v>
      </c>
      <c r="F191" s="295">
        <v>3218</v>
      </c>
      <c r="G191" s="296"/>
      <c r="H191" s="297" t="str">
        <f>IFERROR(VLOOKUP(ROWS($H$3:H191),$D$3:$E$204,2,0),"")</f>
        <v>TŘINEC</v>
      </c>
      <c r="I191" s="266"/>
      <c r="J191" s="299" t="s">
        <v>1429</v>
      </c>
      <c r="K191" s="288" t="s">
        <v>1430</v>
      </c>
      <c r="M191" s="289">
        <f>IF(ISNUMBER(SEARCH(ZAKL_DATA!$B$29,N191)),MAX($M$2:M190)+1,0)</f>
        <v>189</v>
      </c>
      <c r="N191" s="482" t="s">
        <v>2864</v>
      </c>
      <c r="O191" s="482" t="s">
        <v>2865</v>
      </c>
      <c r="Q191" s="291" t="str">
        <f>IFERROR(VLOOKUP(ROWS($Q$3:Q191),$M$3:$N$718,2,0),"")</f>
        <v>Opravy a údržba hodin, hodinek a klenotů</v>
      </c>
      <c r="R191">
        <f>IF(ISNUMBER(SEARCH('1Př1'!$A$32,N191)),MAX($M$2:M190)+1,0)</f>
        <v>189</v>
      </c>
      <c r="S191" s="290" t="s">
        <v>1431</v>
      </c>
      <c r="T191" t="str">
        <f>IFERROR(VLOOKUP(ROWS($T$3:T191),$R$3:$S$718,2,0),"")</f>
        <v>Výroba konstrukčních kovových výrobků</v>
      </c>
      <c r="U191">
        <f>IF(ISNUMBER(SEARCH('1Př1'!$A$33,N191)),MAX($M$2:M190)+1,0)</f>
        <v>189</v>
      </c>
      <c r="V191" s="290" t="s">
        <v>1431</v>
      </c>
      <c r="W191" t="str">
        <f>IFERROR(VLOOKUP(ROWS($W$3:W191),$U$3:$V$718,2,0),"")</f>
        <v>Výroba konstrukčních kovových výrobků</v>
      </c>
      <c r="X191">
        <f>IF(ISNUMBER(SEARCH('1Př1'!$A$34,N191)),MAX($M$2:M190)+1,0)</f>
        <v>189</v>
      </c>
      <c r="Y191" s="290" t="s">
        <v>1431</v>
      </c>
      <c r="Z191" t="str">
        <f>IFERROR(VLOOKUP(ROWS($Z$3:Z191),$X$3:$Y$718,2,0),"")</f>
        <v>Výroba konstrukčních kovových výrobků</v>
      </c>
    </row>
    <row r="192" spans="1:26" ht="12.75" customHeight="1">
      <c r="A192" s="266"/>
      <c r="B192" s="266"/>
      <c r="C192" s="266"/>
      <c r="D192" s="282">
        <f>IF(ISNUMBER(SEARCH(ZAKL_DATA!$B$14,E192)),MAX($D$2:D191)+1,0)</f>
        <v>190</v>
      </c>
      <c r="E192" s="294" t="s">
        <v>1432</v>
      </c>
      <c r="F192" s="295">
        <v>3301</v>
      </c>
      <c r="G192" s="296"/>
      <c r="H192" s="297" t="str">
        <f>IFERROR(VLOOKUP(ROWS($H$3:H192),$D$3:$E$204,2,0),"")</f>
        <v>ZLÍN</v>
      </c>
      <c r="I192" s="266"/>
      <c r="J192" s="299" t="s">
        <v>1433</v>
      </c>
      <c r="K192" s="288" t="s">
        <v>1434</v>
      </c>
      <c r="M192" s="289">
        <f>IF(ISNUMBER(SEARCH(ZAKL_DATA!$B$29,N192)),MAX($M$2:M191)+1,0)</f>
        <v>190</v>
      </c>
      <c r="N192" s="482" t="s">
        <v>2150</v>
      </c>
      <c r="O192" s="482" t="s">
        <v>2866</v>
      </c>
      <c r="Q192" s="291" t="str">
        <f>IFERROR(VLOOKUP(ROWS($Q$3:Q192),$M$3:$N$718,2,0),"")</f>
        <v>Opravy a údržba kolejových vozidel</v>
      </c>
      <c r="R192">
        <f>IF(ISNUMBER(SEARCH('1Př1'!$A$32,N192)),MAX($M$2:M191)+1,0)</f>
        <v>190</v>
      </c>
      <c r="S192" s="290" t="s">
        <v>1435</v>
      </c>
      <c r="T192" t="str">
        <f>IFERROR(VLOOKUP(ROWS($T$3:T192),$R$3:$S$718,2,0),"")</f>
        <v>Výroba radiátorů a kotlů k ústřednímu topení, kovových nádrží a zásobníků</v>
      </c>
      <c r="U192">
        <f>IF(ISNUMBER(SEARCH('1Př1'!$A$33,N192)),MAX($M$2:M191)+1,0)</f>
        <v>190</v>
      </c>
      <c r="V192" s="290" t="s">
        <v>1435</v>
      </c>
      <c r="W192" t="str">
        <f>IFERROR(VLOOKUP(ROWS($W$3:W192),$U$3:$V$718,2,0),"")</f>
        <v>Výroba radiátorů a kotlů k ústřednímu topení, kovových nádrží a zásobníků</v>
      </c>
      <c r="X192">
        <f>IF(ISNUMBER(SEARCH('1Př1'!$A$34,N192)),MAX($M$2:M191)+1,0)</f>
        <v>190</v>
      </c>
      <c r="Y192" s="290" t="s">
        <v>1435</v>
      </c>
      <c r="Z192" t="str">
        <f>IFERROR(VLOOKUP(ROWS($Z$3:Z192),$X$3:$Y$718,2,0),"")</f>
        <v>Výroba radiátorů a kotlů k ústřednímu topení, kovových nádrží a zásobníků</v>
      </c>
    </row>
    <row r="193" spans="1:26" ht="12.75" customHeight="1">
      <c r="A193" s="266"/>
      <c r="B193" s="266"/>
      <c r="C193" s="266"/>
      <c r="D193" s="282">
        <f>IF(ISNUMBER(SEARCH(ZAKL_DATA!$B$14,E193)),MAX($D$2:D192)+1,0)</f>
        <v>191</v>
      </c>
      <c r="E193" s="294" t="s">
        <v>1436</v>
      </c>
      <c r="F193" s="295">
        <v>3302</v>
      </c>
      <c r="G193" s="296"/>
      <c r="H193" s="297" t="str">
        <f>IFERROR(VLOOKUP(ROWS($H$3:H193),$D$3:$E$204,2,0),"")</f>
        <v>BYSTŘICE POD HOSTÝNEM</v>
      </c>
      <c r="I193" s="266"/>
      <c r="J193" s="299" t="s">
        <v>1437</v>
      </c>
      <c r="K193" s="288" t="s">
        <v>1438</v>
      </c>
      <c r="M193" s="289">
        <f>IF(ISNUMBER(SEARCH(ZAKL_DATA!$B$29,N193)),MAX($M$2:M192)+1,0)</f>
        <v>191</v>
      </c>
      <c r="N193" s="482" t="s">
        <v>2867</v>
      </c>
      <c r="O193" s="482" t="s">
        <v>2868</v>
      </c>
      <c r="Q193" s="291" t="str">
        <f>IFERROR(VLOOKUP(ROWS($Q$3:Q193),$M$3:$N$718,2,0),"")</f>
        <v>Opravy a údržba kovových výrobků</v>
      </c>
      <c r="R193">
        <f>IF(ISNUMBER(SEARCH('1Př1'!$A$32,N193)),MAX($M$2:M192)+1,0)</f>
        <v>191</v>
      </c>
      <c r="S193" s="290" t="s">
        <v>1439</v>
      </c>
      <c r="T193" t="str">
        <f>IFERROR(VLOOKUP(ROWS($T$3:T193),$R$3:$S$718,2,0),"")</f>
        <v>Výroba parních kotlů, kromě kotlů pro ústřední topení</v>
      </c>
      <c r="U193">
        <f>IF(ISNUMBER(SEARCH('1Př1'!$A$33,N193)),MAX($M$2:M192)+1,0)</f>
        <v>191</v>
      </c>
      <c r="V193" s="290" t="s">
        <v>1439</v>
      </c>
      <c r="W193" t="str">
        <f>IFERROR(VLOOKUP(ROWS($W$3:W193),$U$3:$V$718,2,0),"")</f>
        <v>Výroba parních kotlů, kromě kotlů pro ústřední topení</v>
      </c>
      <c r="X193">
        <f>IF(ISNUMBER(SEARCH('1Př1'!$A$34,N193)),MAX($M$2:M192)+1,0)</f>
        <v>191</v>
      </c>
      <c r="Y193" s="290" t="s">
        <v>1439</v>
      </c>
      <c r="Z193" t="str">
        <f>IFERROR(VLOOKUP(ROWS($Z$3:Z193),$X$3:$Y$718,2,0),"")</f>
        <v>Výroba parních kotlů, kromě kotlů pro ústřední topení</v>
      </c>
    </row>
    <row r="194" spans="1:26" ht="12.75" customHeight="1">
      <c r="A194" s="266"/>
      <c r="B194" s="266"/>
      <c r="C194" s="266"/>
      <c r="D194" s="282">
        <f>IF(ISNUMBER(SEARCH(ZAKL_DATA!$B$14,E194)),MAX($D$2:D193)+1,0)</f>
        <v>192</v>
      </c>
      <c r="E194" s="294" t="s">
        <v>1440</v>
      </c>
      <c r="F194" s="295">
        <v>3303</v>
      </c>
      <c r="G194" s="296"/>
      <c r="H194" s="297" t="str">
        <f>IFERROR(VLOOKUP(ROWS($H$3:H194),$D$3:$E$204,2,0),"")</f>
        <v>HOLEŠOV</v>
      </c>
      <c r="I194" s="266"/>
      <c r="J194" s="299" t="s">
        <v>1441</v>
      </c>
      <c r="K194" s="288" t="s">
        <v>1442</v>
      </c>
      <c r="M194" s="289">
        <f>IF(ISNUMBER(SEARCH(ZAKL_DATA!$B$29,N194)),MAX($M$2:M193)+1,0)</f>
        <v>192</v>
      </c>
      <c r="N194" s="482" t="s">
        <v>2869</v>
      </c>
      <c r="O194" s="482" t="s">
        <v>2870</v>
      </c>
      <c r="Q194" s="291" t="str">
        <f>IFERROR(VLOOKUP(ROWS($Q$3:Q194),$M$3:$N$718,2,0),"")</f>
        <v>Opravy a údržba motocyklů</v>
      </c>
      <c r="R194">
        <f>IF(ISNUMBER(SEARCH('1Př1'!$A$32,N194)),MAX($M$2:M193)+1,0)</f>
        <v>192</v>
      </c>
      <c r="S194" s="290" t="s">
        <v>1443</v>
      </c>
      <c r="T194" t="str">
        <f>IFERROR(VLOOKUP(ROWS($T$3:T194),$R$3:$S$718,2,0),"")</f>
        <v>Výroba zbraní a střeliva</v>
      </c>
      <c r="U194">
        <f>IF(ISNUMBER(SEARCH('1Př1'!$A$33,N194)),MAX($M$2:M193)+1,0)</f>
        <v>192</v>
      </c>
      <c r="V194" s="290" t="s">
        <v>1443</v>
      </c>
      <c r="W194" t="str">
        <f>IFERROR(VLOOKUP(ROWS($W$3:W194),$U$3:$V$718,2,0),"")</f>
        <v>Výroba zbraní a střeliva</v>
      </c>
      <c r="X194">
        <f>IF(ISNUMBER(SEARCH('1Př1'!$A$34,N194)),MAX($M$2:M193)+1,0)</f>
        <v>192</v>
      </c>
      <c r="Y194" s="290" t="s">
        <v>1443</v>
      </c>
      <c r="Z194" t="str">
        <f>IFERROR(VLOOKUP(ROWS($Z$3:Z194),$X$3:$Y$718,2,0),"")</f>
        <v>Výroba zbraní a střeliva</v>
      </c>
    </row>
    <row r="195" spans="1:26" ht="12.75" customHeight="1">
      <c r="A195" s="266"/>
      <c r="B195" s="266"/>
      <c r="C195" s="266"/>
      <c r="D195" s="282">
        <f>IF(ISNUMBER(SEARCH(ZAKL_DATA!$B$14,E195)),MAX($D$2:D194)+1,0)</f>
        <v>193</v>
      </c>
      <c r="E195" s="294" t="s">
        <v>1444</v>
      </c>
      <c r="F195" s="295">
        <v>3304</v>
      </c>
      <c r="G195" s="296"/>
      <c r="H195" s="297" t="str">
        <f>IFERROR(VLOOKUP(ROWS($H$3:H195),$D$3:$E$204,2,0),"")</f>
        <v>KROMĚŘÍŽ</v>
      </c>
      <c r="I195" s="266"/>
      <c r="J195" s="299" t="s">
        <v>1445</v>
      </c>
      <c r="K195" s="288" t="s">
        <v>1446</v>
      </c>
      <c r="M195" s="289">
        <f>IF(ISNUMBER(SEARCH(ZAKL_DATA!$B$29,N195)),MAX($M$2:M194)+1,0)</f>
        <v>193</v>
      </c>
      <c r="N195" s="482" t="s">
        <v>2871</v>
      </c>
      <c r="O195" s="482" t="s">
        <v>2872</v>
      </c>
      <c r="Q195" s="291" t="str">
        <f>IFERROR(VLOOKUP(ROWS($Q$3:Q195),$M$3:$N$718,2,0),"")</f>
        <v>Opravy a údržba motorových vozidel</v>
      </c>
      <c r="R195">
        <f>IF(ISNUMBER(SEARCH('1Př1'!$A$32,N195)),MAX($M$2:M194)+1,0)</f>
        <v>193</v>
      </c>
      <c r="S195" s="290" t="s">
        <v>1447</v>
      </c>
      <c r="T195" t="str">
        <f>IFERROR(VLOOKUP(ROWS($T$3:T195),$R$3:$S$718,2,0),"")</f>
        <v>Kování,lisování,ražení,válcování a protlačování kovů;prášková metalurgie</v>
      </c>
      <c r="U195">
        <f>IF(ISNUMBER(SEARCH('1Př1'!$A$33,N195)),MAX($M$2:M194)+1,0)</f>
        <v>193</v>
      </c>
      <c r="V195" s="290" t="s">
        <v>1447</v>
      </c>
      <c r="W195" t="str">
        <f>IFERROR(VLOOKUP(ROWS($W$3:W195),$U$3:$V$718,2,0),"")</f>
        <v>Kování,lisování,ražení,válcování a protlačování kovů;prášková metalurgie</v>
      </c>
      <c r="X195">
        <f>IF(ISNUMBER(SEARCH('1Př1'!$A$34,N195)),MAX($M$2:M194)+1,0)</f>
        <v>193</v>
      </c>
      <c r="Y195" s="290" t="s">
        <v>1447</v>
      </c>
      <c r="Z195" t="str">
        <f>IFERROR(VLOOKUP(ROWS($Z$3:Z195),$X$3:$Y$718,2,0),"")</f>
        <v>Kování,lisování,ražení,válcování a protlačování kovů;prášková metalurgie</v>
      </c>
    </row>
    <row r="196" spans="1:26" ht="12.75" customHeight="1">
      <c r="A196" s="266"/>
      <c r="B196" s="266"/>
      <c r="C196" s="266"/>
      <c r="D196" s="282">
        <f>IF(ISNUMBER(SEARCH(ZAKL_DATA!$B$14,E196)),MAX($D$2:D195)+1,0)</f>
        <v>194</v>
      </c>
      <c r="E196" s="294" t="s">
        <v>1448</v>
      </c>
      <c r="F196" s="295">
        <v>3305</v>
      </c>
      <c r="G196" s="296"/>
      <c r="H196" s="297" t="str">
        <f>IFERROR(VLOOKUP(ROWS($H$3:H196),$D$3:$E$204,2,0),"")</f>
        <v>LUHAČOVICE</v>
      </c>
      <c r="I196" s="266"/>
      <c r="J196" s="299" t="s">
        <v>1449</v>
      </c>
      <c r="K196" s="288" t="s">
        <v>1450</v>
      </c>
      <c r="M196" s="289">
        <f>IF(ISNUMBER(SEARCH(ZAKL_DATA!$B$29,N196)),MAX($M$2:M195)+1,0)</f>
        <v>194</v>
      </c>
      <c r="N196" s="482" t="s">
        <v>2873</v>
      </c>
      <c r="O196" s="482" t="s">
        <v>2874</v>
      </c>
      <c r="Q196" s="291" t="str">
        <f>IFERROR(VLOOKUP(ROWS($Q$3:Q196),$M$3:$N$718,2,0),"")</f>
        <v>Opravy a údržba nábytku a bytového zařízení</v>
      </c>
      <c r="R196">
        <f>IF(ISNUMBER(SEARCH('1Př1'!$A$32,N196)),MAX($M$2:M195)+1,0)</f>
        <v>194</v>
      </c>
      <c r="S196" s="290" t="s">
        <v>1451</v>
      </c>
      <c r="T196" t="str">
        <f>IFERROR(VLOOKUP(ROWS($T$3:T196),$R$3:$S$718,2,0),"")</f>
        <v>Povrchová úprava a zušlechťování kovů; obrábění</v>
      </c>
      <c r="U196">
        <f>IF(ISNUMBER(SEARCH('1Př1'!$A$33,N196)),MAX($M$2:M195)+1,0)</f>
        <v>194</v>
      </c>
      <c r="V196" s="290" t="s">
        <v>1451</v>
      </c>
      <c r="W196" t="str">
        <f>IFERROR(VLOOKUP(ROWS($W$3:W196),$U$3:$V$718,2,0),"")</f>
        <v>Povrchová úprava a zušlechťování kovů; obrábění</v>
      </c>
      <c r="X196">
        <f>IF(ISNUMBER(SEARCH('1Př1'!$A$34,N196)),MAX($M$2:M195)+1,0)</f>
        <v>194</v>
      </c>
      <c r="Y196" s="290" t="s">
        <v>1451</v>
      </c>
      <c r="Z196" t="str">
        <f>IFERROR(VLOOKUP(ROWS($Z$3:Z196),$X$3:$Y$718,2,0),"")</f>
        <v>Povrchová úprava a zušlechťování kovů; obrábění</v>
      </c>
    </row>
    <row r="197" spans="1:26" ht="12.75" customHeight="1">
      <c r="A197" s="266"/>
      <c r="B197" s="266"/>
      <c r="C197" s="266"/>
      <c r="D197" s="282">
        <f>IF(ISNUMBER(SEARCH(ZAKL_DATA!$B$14,E197)),MAX($D$2:D196)+1,0)</f>
        <v>195</v>
      </c>
      <c r="E197" s="294" t="s">
        <v>1452</v>
      </c>
      <c r="F197" s="295">
        <v>3306</v>
      </c>
      <c r="G197" s="296"/>
      <c r="H197" s="297" t="str">
        <f>IFERROR(VLOOKUP(ROWS($H$3:H197),$D$3:$E$204,2,0),"")</f>
        <v>OTROKOVICE</v>
      </c>
      <c r="I197" s="266"/>
      <c r="J197" s="299" t="s">
        <v>1453</v>
      </c>
      <c r="K197" s="288" t="s">
        <v>1454</v>
      </c>
      <c r="M197" s="289">
        <f>IF(ISNUMBER(SEARCH(ZAKL_DATA!$B$29,N197)),MAX($M$2:M196)+1,0)</f>
        <v>195</v>
      </c>
      <c r="N197" s="482" t="s">
        <v>2875</v>
      </c>
      <c r="O197" s="482" t="s">
        <v>2876</v>
      </c>
      <c r="Q197" s="291" t="str">
        <f>IFERROR(VLOOKUP(ROWS($Q$3:Q197),$M$3:$N$718,2,0),"")</f>
        <v>Opravy a údržba obuvi a kožených výrobků</v>
      </c>
      <c r="R197">
        <f>IF(ISNUMBER(SEARCH('1Př1'!$A$32,N197)),MAX($M$2:M196)+1,0)</f>
        <v>195</v>
      </c>
      <c r="S197" s="290" t="s">
        <v>1455</v>
      </c>
      <c r="T197" t="str">
        <f>IFERROR(VLOOKUP(ROWS($T$3:T197),$R$3:$S$718,2,0),"")</f>
        <v>Výroba nožířských výrobků, nástrojů a železářských výrobků</v>
      </c>
      <c r="U197">
        <f>IF(ISNUMBER(SEARCH('1Př1'!$A$33,N197)),MAX($M$2:M196)+1,0)</f>
        <v>195</v>
      </c>
      <c r="V197" s="290" t="s">
        <v>1455</v>
      </c>
      <c r="W197" t="str">
        <f>IFERROR(VLOOKUP(ROWS($W$3:W197),$U$3:$V$718,2,0),"")</f>
        <v>Výroba nožířských výrobků, nástrojů a železářských výrobků</v>
      </c>
      <c r="X197">
        <f>IF(ISNUMBER(SEARCH('1Př1'!$A$34,N197)),MAX($M$2:M196)+1,0)</f>
        <v>195</v>
      </c>
      <c r="Y197" s="290" t="s">
        <v>1455</v>
      </c>
      <c r="Z197" t="str">
        <f>IFERROR(VLOOKUP(ROWS($Z$3:Z197),$X$3:$Y$718,2,0),"")</f>
        <v>Výroba nožířských výrobků, nástrojů a železářských výrobků</v>
      </c>
    </row>
    <row r="198" spans="1:26" ht="12.75" customHeight="1">
      <c r="A198" s="266"/>
      <c r="B198" s="266"/>
      <c r="C198" s="266"/>
      <c r="D198" s="282">
        <f>IF(ISNUMBER(SEARCH(ZAKL_DATA!$B$14,E198)),MAX($D$2:D197)+1,0)</f>
        <v>196</v>
      </c>
      <c r="E198" s="294" t="s">
        <v>1456</v>
      </c>
      <c r="F198" s="295">
        <v>3307</v>
      </c>
      <c r="G198" s="296"/>
      <c r="H198" s="297" t="str">
        <f>IFERROR(VLOOKUP(ROWS($H$3:H198),$D$3:$E$204,2,0),"")</f>
        <v>ROŽNOV POD RADH.</v>
      </c>
      <c r="I198" s="266"/>
      <c r="J198" s="299" t="s">
        <v>1457</v>
      </c>
      <c r="K198" s="288" t="s">
        <v>1458</v>
      </c>
      <c r="M198" s="289">
        <f>IF(ISNUMBER(SEARCH(ZAKL_DATA!$B$29,N198)),MAX($M$2:M197)+1,0)</f>
        <v>196</v>
      </c>
      <c r="N198" s="482" t="s">
        <v>2877</v>
      </c>
      <c r="O198" s="482" t="s">
        <v>2878</v>
      </c>
      <c r="Q198" s="291" t="str">
        <f>IFERROR(VLOOKUP(ROWS($Q$3:Q198),$M$3:$N$718,2,0),"")</f>
        <v>Opravy a údržba ostatních civilních dopravních prostředků a zařízení j. n.</v>
      </c>
      <c r="R198">
        <f>IF(ISNUMBER(SEARCH('1Př1'!$A$32,N198)),MAX($M$2:M197)+1,0)</f>
        <v>196</v>
      </c>
      <c r="S198" s="290" t="s">
        <v>1459</v>
      </c>
      <c r="T198" t="str">
        <f>IFERROR(VLOOKUP(ROWS($T$3:T198),$R$3:$S$718,2,0),"")</f>
        <v>Výroba ostatních kovodělných výrobků</v>
      </c>
      <c r="U198">
        <f>IF(ISNUMBER(SEARCH('1Př1'!$A$33,N198)),MAX($M$2:M197)+1,0)</f>
        <v>196</v>
      </c>
      <c r="V198" s="290" t="s">
        <v>1459</v>
      </c>
      <c r="W198" t="str">
        <f>IFERROR(VLOOKUP(ROWS($W$3:W198),$U$3:$V$718,2,0),"")</f>
        <v>Výroba ostatních kovodělných výrobků</v>
      </c>
      <c r="X198">
        <f>IF(ISNUMBER(SEARCH('1Př1'!$A$34,N198)),MAX($M$2:M197)+1,0)</f>
        <v>196</v>
      </c>
      <c r="Y198" s="290" t="s">
        <v>1459</v>
      </c>
      <c r="Z198" t="str">
        <f>IFERROR(VLOOKUP(ROWS($Z$3:Z198),$X$3:$Y$718,2,0),"")</f>
        <v>Výroba ostatních kovodělných výrobků</v>
      </c>
    </row>
    <row r="199" spans="1:26" ht="12.75" customHeight="1">
      <c r="A199" s="266"/>
      <c r="B199" s="266"/>
      <c r="C199" s="266"/>
      <c r="D199" s="282">
        <f>IF(ISNUMBER(SEARCH(ZAKL_DATA!$B$14,E199)),MAX($D$2:D198)+1,0)</f>
        <v>197</v>
      </c>
      <c r="E199" s="294" t="s">
        <v>1460</v>
      </c>
      <c r="F199" s="295">
        <v>3308</v>
      </c>
      <c r="G199" s="296"/>
      <c r="H199" s="297" t="str">
        <f>IFERROR(VLOOKUP(ROWS($H$3:H199),$D$3:$E$204,2,0),"")</f>
        <v>UHERSKÝ BROD</v>
      </c>
      <c r="I199" s="266"/>
      <c r="J199" s="299" t="s">
        <v>1461</v>
      </c>
      <c r="K199" s="288" t="s">
        <v>1462</v>
      </c>
      <c r="M199" s="289">
        <f>IF(ISNUMBER(SEARCH(ZAKL_DATA!$B$29,N199)),MAX($M$2:M198)+1,0)</f>
        <v>197</v>
      </c>
      <c r="N199" s="482" t="s">
        <v>2879</v>
      </c>
      <c r="O199" s="482" t="s">
        <v>2880</v>
      </c>
      <c r="Q199" s="291" t="str">
        <f>IFERROR(VLOOKUP(ROWS($Q$3:Q199),$M$3:$N$718,2,0),"")</f>
        <v>Opravy a údržba ostatních zařízení</v>
      </c>
      <c r="R199">
        <f>IF(ISNUMBER(SEARCH('1Př1'!$A$32,N199)),MAX($M$2:M198)+1,0)</f>
        <v>197</v>
      </c>
      <c r="S199" s="290" t="s">
        <v>1463</v>
      </c>
      <c r="T199" t="str">
        <f>IFERROR(VLOOKUP(ROWS($T$3:T199),$R$3:$S$718,2,0),"")</f>
        <v>Výroba elektronických součástek a desek</v>
      </c>
      <c r="U199">
        <f>IF(ISNUMBER(SEARCH('1Př1'!$A$33,N199)),MAX($M$2:M198)+1,0)</f>
        <v>197</v>
      </c>
      <c r="V199" s="290" t="s">
        <v>1463</v>
      </c>
      <c r="W199" t="str">
        <f>IFERROR(VLOOKUP(ROWS($W$3:W199),$U$3:$V$718,2,0),"")</f>
        <v>Výroba elektronických součástek a desek</v>
      </c>
      <c r="X199">
        <f>IF(ISNUMBER(SEARCH('1Př1'!$A$34,N199)),MAX($M$2:M198)+1,0)</f>
        <v>197</v>
      </c>
      <c r="Y199" s="290" t="s">
        <v>1463</v>
      </c>
      <c r="Z199" t="str">
        <f>IFERROR(VLOOKUP(ROWS($Z$3:Z199),$X$3:$Y$718,2,0),"")</f>
        <v>Výroba elektronických součástek a desek</v>
      </c>
    </row>
    <row r="200" spans="1:26" ht="12.75" customHeight="1">
      <c r="A200" s="266"/>
      <c r="B200" s="266"/>
      <c r="C200" s="266"/>
      <c r="D200" s="282">
        <f>IF(ISNUMBER(SEARCH(ZAKL_DATA!$B$14,E200)),MAX($D$2:D199)+1,0)</f>
        <v>198</v>
      </c>
      <c r="E200" s="294" t="s">
        <v>1464</v>
      </c>
      <c r="F200" s="295">
        <v>3309</v>
      </c>
      <c r="G200" s="296"/>
      <c r="H200" s="297" t="str">
        <f>IFERROR(VLOOKUP(ROWS($H$3:H200),$D$3:$E$204,2,0),"")</f>
        <v>UHERSKÉ HRADIŠTĚ</v>
      </c>
      <c r="I200" s="266"/>
      <c r="J200" s="299" t="s">
        <v>1465</v>
      </c>
      <c r="K200" s="288" t="s">
        <v>1466</v>
      </c>
      <c r="M200" s="289">
        <f>IF(ISNUMBER(SEARCH(ZAKL_DATA!$B$29,N200)),MAX($M$2:M199)+1,0)</f>
        <v>198</v>
      </c>
      <c r="N200" s="482" t="s">
        <v>2881</v>
      </c>
      <c r="O200" s="482" t="s">
        <v>2882</v>
      </c>
      <c r="Q200" s="291" t="str">
        <f>IFERROR(VLOOKUP(ROWS($Q$3:Q200),$M$3:$N$718,2,0),"")</f>
        <v>Opravy a údržba počítačů a komunikačních zařízení</v>
      </c>
      <c r="R200">
        <f>IF(ISNUMBER(SEARCH('1Př1'!$A$32,N200)),MAX($M$2:M199)+1,0)</f>
        <v>198</v>
      </c>
      <c r="S200" s="290" t="s">
        <v>1467</v>
      </c>
      <c r="T200" t="str">
        <f>IFERROR(VLOOKUP(ROWS($T$3:T200),$R$3:$S$718,2,0),"")</f>
        <v>Výroba počítačů a periferních zařízení</v>
      </c>
      <c r="U200">
        <f>IF(ISNUMBER(SEARCH('1Př1'!$A$33,N200)),MAX($M$2:M199)+1,0)</f>
        <v>198</v>
      </c>
      <c r="V200" s="290" t="s">
        <v>1467</v>
      </c>
      <c r="W200" t="str">
        <f>IFERROR(VLOOKUP(ROWS($W$3:W200),$U$3:$V$718,2,0),"")</f>
        <v>Výroba počítačů a periferních zařízení</v>
      </c>
      <c r="X200">
        <f>IF(ISNUMBER(SEARCH('1Př1'!$A$34,N200)),MAX($M$2:M199)+1,0)</f>
        <v>198</v>
      </c>
      <c r="Y200" s="290" t="s">
        <v>1467</v>
      </c>
      <c r="Z200" t="str">
        <f>IFERROR(VLOOKUP(ROWS($Z$3:Z200),$X$3:$Y$718,2,0),"")</f>
        <v>Výroba počítačů a periferních zařízení</v>
      </c>
    </row>
    <row r="201" spans="1:26" ht="12.75" customHeight="1">
      <c r="A201" s="266"/>
      <c r="B201" s="266"/>
      <c r="C201" s="266"/>
      <c r="D201" s="282">
        <f>IF(ISNUMBER(SEARCH(ZAKL_DATA!$B$14,E201)),MAX($D$2:D200)+1,0)</f>
        <v>199</v>
      </c>
      <c r="E201" s="294" t="s">
        <v>1468</v>
      </c>
      <c r="F201" s="295">
        <v>3310</v>
      </c>
      <c r="G201" s="296"/>
      <c r="H201" s="297" t="str">
        <f>IFERROR(VLOOKUP(ROWS($H$3:H201),$D$3:$E$204,2,0),"")</f>
        <v>VALAŠSKÉ MEZIŘÍČÍ</v>
      </c>
      <c r="I201" s="266"/>
      <c r="J201" s="299" t="s">
        <v>1469</v>
      </c>
      <c r="K201" s="288" t="s">
        <v>1470</v>
      </c>
      <c r="M201" s="289">
        <f>IF(ISNUMBER(SEARCH(ZAKL_DATA!$B$29,N201)),MAX($M$2:M200)+1,0)</f>
        <v>199</v>
      </c>
      <c r="N201" s="482" t="s">
        <v>2883</v>
      </c>
      <c r="O201" s="482" t="s">
        <v>2884</v>
      </c>
      <c r="Q201" s="291" t="str">
        <f>IFERROR(VLOOKUP(ROWS($Q$3:Q201),$M$3:$N$718,2,0),"")</f>
        <v>Opravy a údržba přístrojů a zařízení převážně pro domácnost, dům a zahradu</v>
      </c>
      <c r="R201">
        <f>IF(ISNUMBER(SEARCH('1Př1'!$A$32,N201)),MAX($M$2:M200)+1,0)</f>
        <v>199</v>
      </c>
      <c r="S201" s="290" t="s">
        <v>1471</v>
      </c>
      <c r="T201" t="str">
        <f>IFERROR(VLOOKUP(ROWS($T$3:T201),$R$3:$S$718,2,0),"")</f>
        <v>Výroba komunikačních zařízení</v>
      </c>
      <c r="U201">
        <f>IF(ISNUMBER(SEARCH('1Př1'!$A$33,N201)),MAX($M$2:M200)+1,0)</f>
        <v>199</v>
      </c>
      <c r="V201" s="290" t="s">
        <v>1471</v>
      </c>
      <c r="W201" t="str">
        <f>IFERROR(VLOOKUP(ROWS($W$3:W201),$U$3:$V$718,2,0),"")</f>
        <v>Výroba komunikačních zařízení</v>
      </c>
      <c r="X201">
        <f>IF(ISNUMBER(SEARCH('1Př1'!$A$34,N201)),MAX($M$2:M200)+1,0)</f>
        <v>199</v>
      </c>
      <c r="Y201" s="290" t="s">
        <v>1471</v>
      </c>
      <c r="Z201" t="str">
        <f>IFERROR(VLOOKUP(ROWS($Z$3:Z201),$X$3:$Y$718,2,0),"")</f>
        <v>Výroba komunikačních zařízení</v>
      </c>
    </row>
    <row r="202" spans="1:26" ht="12.75" customHeight="1">
      <c r="A202" s="266"/>
      <c r="B202" s="266"/>
      <c r="C202" s="266"/>
      <c r="D202" s="282">
        <f>IF(ISNUMBER(SEARCH(ZAKL_DATA!$B$14,E202)),MAX($D$2:D201)+1,0)</f>
        <v>200</v>
      </c>
      <c r="E202" s="294" t="s">
        <v>1472</v>
      </c>
      <c r="F202" s="295">
        <v>3311</v>
      </c>
      <c r="G202" s="296"/>
      <c r="H202" s="297" t="str">
        <f>IFERROR(VLOOKUP(ROWS($H$3:H202),$D$3:$E$204,2,0),"")</f>
        <v>VALAŠSKÉ KLOBOUKY</v>
      </c>
      <c r="I202" s="266"/>
      <c r="J202" s="299" t="s">
        <v>1473</v>
      </c>
      <c r="K202" s="288" t="s">
        <v>1474</v>
      </c>
      <c r="M202" s="289">
        <f>IF(ISNUMBER(SEARCH(ZAKL_DATA!$B$29,N202)),MAX($M$2:M201)+1,0)</f>
        <v>200</v>
      </c>
      <c r="N202" s="482" t="s">
        <v>2885</v>
      </c>
      <c r="O202" s="482" t="s">
        <v>2886</v>
      </c>
      <c r="Q202" s="291" t="str">
        <f>IFERROR(VLOOKUP(ROWS($Q$3:Q202),$M$3:$N$718,2,0),"")</f>
        <v>Opravy a údržba spotřební elektroniky</v>
      </c>
      <c r="R202">
        <f>IF(ISNUMBER(SEARCH('1Př1'!$A$32,N202)),MAX($M$2:M201)+1,0)</f>
        <v>200</v>
      </c>
      <c r="S202" s="290" t="s">
        <v>1475</v>
      </c>
      <c r="T202" t="str">
        <f>IFERROR(VLOOKUP(ROWS($T$3:T202),$R$3:$S$718,2,0),"")</f>
        <v>Výroba spotřební elektroniky</v>
      </c>
      <c r="U202">
        <f>IF(ISNUMBER(SEARCH('1Př1'!$A$33,N202)),MAX($M$2:M201)+1,0)</f>
        <v>200</v>
      </c>
      <c r="V202" s="290" t="s">
        <v>1475</v>
      </c>
      <c r="W202" t="str">
        <f>IFERROR(VLOOKUP(ROWS($W$3:W202),$U$3:$V$718,2,0),"")</f>
        <v>Výroba spotřební elektroniky</v>
      </c>
      <c r="X202">
        <f>IF(ISNUMBER(SEARCH('1Př1'!$A$34,N202)),MAX($M$2:M201)+1,0)</f>
        <v>200</v>
      </c>
      <c r="Y202" s="290" t="s">
        <v>1475</v>
      </c>
      <c r="Z202" t="str">
        <f>IFERROR(VLOOKUP(ROWS($Z$3:Z202),$X$3:$Y$718,2,0),"")</f>
        <v>Výroba spotřební elektroniky</v>
      </c>
    </row>
    <row r="203" spans="1:26" ht="12.75" customHeight="1">
      <c r="A203" s="266"/>
      <c r="B203" s="266"/>
      <c r="C203" s="266"/>
      <c r="D203" s="282">
        <f>IF(ISNUMBER(SEARCH(ZAKL_DATA!$B$14,E203)),MAX($D$2:D202)+1,0)</f>
        <v>201</v>
      </c>
      <c r="E203" s="294" t="s">
        <v>1476</v>
      </c>
      <c r="F203" s="295">
        <v>3312</v>
      </c>
      <c r="G203" s="296"/>
      <c r="H203" s="297" t="str">
        <f>IFERROR(VLOOKUP(ROWS($H$3:H203),$D$3:$E$204,2,0),"")</f>
        <v>VSETÍN</v>
      </c>
      <c r="I203" s="266"/>
      <c r="J203" s="299" t="s">
        <v>1477</v>
      </c>
      <c r="K203" s="288" t="s">
        <v>1478</v>
      </c>
      <c r="M203" s="289">
        <f>IF(ISNUMBER(SEARCH(ZAKL_DATA!$B$29,N203)),MAX($M$2:M202)+1,0)</f>
        <v>201</v>
      </c>
      <c r="N203" s="482" t="s">
        <v>2887</v>
      </c>
      <c r="O203" s="482" t="s">
        <v>2888</v>
      </c>
      <c r="Q203" s="291" t="str">
        <f>IFERROR(VLOOKUP(ROWS($Q$3:Q203),$M$3:$N$718,2,0),"")</f>
        <v>Opravy a údržba strojů</v>
      </c>
      <c r="R203">
        <f>IF(ISNUMBER(SEARCH('1Př1'!$A$32,N203)),MAX($M$2:M202)+1,0)</f>
        <v>201</v>
      </c>
      <c r="S203" s="290" t="s">
        <v>1479</v>
      </c>
      <c r="T203" t="str">
        <f>IFERROR(VLOOKUP(ROWS($T$3:T203),$R$3:$S$718,2,0),"")</f>
        <v>Výroba měřicích,zkušebních a navigačních přístrojů;výroba časoměr.přístrojů</v>
      </c>
      <c r="U203">
        <f>IF(ISNUMBER(SEARCH('1Př1'!$A$33,N203)),MAX($M$2:M202)+1,0)</f>
        <v>201</v>
      </c>
      <c r="V203" s="290" t="s">
        <v>1479</v>
      </c>
      <c r="W203" t="str">
        <f>IFERROR(VLOOKUP(ROWS($W$3:W203),$U$3:$V$718,2,0),"")</f>
        <v>Výroba měřicích,zkušebních a navigačních přístrojů;výroba časoměr.přístrojů</v>
      </c>
      <c r="X203">
        <f>IF(ISNUMBER(SEARCH('1Př1'!$A$34,N203)),MAX($M$2:M202)+1,0)</f>
        <v>201</v>
      </c>
      <c r="Y203" s="290" t="s">
        <v>1479</v>
      </c>
      <c r="Z203" t="str">
        <f>IFERROR(VLOOKUP(ROWS($Z$3:Z203),$X$3:$Y$718,2,0),"")</f>
        <v>Výroba měřicích,zkušebních a navigačních přístrojů;výroba časoměr.přístrojů</v>
      </c>
    </row>
    <row r="204" spans="1:26" ht="12.75" customHeight="1" thickBot="1">
      <c r="A204" s="266"/>
      <c r="B204" s="266"/>
      <c r="C204" s="266"/>
      <c r="D204" s="282">
        <f>IF(ISNUMBER(SEARCH(ZAKL_DATA!$B$14,E204)),MAX($D$2:D203)+1,0)</f>
        <v>202</v>
      </c>
      <c r="E204" s="306" t="s">
        <v>733</v>
      </c>
      <c r="F204" s="307">
        <v>4000</v>
      </c>
      <c r="G204" s="308"/>
      <c r="H204" s="309" t="str">
        <f>IFERROR(VLOOKUP(ROWS($H$3:H204),$D$3:$E$204,2,0),"")</f>
        <v>SPECIALIZOVANÝ</v>
      </c>
      <c r="I204" s="266"/>
      <c r="J204" s="299" t="s">
        <v>1480</v>
      </c>
      <c r="K204" s="288" t="s">
        <v>1481</v>
      </c>
      <c r="M204" s="289">
        <f>IF(ISNUMBER(SEARCH(ZAKL_DATA!$B$29,N204)),MAX($M$2:M203)+1,0)</f>
        <v>202</v>
      </c>
      <c r="N204" s="482" t="s">
        <v>2889</v>
      </c>
      <c r="O204" s="482" t="s">
        <v>2890</v>
      </c>
      <c r="Q204" s="291" t="str">
        <f>IFERROR(VLOOKUP(ROWS($Q$3:Q204),$M$3:$N$718,2,0),"")</f>
        <v>Opravy a údržba vojenských bojových vozidel</v>
      </c>
      <c r="R204">
        <f>IF(ISNUMBER(SEARCH('1Př1'!$A$32,N204)),MAX($M$2:M203)+1,0)</f>
        <v>202</v>
      </c>
      <c r="S204" s="290" t="s">
        <v>1482</v>
      </c>
      <c r="T204" t="str">
        <f>IFERROR(VLOOKUP(ROWS($T$3:T204),$R$3:$S$718,2,0),"")</f>
        <v>Výroba ozařovacích, elektroléčebných a elektroterapeutických přístrojů</v>
      </c>
      <c r="U204">
        <f>IF(ISNUMBER(SEARCH('1Př1'!$A$33,N204)),MAX($M$2:M203)+1,0)</f>
        <v>202</v>
      </c>
      <c r="V204" s="290" t="s">
        <v>1482</v>
      </c>
      <c r="W204" t="str">
        <f>IFERROR(VLOOKUP(ROWS($W$3:W204),$U$3:$V$718,2,0),"")</f>
        <v>Výroba ozařovacích, elektroléčebných a elektroterapeutických přístrojů</v>
      </c>
      <c r="X204">
        <f>IF(ISNUMBER(SEARCH('1Př1'!$A$34,N204)),MAX($M$2:M203)+1,0)</f>
        <v>202</v>
      </c>
      <c r="Y204" s="290" t="s">
        <v>1482</v>
      </c>
      <c r="Z204" t="str">
        <f>IFERROR(VLOOKUP(ROWS($Z$3:Z204),$X$3:$Y$718,2,0),"")</f>
        <v>Výroba ozařovacích, elektroléčebných a elektroterapeutických přístrojů</v>
      </c>
    </row>
    <row r="205" spans="1:26" ht="25.5">
      <c r="A205" s="266"/>
      <c r="B205" s="266"/>
      <c r="C205" s="266"/>
      <c r="D205" s="267"/>
      <c r="E205" s="266"/>
      <c r="F205" s="266"/>
      <c r="G205" s="266"/>
      <c r="H205" s="266" t="str">
        <f>IFERROR(VLOOKUP(ROWS($H$3:H205),$D$2:$E$204,2,0),"")</f>
        <v/>
      </c>
      <c r="I205" s="266"/>
      <c r="J205" s="299" t="s">
        <v>1483</v>
      </c>
      <c r="K205" s="288" t="s">
        <v>1484</v>
      </c>
      <c r="M205" s="289">
        <f>IF(ISNUMBER(SEARCH(ZAKL_DATA!$B$29,N205)),MAX($M$2:M204)+1,0)</f>
        <v>203</v>
      </c>
      <c r="N205" s="482" t="s">
        <v>2891</v>
      </c>
      <c r="O205" s="482" t="s">
        <v>2892</v>
      </c>
      <c r="Q205" s="291" t="str">
        <f>IFERROR(VLOOKUP(ROWS($Q$3:Q205),$M$3:$N$718,2,0),"")</f>
        <v>Opravy a údržba vojenských letadel a kosmických lodí</v>
      </c>
      <c r="R205">
        <f>IF(ISNUMBER(SEARCH('1Př1'!$A$32,N205)),MAX($M$2:M204)+1,0)</f>
        <v>203</v>
      </c>
      <c r="S205" s="290" t="s">
        <v>1485</v>
      </c>
      <c r="T205" t="str">
        <f>IFERROR(VLOOKUP(ROWS($T$3:T205),$R$3:$S$718,2,0),"")</f>
        <v>Výroba optických a fotografických přístrojů a zařízení</v>
      </c>
      <c r="U205">
        <f>IF(ISNUMBER(SEARCH('1Př1'!$A$33,N205)),MAX($M$2:M204)+1,0)</f>
        <v>203</v>
      </c>
      <c r="V205" s="290" t="s">
        <v>1485</v>
      </c>
      <c r="W205" t="str">
        <f>IFERROR(VLOOKUP(ROWS($W$3:W205),$U$3:$V$718,2,0),"")</f>
        <v>Výroba optických a fotografických přístrojů a zařízení</v>
      </c>
      <c r="X205">
        <f>IF(ISNUMBER(SEARCH('1Př1'!$A$34,N205)),MAX($M$2:M204)+1,0)</f>
        <v>203</v>
      </c>
      <c r="Y205" s="290" t="s">
        <v>1485</v>
      </c>
      <c r="Z205" t="str">
        <f>IFERROR(VLOOKUP(ROWS($Z$3:Z205),$X$3:$Y$718,2,0),"")</f>
        <v>Výroba optických a fotografických přístrojů a zařízení</v>
      </c>
    </row>
    <row r="206" spans="10:26" ht="12.75">
      <c r="J206" s="299" t="s">
        <v>1486</v>
      </c>
      <c r="K206" s="288" t="s">
        <v>1487</v>
      </c>
      <c r="M206" s="289">
        <f>IF(ISNUMBER(SEARCH(ZAKL_DATA!$B$29,N206)),MAX($M$2:M205)+1,0)</f>
        <v>204</v>
      </c>
      <c r="N206" s="482" t="s">
        <v>2893</v>
      </c>
      <c r="O206" s="482" t="s">
        <v>2894</v>
      </c>
      <c r="Q206" s="291" t="str">
        <f>IFERROR(VLOOKUP(ROWS($Q$3:Q206),$M$3:$N$718,2,0),"")</f>
        <v>Opravy a údržba vojenských lodí a člunů</v>
      </c>
      <c r="R206">
        <f>IF(ISNUMBER(SEARCH('1Př1'!$A$32,N206)),MAX($M$2:M205)+1,0)</f>
        <v>204</v>
      </c>
      <c r="S206" s="290" t="s">
        <v>1488</v>
      </c>
      <c r="T206" t="str">
        <f>IFERROR(VLOOKUP(ROWS($T$3:T206),$R$3:$S$718,2,0),"")</f>
        <v>Výroba magnetických a optických médií</v>
      </c>
      <c r="U206">
        <f>IF(ISNUMBER(SEARCH('1Př1'!$A$33,N206)),MAX($M$2:M205)+1,0)</f>
        <v>204</v>
      </c>
      <c r="V206" s="290" t="s">
        <v>1488</v>
      </c>
      <c r="W206" t="str">
        <f>IFERROR(VLOOKUP(ROWS($W$3:W206),$U$3:$V$718,2,0),"")</f>
        <v>Výroba magnetických a optických médií</v>
      </c>
      <c r="X206">
        <f>IF(ISNUMBER(SEARCH('1Př1'!$A$34,N206)),MAX($M$2:M205)+1,0)</f>
        <v>204</v>
      </c>
      <c r="Y206" s="290" t="s">
        <v>1488</v>
      </c>
      <c r="Z206" t="str">
        <f>IFERROR(VLOOKUP(ROWS($Z$3:Z206),$X$3:$Y$718,2,0),"")</f>
        <v>Výroba magnetických a optických médií</v>
      </c>
    </row>
    <row r="207" spans="10:26" ht="25.5">
      <c r="J207" s="299" t="s">
        <v>1489</v>
      </c>
      <c r="K207" s="288" t="s">
        <v>1490</v>
      </c>
      <c r="M207" s="289">
        <f>IF(ISNUMBER(SEARCH(ZAKL_DATA!$B$29,N207)),MAX($M$2:M206)+1,0)</f>
        <v>205</v>
      </c>
      <c r="N207" s="482" t="s">
        <v>2895</v>
      </c>
      <c r="O207" s="482" t="s">
        <v>2896</v>
      </c>
      <c r="Q207" s="291" t="str">
        <f>IFERROR(VLOOKUP(ROWS($Q$3:Q207),$M$3:$N$718,2,0),"")</f>
        <v>Opravy a údržba výrobků pro osobní potřebu a převážně pro domácnost j. n.</v>
      </c>
      <c r="R207">
        <f>IF(ISNUMBER(SEARCH('1Př1'!$A$32,N207)),MAX($M$2:M206)+1,0)</f>
        <v>205</v>
      </c>
      <c r="S207" s="290" t="s">
        <v>1491</v>
      </c>
      <c r="T207" t="str">
        <f>IFERROR(VLOOKUP(ROWS($T$3:T207),$R$3:$S$718,2,0),"")</f>
        <v>Výroba elektr.motorů,generátorů,transformátorů a elektr.rozvod.a kontrol.z.</v>
      </c>
      <c r="U207">
        <f>IF(ISNUMBER(SEARCH('1Př1'!$A$33,N207)),MAX($M$2:M206)+1,0)</f>
        <v>205</v>
      </c>
      <c r="V207" s="290" t="s">
        <v>1491</v>
      </c>
      <c r="W207" t="str">
        <f>IFERROR(VLOOKUP(ROWS($W$3:W207),$U$3:$V$718,2,0),"")</f>
        <v>Výroba elektr.motorů,generátorů,transformátorů a elektr.rozvod.a kontrol.z.</v>
      </c>
      <c r="X207">
        <f>IF(ISNUMBER(SEARCH('1Př1'!$A$34,N207)),MAX($M$2:M206)+1,0)</f>
        <v>205</v>
      </c>
      <c r="Y207" s="290" t="s">
        <v>1491</v>
      </c>
      <c r="Z207" t="str">
        <f>IFERROR(VLOOKUP(ROWS($Z$3:Z207),$X$3:$Y$718,2,0),"")</f>
        <v>Výroba elektr.motorů,generátorů,transformátorů a elektr.rozvod.a kontrol.z.</v>
      </c>
    </row>
    <row r="208" spans="10:26" ht="25.5">
      <c r="J208" s="299" t="s">
        <v>1492</v>
      </c>
      <c r="K208" s="288" t="s">
        <v>1493</v>
      </c>
      <c r="M208" s="289">
        <f>IF(ISNUMBER(SEARCH(ZAKL_DATA!$B$29,N208)),MAX($M$2:M207)+1,0)</f>
        <v>206</v>
      </c>
      <c r="N208" s="482" t="s">
        <v>2897</v>
      </c>
      <c r="O208" s="482" t="s">
        <v>2898</v>
      </c>
      <c r="Q208" s="291" t="str">
        <f>IFERROR(VLOOKUP(ROWS($Q$3:Q208),$M$3:$N$718,2,0),"")</f>
        <v>Osobní doprava visutými lanovkami a lyžařskými vleky</v>
      </c>
      <c r="R208">
        <f>IF(ISNUMBER(SEARCH('1Př1'!$A$32,N208)),MAX($M$2:M207)+1,0)</f>
        <v>206</v>
      </c>
      <c r="S208" s="290" t="s">
        <v>1494</v>
      </c>
      <c r="T208" t="str">
        <f>IFERROR(VLOOKUP(ROWS($T$3:T208),$R$3:$S$718,2,0),"")</f>
        <v>Výroba baterií a akumulátorů</v>
      </c>
      <c r="U208">
        <f>IF(ISNUMBER(SEARCH('1Př1'!$A$33,N208)),MAX($M$2:M207)+1,0)</f>
        <v>206</v>
      </c>
      <c r="V208" s="290" t="s">
        <v>1494</v>
      </c>
      <c r="W208" t="str">
        <f>IFERROR(VLOOKUP(ROWS($W$3:W208),$U$3:$V$718,2,0),"")</f>
        <v>Výroba baterií a akumulátorů</v>
      </c>
      <c r="X208">
        <f>IF(ISNUMBER(SEARCH('1Př1'!$A$34,N208)),MAX($M$2:M207)+1,0)</f>
        <v>206</v>
      </c>
      <c r="Y208" s="290" t="s">
        <v>1494</v>
      </c>
      <c r="Z208" t="str">
        <f>IFERROR(VLOOKUP(ROWS($Z$3:Z208),$X$3:$Y$718,2,0),"")</f>
        <v>Výroba baterií a akumulátorů</v>
      </c>
    </row>
    <row r="209" spans="10:26" ht="12.75">
      <c r="J209" s="299" t="s">
        <v>1495</v>
      </c>
      <c r="K209" s="288" t="s">
        <v>1496</v>
      </c>
      <c r="M209" s="289">
        <f>IF(ISNUMBER(SEARCH(ZAKL_DATA!$B$29,N209)),MAX($M$2:M208)+1,0)</f>
        <v>207</v>
      </c>
      <c r="N209" s="482" t="s">
        <v>2899</v>
      </c>
      <c r="O209" s="482" t="s">
        <v>2900</v>
      </c>
      <c r="Q209" s="291" t="str">
        <f>IFERROR(VLOOKUP(ROWS($Q$3:Q209),$M$3:$N$718,2,0),"")</f>
        <v>Osobní doprava vozidlem s řidičem na vyžádání</v>
      </c>
      <c r="R209">
        <f>IF(ISNUMBER(SEARCH('1Př1'!$A$32,N209)),MAX($M$2:M208)+1,0)</f>
        <v>207</v>
      </c>
      <c r="S209" s="290" t="s">
        <v>1497</v>
      </c>
      <c r="T209" t="str">
        <f>IFERROR(VLOOKUP(ROWS($T$3:T209),$R$3:$S$718,2,0),"")</f>
        <v>Výroba optických a elektr.kabelů,elektr.vodičů a elektroinstal.zařízení</v>
      </c>
      <c r="U209">
        <f>IF(ISNUMBER(SEARCH('1Př1'!$A$33,N209)),MAX($M$2:M208)+1,0)</f>
        <v>207</v>
      </c>
      <c r="V209" s="290" t="s">
        <v>1497</v>
      </c>
      <c r="W209" t="str">
        <f>IFERROR(VLOOKUP(ROWS($W$3:W209),$U$3:$V$718,2,0),"")</f>
        <v>Výroba optických a elektr.kabelů,elektr.vodičů a elektroinstal.zařízení</v>
      </c>
      <c r="X209">
        <f>IF(ISNUMBER(SEARCH('1Př1'!$A$34,N209)),MAX($M$2:M208)+1,0)</f>
        <v>207</v>
      </c>
      <c r="Y209" s="290" t="s">
        <v>1497</v>
      </c>
      <c r="Z209" t="str">
        <f>IFERROR(VLOOKUP(ROWS($Z$3:Z209),$X$3:$Y$718,2,0),"")</f>
        <v>Výroba optických a elektr.kabelů,elektr.vodičů a elektroinstal.zařízení</v>
      </c>
    </row>
    <row r="210" spans="10:26" ht="25.5">
      <c r="J210" s="299" t="s">
        <v>1498</v>
      </c>
      <c r="K210" s="288" t="s">
        <v>1499</v>
      </c>
      <c r="M210" s="289">
        <f>IF(ISNUMBER(SEARCH(ZAKL_DATA!$B$29,N210)),MAX($M$2:M209)+1,0)</f>
        <v>208</v>
      </c>
      <c r="N210" s="482" t="s">
        <v>2136</v>
      </c>
      <c r="O210" s="482" t="s">
        <v>2901</v>
      </c>
      <c r="Q210" s="291" t="str">
        <f>IFERROR(VLOOKUP(ROWS($Q$3:Q210),$M$3:$N$718,2,0),"")</f>
        <v>Ostatní ambulantní nebo terénní sociální služby j. n.</v>
      </c>
      <c r="R210">
        <f>IF(ISNUMBER(SEARCH('1Př1'!$A$32,N210)),MAX($M$2:M209)+1,0)</f>
        <v>208</v>
      </c>
      <c r="S210" s="290" t="s">
        <v>1500</v>
      </c>
      <c r="T210" t="str">
        <f>IFERROR(VLOOKUP(ROWS($T$3:T210),$R$3:$S$718,2,0),"")</f>
        <v>Výroba elektrických osvětlovacích zařízení</v>
      </c>
      <c r="U210">
        <f>IF(ISNUMBER(SEARCH('1Př1'!$A$33,N210)),MAX($M$2:M209)+1,0)</f>
        <v>208</v>
      </c>
      <c r="V210" s="290" t="s">
        <v>1500</v>
      </c>
      <c r="W210" t="str">
        <f>IFERROR(VLOOKUP(ROWS($W$3:W210),$U$3:$V$718,2,0),"")</f>
        <v>Výroba elektrických osvětlovacích zařízení</v>
      </c>
      <c r="X210">
        <f>IF(ISNUMBER(SEARCH('1Př1'!$A$34,N210)),MAX($M$2:M209)+1,0)</f>
        <v>208</v>
      </c>
      <c r="Y210" s="290" t="s">
        <v>1500</v>
      </c>
      <c r="Z210" t="str">
        <f>IFERROR(VLOOKUP(ROWS($Z$3:Z210),$X$3:$Y$718,2,0),"")</f>
        <v>Výroba elektrických osvětlovacích zařízení</v>
      </c>
    </row>
    <row r="211" spans="10:26" ht="12.75">
      <c r="J211" s="299" t="s">
        <v>1501</v>
      </c>
      <c r="K211" s="288" t="s">
        <v>1502</v>
      </c>
      <c r="M211" s="289">
        <f>IF(ISNUMBER(SEARCH(ZAKL_DATA!$B$29,N211)),MAX($M$2:M210)+1,0)</f>
        <v>209</v>
      </c>
      <c r="N211" s="482" t="s">
        <v>2902</v>
      </c>
      <c r="O211" s="482" t="s">
        <v>2903</v>
      </c>
      <c r="Q211" s="291" t="str">
        <f>IFERROR(VLOOKUP(ROWS($Q$3:Q211),$M$3:$N$718,2,0),"")</f>
        <v>Ostatní činnosti související s distribucí obsahu</v>
      </c>
      <c r="R211">
        <f>IF(ISNUMBER(SEARCH('1Př1'!$A$32,N211)),MAX($M$2:M210)+1,0)</f>
        <v>209</v>
      </c>
      <c r="S211" s="290" t="s">
        <v>1503</v>
      </c>
      <c r="T211" t="str">
        <f>IFERROR(VLOOKUP(ROWS($T$3:T211),$R$3:$S$718,2,0),"")</f>
        <v>Výroba spotřebičů převážně pro domácnost</v>
      </c>
      <c r="U211">
        <f>IF(ISNUMBER(SEARCH('1Př1'!$A$33,N211)),MAX($M$2:M210)+1,0)</f>
        <v>209</v>
      </c>
      <c r="V211" s="290" t="s">
        <v>1503</v>
      </c>
      <c r="W211" t="str">
        <f>IFERROR(VLOOKUP(ROWS($W$3:W211),$U$3:$V$718,2,0),"")</f>
        <v>Výroba spotřebičů převážně pro domácnost</v>
      </c>
      <c r="X211">
        <f>IF(ISNUMBER(SEARCH('1Př1'!$A$34,N211)),MAX($M$2:M210)+1,0)</f>
        <v>209</v>
      </c>
      <c r="Y211" s="290" t="s">
        <v>1503</v>
      </c>
      <c r="Z211" t="str">
        <f>IFERROR(VLOOKUP(ROWS($Z$3:Z211),$X$3:$Y$718,2,0),"")</f>
        <v>Výroba spotřebičů převážně pro domácnost</v>
      </c>
    </row>
    <row r="212" spans="10:26" ht="12.75">
      <c r="J212" s="298" t="s">
        <v>1504</v>
      </c>
      <c r="K212" s="288" t="s">
        <v>1505</v>
      </c>
      <c r="M212" s="289">
        <f>IF(ISNUMBER(SEARCH(ZAKL_DATA!$B$29,N212)),MAX($M$2:M211)+1,0)</f>
        <v>210</v>
      </c>
      <c r="N212" s="482" t="s">
        <v>2158</v>
      </c>
      <c r="O212" s="482" t="s">
        <v>2904</v>
      </c>
      <c r="Q212" s="291" t="str">
        <f>IFERROR(VLOOKUP(ROWS($Q$3:Q212),$M$3:$N$718,2,0),"")</f>
        <v>Ostatní činnosti související se zdravotní péčí j. n.</v>
      </c>
      <c r="R212">
        <f>IF(ISNUMBER(SEARCH('1Př1'!$A$32,N212)),MAX($M$2:M211)+1,0)</f>
        <v>210</v>
      </c>
      <c r="S212" s="290" t="s">
        <v>1506</v>
      </c>
      <c r="T212" t="str">
        <f>IFERROR(VLOOKUP(ROWS($T$3:T212),$R$3:$S$718,2,0),"")</f>
        <v>Výroba ostatních elektrických zařízení</v>
      </c>
      <c r="U212">
        <f>IF(ISNUMBER(SEARCH('1Př1'!$A$33,N212)),MAX($M$2:M211)+1,0)</f>
        <v>210</v>
      </c>
      <c r="V212" s="290" t="s">
        <v>1506</v>
      </c>
      <c r="W212" t="str">
        <f>IFERROR(VLOOKUP(ROWS($W$3:W212),$U$3:$V$718,2,0),"")</f>
        <v>Výroba ostatních elektrických zařízení</v>
      </c>
      <c r="X212">
        <f>IF(ISNUMBER(SEARCH('1Př1'!$A$34,N212)),MAX($M$2:M211)+1,0)</f>
        <v>210</v>
      </c>
      <c r="Y212" s="290" t="s">
        <v>1506</v>
      </c>
      <c r="Z212" t="str">
        <f>IFERROR(VLOOKUP(ROWS($Z$3:Z212),$X$3:$Y$718,2,0),"")</f>
        <v>Výroba ostatních elektrických zařízení</v>
      </c>
    </row>
    <row r="213" spans="10:26" ht="25.5">
      <c r="J213" s="299" t="s">
        <v>1507</v>
      </c>
      <c r="K213" s="288" t="s">
        <v>1508</v>
      </c>
      <c r="M213" s="289">
        <f>IF(ISNUMBER(SEARCH(ZAKL_DATA!$B$29,N213)),MAX($M$2:M212)+1,0)</f>
        <v>211</v>
      </c>
      <c r="N213" s="482" t="s">
        <v>2905</v>
      </c>
      <c r="O213" s="482" t="s">
        <v>2906</v>
      </c>
      <c r="Q213" s="291" t="str">
        <f>IFERROR(VLOOKUP(ROWS($Q$3:Q213),$M$3:$N$718,2,0),"")</f>
        <v>Ostatní činnosti v oblasti informačních technologií a počítačů</v>
      </c>
      <c r="R213">
        <f>IF(ISNUMBER(SEARCH('1Př1'!$A$32,N213)),MAX($M$2:M212)+1,0)</f>
        <v>211</v>
      </c>
      <c r="S213" s="290" t="s">
        <v>1509</v>
      </c>
      <c r="T213" t="str">
        <f>IFERROR(VLOOKUP(ROWS($T$3:T213),$R$3:$S$718,2,0),"")</f>
        <v>Výroba strojů a zařízení pro všeobecné účely</v>
      </c>
      <c r="U213">
        <f>IF(ISNUMBER(SEARCH('1Př1'!$A$33,N213)),MAX($M$2:M212)+1,0)</f>
        <v>211</v>
      </c>
      <c r="V213" s="290" t="s">
        <v>1509</v>
      </c>
      <c r="W213" t="str">
        <f>IFERROR(VLOOKUP(ROWS($W$3:W213),$U$3:$V$718,2,0),"")</f>
        <v>Výroba strojů a zařízení pro všeobecné účely</v>
      </c>
      <c r="X213">
        <f>IF(ISNUMBER(SEARCH('1Př1'!$A$34,N213)),MAX($M$2:M212)+1,0)</f>
        <v>211</v>
      </c>
      <c r="Y213" s="290" t="s">
        <v>1509</v>
      </c>
      <c r="Z213" t="str">
        <f>IFERROR(VLOOKUP(ROWS($Z$3:Z213),$X$3:$Y$718,2,0),"")</f>
        <v>Výroba strojů a zařízení pro všeobecné účely</v>
      </c>
    </row>
    <row r="214" spans="10:26" ht="25.5">
      <c r="J214" s="298" t="s">
        <v>1510</v>
      </c>
      <c r="K214" s="288" t="s">
        <v>1511</v>
      </c>
      <c r="M214" s="289">
        <f>IF(ISNUMBER(SEARCH(ZAKL_DATA!$B$29,N214)),MAX($M$2:M213)+1,0)</f>
        <v>212</v>
      </c>
      <c r="N214" s="482" t="s">
        <v>2907</v>
      </c>
      <c r="O214" s="482" t="s">
        <v>2908</v>
      </c>
      <c r="Q214" s="291" t="str">
        <f>IFERROR(VLOOKUP(ROWS($Q$3:Q214),$M$3:$N$718,2,0),"")</f>
        <v>Ostatní činnosti v oblasti nemovitostí na základě smlouvy nebo dohody</v>
      </c>
      <c r="R214">
        <f>IF(ISNUMBER(SEARCH('1Př1'!$A$32,N214)),MAX($M$2:M213)+1,0)</f>
        <v>212</v>
      </c>
      <c r="S214" s="290" t="s">
        <v>1512</v>
      </c>
      <c r="T214" t="str">
        <f>IFERROR(VLOOKUP(ROWS($T$3:T214),$R$3:$S$718,2,0),"")</f>
        <v>Výroba ostatních strojů a zařízení pro všeobecné účely</v>
      </c>
      <c r="U214">
        <f>IF(ISNUMBER(SEARCH('1Př1'!$A$33,N214)),MAX($M$2:M213)+1,0)</f>
        <v>212</v>
      </c>
      <c r="V214" s="290" t="s">
        <v>1512</v>
      </c>
      <c r="W214" t="str">
        <f>IFERROR(VLOOKUP(ROWS($W$3:W214),$U$3:$V$718,2,0),"")</f>
        <v>Výroba ostatních strojů a zařízení pro všeobecné účely</v>
      </c>
      <c r="X214">
        <f>IF(ISNUMBER(SEARCH('1Př1'!$A$34,N214)),MAX($M$2:M213)+1,0)</f>
        <v>212</v>
      </c>
      <c r="Y214" s="290" t="s">
        <v>1512</v>
      </c>
      <c r="Z214" t="str">
        <f>IFERROR(VLOOKUP(ROWS($Z$3:Z214),$X$3:$Y$718,2,0),"")</f>
        <v>Výroba ostatních strojů a zařízení pro všeobecné účely</v>
      </c>
    </row>
    <row r="215" spans="10:26" ht="12.75">
      <c r="J215" s="298" t="s">
        <v>1513</v>
      </c>
      <c r="K215" s="288" t="s">
        <v>1514</v>
      </c>
      <c r="M215" s="289">
        <f>IF(ISNUMBER(SEARCH(ZAKL_DATA!$B$29,N215)),MAX($M$2:M214)+1,0)</f>
        <v>213</v>
      </c>
      <c r="N215" s="482" t="s">
        <v>1683</v>
      </c>
      <c r="O215" s="482" t="s">
        <v>2909</v>
      </c>
      <c r="Q215" s="291" t="str">
        <f>IFERROR(VLOOKUP(ROWS($Q$3:Q215),$M$3:$N$718,2,0),"")</f>
        <v>Ostatní informační činnosti</v>
      </c>
      <c r="R215">
        <f>IF(ISNUMBER(SEARCH('1Př1'!$A$32,N215)),MAX($M$2:M214)+1,0)</f>
        <v>213</v>
      </c>
      <c r="S215" s="290" t="s">
        <v>1515</v>
      </c>
      <c r="T215" t="str">
        <f>IFERROR(VLOOKUP(ROWS($T$3:T215),$R$3:$S$718,2,0),"")</f>
        <v>Výroba zemědělských a lesnických strojů</v>
      </c>
      <c r="U215">
        <f>IF(ISNUMBER(SEARCH('1Př1'!$A$33,N215)),MAX($M$2:M214)+1,0)</f>
        <v>213</v>
      </c>
      <c r="V215" s="290" t="s">
        <v>1515</v>
      </c>
      <c r="W215" t="str">
        <f>IFERROR(VLOOKUP(ROWS($W$3:W215),$U$3:$V$718,2,0),"")</f>
        <v>Výroba zemědělských a lesnických strojů</v>
      </c>
      <c r="X215">
        <f>IF(ISNUMBER(SEARCH('1Př1'!$A$34,N215)),MAX($M$2:M214)+1,0)</f>
        <v>213</v>
      </c>
      <c r="Y215" s="290" t="s">
        <v>1515</v>
      </c>
      <c r="Z215" t="str">
        <f>IFERROR(VLOOKUP(ROWS($Z$3:Z215),$X$3:$Y$718,2,0),"")</f>
        <v>Výroba zemědělských a lesnických strojů</v>
      </c>
    </row>
    <row r="216" spans="10:26" ht="12.75">
      <c r="J216" s="299" t="s">
        <v>1516</v>
      </c>
      <c r="K216" s="288" t="s">
        <v>1517</v>
      </c>
      <c r="M216" s="289">
        <f>IF(ISNUMBER(SEARCH(ZAKL_DATA!$B$29,N216)),MAX($M$2:M215)+1,0)</f>
        <v>214</v>
      </c>
      <c r="N216" s="482" t="s">
        <v>2910</v>
      </c>
      <c r="O216" s="482" t="s">
        <v>2911</v>
      </c>
      <c r="Q216" s="291" t="str">
        <f>IFERROR(VLOOKUP(ROWS($Q$3:Q216),$M$3:$N$718,2,0),"")</f>
        <v>Ostatní kolejová osobní doprava</v>
      </c>
      <c r="R216">
        <f>IF(ISNUMBER(SEARCH('1Př1'!$A$32,N216)),MAX($M$2:M215)+1,0)</f>
        <v>214</v>
      </c>
      <c r="S216" s="290" t="s">
        <v>1518</v>
      </c>
      <c r="T216" t="str">
        <f>IFERROR(VLOOKUP(ROWS($T$3:T216),$R$3:$S$718,2,0),"")</f>
        <v>Výroba kovoobráběcích a ostatních obráběcích strojů</v>
      </c>
      <c r="U216">
        <f>IF(ISNUMBER(SEARCH('1Př1'!$A$33,N216)),MAX($M$2:M215)+1,0)</f>
        <v>214</v>
      </c>
      <c r="V216" s="290" t="s">
        <v>1518</v>
      </c>
      <c r="W216" t="str">
        <f>IFERROR(VLOOKUP(ROWS($W$3:W216),$U$3:$V$718,2,0),"")</f>
        <v>Výroba kovoobráběcích a ostatních obráběcích strojů</v>
      </c>
      <c r="X216">
        <f>IF(ISNUMBER(SEARCH('1Př1'!$A$34,N216)),MAX($M$2:M215)+1,0)</f>
        <v>214</v>
      </c>
      <c r="Y216" s="290" t="s">
        <v>1518</v>
      </c>
      <c r="Z216" t="str">
        <f>IFERROR(VLOOKUP(ROWS($Z$3:Z216),$X$3:$Y$718,2,0),"")</f>
        <v>Výroba kovoobráběcích a ostatních obráběcích strojů</v>
      </c>
    </row>
    <row r="217" spans="10:26" ht="12.75">
      <c r="J217" s="299" t="s">
        <v>1519</v>
      </c>
      <c r="K217" s="288" t="s">
        <v>1520</v>
      </c>
      <c r="M217" s="289">
        <f>IF(ISNUMBER(SEARCH(ZAKL_DATA!$B$29,N217)),MAX($M$2:M216)+1,0)</f>
        <v>215</v>
      </c>
      <c r="N217" s="482" t="s">
        <v>2912</v>
      </c>
      <c r="O217" s="482" t="s">
        <v>2913</v>
      </c>
      <c r="Q217" s="291" t="str">
        <f>IFERROR(VLOOKUP(ROWS($Q$3:Q217),$M$3:$N$718,2,0),"")</f>
        <v>Ostatní kompletační a dokončovací stavební práce</v>
      </c>
      <c r="R217">
        <f>IF(ISNUMBER(SEARCH('1Př1'!$A$32,N217)),MAX($M$2:M216)+1,0)</f>
        <v>215</v>
      </c>
      <c r="S217" s="290" t="s">
        <v>1521</v>
      </c>
      <c r="T217" t="str">
        <f>IFERROR(VLOOKUP(ROWS($T$3:T217),$R$3:$S$718,2,0),"")</f>
        <v>Výroba ostatních strojů pro speciální účely</v>
      </c>
      <c r="U217">
        <f>IF(ISNUMBER(SEARCH('1Př1'!$A$33,N217)),MAX($M$2:M216)+1,0)</f>
        <v>215</v>
      </c>
      <c r="V217" s="290" t="s">
        <v>1521</v>
      </c>
      <c r="W217" t="str">
        <f>IFERROR(VLOOKUP(ROWS($W$3:W217),$U$3:$V$718,2,0),"")</f>
        <v>Výroba ostatních strojů pro speciální účely</v>
      </c>
      <c r="X217">
        <f>IF(ISNUMBER(SEARCH('1Př1'!$A$34,N217)),MAX($M$2:M216)+1,0)</f>
        <v>215</v>
      </c>
      <c r="Y217" s="290" t="s">
        <v>1521</v>
      </c>
      <c r="Z217" t="str">
        <f>IFERROR(VLOOKUP(ROWS($Z$3:Z217),$X$3:$Y$718,2,0),"")</f>
        <v>Výroba ostatních strojů pro speciální účely</v>
      </c>
    </row>
    <row r="218" spans="10:26" ht="12.75">
      <c r="J218" s="299" t="s">
        <v>1522</v>
      </c>
      <c r="K218" s="288" t="s">
        <v>1523</v>
      </c>
      <c r="M218" s="289">
        <f>IF(ISNUMBER(SEARCH(ZAKL_DATA!$B$29,N218)),MAX($M$2:M217)+1,0)</f>
        <v>216</v>
      </c>
      <c r="N218" s="482" t="s">
        <v>2914</v>
      </c>
      <c r="O218" s="482" t="s">
        <v>2915</v>
      </c>
      <c r="Q218" s="291" t="str">
        <f>IFERROR(VLOOKUP(ROWS($Q$3:Q218),$M$3:$N$718,2,0),"")</f>
        <v>Ostatní nespecializovaný maloobchod</v>
      </c>
      <c r="R218">
        <f>IF(ISNUMBER(SEARCH('1Př1'!$A$32,N218)),MAX($M$2:M217)+1,0)</f>
        <v>216</v>
      </c>
      <c r="S218" s="290" t="s">
        <v>1524</v>
      </c>
      <c r="T218" t="str">
        <f>IFERROR(VLOOKUP(ROWS($T$3:T218),$R$3:$S$718,2,0),"")</f>
        <v>Výroba motorových vozidel a jejich motorů</v>
      </c>
      <c r="U218">
        <f>IF(ISNUMBER(SEARCH('1Př1'!$A$33,N218)),MAX($M$2:M217)+1,0)</f>
        <v>216</v>
      </c>
      <c r="V218" s="290" t="s">
        <v>1524</v>
      </c>
      <c r="W218" t="str">
        <f>IFERROR(VLOOKUP(ROWS($W$3:W218),$U$3:$V$718,2,0),"")</f>
        <v>Výroba motorových vozidel a jejich motorů</v>
      </c>
      <c r="X218">
        <f>IF(ISNUMBER(SEARCH('1Př1'!$A$34,N218)),MAX($M$2:M217)+1,0)</f>
        <v>216</v>
      </c>
      <c r="Y218" s="290" t="s">
        <v>1524</v>
      </c>
      <c r="Z218" t="str">
        <f>IFERROR(VLOOKUP(ROWS($Z$3:Z218),$X$3:$Y$718,2,0),"")</f>
        <v>Výroba motorových vozidel a jejich motorů</v>
      </c>
    </row>
    <row r="219" spans="10:26" ht="12.75">
      <c r="J219" s="299" t="s">
        <v>1525</v>
      </c>
      <c r="K219" s="288" t="s">
        <v>1526</v>
      </c>
      <c r="M219" s="289">
        <f>IF(ISNUMBER(SEARCH(ZAKL_DATA!$B$29,N219)),MAX($M$2:M218)+1,0)</f>
        <v>217</v>
      </c>
      <c r="N219" s="482" t="s">
        <v>2916</v>
      </c>
      <c r="O219" s="482" t="s">
        <v>2917</v>
      </c>
      <c r="Q219" s="291" t="str">
        <f>IFERROR(VLOOKUP(ROWS($Q$3:Q219),$M$3:$N$718,2,0),"")</f>
        <v>Ostatní odstraňování odpadů</v>
      </c>
      <c r="R219">
        <f>IF(ISNUMBER(SEARCH('1Př1'!$A$32,N219)),MAX($M$2:M218)+1,0)</f>
        <v>217</v>
      </c>
      <c r="S219" s="290" t="s">
        <v>1527</v>
      </c>
      <c r="T219" t="str">
        <f>IFERROR(VLOOKUP(ROWS($T$3:T219),$R$3:$S$718,2,0),"")</f>
        <v>Výroba karoserií motorových vozidel; výroba přívěsů a návěsů</v>
      </c>
      <c r="U219">
        <f>IF(ISNUMBER(SEARCH('1Př1'!$A$33,N219)),MAX($M$2:M218)+1,0)</f>
        <v>217</v>
      </c>
      <c r="V219" s="290" t="s">
        <v>1527</v>
      </c>
      <c r="W219" t="str">
        <f>IFERROR(VLOOKUP(ROWS($W$3:W219),$U$3:$V$718,2,0),"")</f>
        <v>Výroba karoserií motorových vozidel; výroba přívěsů a návěsů</v>
      </c>
      <c r="X219">
        <f>IF(ISNUMBER(SEARCH('1Př1'!$A$34,N219)),MAX($M$2:M218)+1,0)</f>
        <v>217</v>
      </c>
      <c r="Y219" s="290" t="s">
        <v>1527</v>
      </c>
      <c r="Z219" t="str">
        <f>IFERROR(VLOOKUP(ROWS($Z$3:Z219),$X$3:$Y$718,2,0),"")</f>
        <v>Výroba karoserií motorových vozidel; výroba přívěsů a návěsů</v>
      </c>
    </row>
    <row r="220" spans="10:26" ht="12.75">
      <c r="J220" s="299" t="s">
        <v>1528</v>
      </c>
      <c r="K220" s="288" t="s">
        <v>1529</v>
      </c>
      <c r="M220" s="289">
        <f>IF(ISNUMBER(SEARCH(ZAKL_DATA!$B$29,N220)),MAX($M$2:M219)+1,0)</f>
        <v>218</v>
      </c>
      <c r="N220" s="482" t="s">
        <v>2098</v>
      </c>
      <c r="O220" s="482" t="s">
        <v>2918</v>
      </c>
      <c r="Q220" s="291" t="str">
        <f>IFERROR(VLOOKUP(ROWS($Q$3:Q220),$M$3:$N$718,2,0),"")</f>
        <v>Ostatní peněžní zprostředkování</v>
      </c>
      <c r="R220">
        <f>IF(ISNUMBER(SEARCH('1Př1'!$A$32,N220)),MAX($M$2:M219)+1,0)</f>
        <v>218</v>
      </c>
      <c r="S220" s="290" t="s">
        <v>1530</v>
      </c>
      <c r="T220" t="str">
        <f>IFERROR(VLOOKUP(ROWS($T$3:T220),$R$3:$S$718,2,0),"")</f>
        <v>Výroba dílů a příslušenství pro motorová vozidla a jejich motory</v>
      </c>
      <c r="U220">
        <f>IF(ISNUMBER(SEARCH('1Př1'!$A$33,N220)),MAX($M$2:M219)+1,0)</f>
        <v>218</v>
      </c>
      <c r="V220" s="290" t="s">
        <v>1530</v>
      </c>
      <c r="W220" t="str">
        <f>IFERROR(VLOOKUP(ROWS($W$3:W220),$U$3:$V$718,2,0),"")</f>
        <v>Výroba dílů a příslušenství pro motorová vozidla a jejich motory</v>
      </c>
      <c r="X220">
        <f>IF(ISNUMBER(SEARCH('1Př1'!$A$34,N220)),MAX($M$2:M219)+1,0)</f>
        <v>218</v>
      </c>
      <c r="Y220" s="290" t="s">
        <v>1530</v>
      </c>
      <c r="Z220" t="str">
        <f>IFERROR(VLOOKUP(ROWS($Z$3:Z220),$X$3:$Y$718,2,0),"")</f>
        <v>Výroba dílů a příslušenství pro motorová vozidla a jejich motory</v>
      </c>
    </row>
    <row r="221" spans="10:26" ht="12.75">
      <c r="J221" s="299" t="s">
        <v>1531</v>
      </c>
      <c r="K221" s="288" t="s">
        <v>1532</v>
      </c>
      <c r="M221" s="289">
        <f>IF(ISNUMBER(SEARCH(ZAKL_DATA!$B$29,N221)),MAX($M$2:M220)+1,0)</f>
        <v>219</v>
      </c>
      <c r="N221" s="482" t="s">
        <v>2919</v>
      </c>
      <c r="O221" s="482" t="s">
        <v>2920</v>
      </c>
      <c r="Q221" s="291" t="str">
        <f>IFERROR(VLOOKUP(ROWS($Q$3:Q221),$M$3:$N$718,2,0),"")</f>
        <v>Ostatní pobytové služby sociální péče j. n.</v>
      </c>
      <c r="R221">
        <f>IF(ISNUMBER(SEARCH('1Př1'!$A$32,N221)),MAX($M$2:M220)+1,0)</f>
        <v>219</v>
      </c>
      <c r="S221" s="290" t="s">
        <v>1533</v>
      </c>
      <c r="T221" t="str">
        <f>IFERROR(VLOOKUP(ROWS($T$3:T221),$R$3:$S$718,2,0),"")</f>
        <v>Stavba lodí a člunů</v>
      </c>
      <c r="U221">
        <f>IF(ISNUMBER(SEARCH('1Př1'!$A$33,N221)),MAX($M$2:M220)+1,0)</f>
        <v>219</v>
      </c>
      <c r="V221" s="290" t="s">
        <v>1533</v>
      </c>
      <c r="W221" t="str">
        <f>IFERROR(VLOOKUP(ROWS($W$3:W221),$U$3:$V$718,2,0),"")</f>
        <v>Stavba lodí a člunů</v>
      </c>
      <c r="X221">
        <f>IF(ISNUMBER(SEARCH('1Př1'!$A$34,N221)),MAX($M$2:M220)+1,0)</f>
        <v>219</v>
      </c>
      <c r="Y221" s="290" t="s">
        <v>1533</v>
      </c>
      <c r="Z221" t="str">
        <f>IFERROR(VLOOKUP(ROWS($Z$3:Z221),$X$3:$Y$718,2,0),"")</f>
        <v>Stavba lodí a člunů</v>
      </c>
    </row>
    <row r="222" spans="10:26" ht="12.75">
      <c r="J222" s="298" t="s">
        <v>1534</v>
      </c>
      <c r="K222" s="288" t="s">
        <v>1535</v>
      </c>
      <c r="M222" s="289">
        <f>IF(ISNUMBER(SEARCH(ZAKL_DATA!$B$29,N222)),MAX($M$2:M221)+1,0)</f>
        <v>220</v>
      </c>
      <c r="N222" s="482" t="s">
        <v>2921</v>
      </c>
      <c r="O222" s="482" t="s">
        <v>2922</v>
      </c>
      <c r="Q222" s="291" t="str">
        <f>IFERROR(VLOOKUP(ROWS($Q$3:Q222),$M$3:$N$718,2,0),"")</f>
        <v>Ostatní počítačové programování</v>
      </c>
      <c r="R222">
        <f>IF(ISNUMBER(SEARCH('1Př1'!$A$32,N222)),MAX($M$2:M221)+1,0)</f>
        <v>220</v>
      </c>
      <c r="S222" s="290" t="s">
        <v>1536</v>
      </c>
      <c r="T222" t="str">
        <f>IFERROR(VLOOKUP(ROWS($T$3:T222),$R$3:$S$718,2,0),"")</f>
        <v>Výroba železničních lokomotiv a vozového parku</v>
      </c>
      <c r="U222">
        <f>IF(ISNUMBER(SEARCH('1Př1'!$A$33,N222)),MAX($M$2:M221)+1,0)</f>
        <v>220</v>
      </c>
      <c r="V222" s="290" t="s">
        <v>1536</v>
      </c>
      <c r="W222" t="str">
        <f>IFERROR(VLOOKUP(ROWS($W$3:W222),$U$3:$V$718,2,0),"")</f>
        <v>Výroba železničních lokomotiv a vozového parku</v>
      </c>
      <c r="X222">
        <f>IF(ISNUMBER(SEARCH('1Př1'!$A$34,N222)),MAX($M$2:M221)+1,0)</f>
        <v>220</v>
      </c>
      <c r="Y222" s="290" t="s">
        <v>1536</v>
      </c>
      <c r="Z222" t="str">
        <f>IFERROR(VLOOKUP(ROWS($Z$3:Z222),$X$3:$Y$718,2,0),"")</f>
        <v>Výroba železničních lokomotiv a vozového parku</v>
      </c>
    </row>
    <row r="223" spans="10:26" ht="12.75">
      <c r="J223" s="299" t="s">
        <v>1537</v>
      </c>
      <c r="K223" s="288" t="s">
        <v>1538</v>
      </c>
      <c r="M223" s="289">
        <f>IF(ISNUMBER(SEARCH(ZAKL_DATA!$B$29,N223)),MAX($M$2:M222)+1,0)</f>
        <v>221</v>
      </c>
      <c r="N223" s="482" t="s">
        <v>2923</v>
      </c>
      <c r="O223" s="482" t="s">
        <v>2924</v>
      </c>
      <c r="Q223" s="291" t="str">
        <f>IFERROR(VLOOKUP(ROWS($Q$3:Q223),$M$3:$N$718,2,0),"")</f>
        <v>Ostatní podpůrné činnosti pro dopravu</v>
      </c>
      <c r="R223">
        <f>IF(ISNUMBER(SEARCH('1Př1'!$A$32,N223)),MAX($M$2:M222)+1,0)</f>
        <v>221</v>
      </c>
      <c r="S223" s="290" t="s">
        <v>1539</v>
      </c>
      <c r="T223" t="str">
        <f>IFERROR(VLOOKUP(ROWS($T$3:T223),$R$3:$S$718,2,0),"")</f>
        <v>Výroba letadel a jejich motorů,kosmických lodí a souvisejících zařízení</v>
      </c>
      <c r="U223">
        <f>IF(ISNUMBER(SEARCH('1Př1'!$A$33,N223)),MAX($M$2:M222)+1,0)</f>
        <v>221</v>
      </c>
      <c r="V223" s="290" t="s">
        <v>1539</v>
      </c>
      <c r="W223" t="str">
        <f>IFERROR(VLOOKUP(ROWS($W$3:W223),$U$3:$V$718,2,0),"")</f>
        <v>Výroba letadel a jejich motorů,kosmických lodí a souvisejících zařízení</v>
      </c>
      <c r="X223">
        <f>IF(ISNUMBER(SEARCH('1Př1'!$A$34,N223)),MAX($M$2:M222)+1,0)</f>
        <v>221</v>
      </c>
      <c r="Y223" s="290" t="s">
        <v>1539</v>
      </c>
      <c r="Z223" t="str">
        <f>IFERROR(VLOOKUP(ROWS($Z$3:Z223),$X$3:$Y$718,2,0),"")</f>
        <v>Výroba letadel a jejich motorů,kosmických lodí a souvisejících zařízení</v>
      </c>
    </row>
    <row r="224" spans="10:26" ht="12.75">
      <c r="J224" s="299" t="s">
        <v>1540</v>
      </c>
      <c r="K224" s="288" t="s">
        <v>1541</v>
      </c>
      <c r="M224" s="289">
        <f>IF(ISNUMBER(SEARCH(ZAKL_DATA!$B$29,N224)),MAX($M$2:M223)+1,0)</f>
        <v>222</v>
      </c>
      <c r="N224" s="482" t="s">
        <v>2124</v>
      </c>
      <c r="O224" s="482" t="s">
        <v>2925</v>
      </c>
      <c r="Q224" s="291" t="str">
        <f>IFERROR(VLOOKUP(ROWS($Q$3:Q224),$M$3:$N$718,2,0),"")</f>
        <v>Ostatní podpůrné činnosti pro podnikání j. n.</v>
      </c>
      <c r="R224">
        <f>IF(ISNUMBER(SEARCH('1Př1'!$A$32,N224)),MAX($M$2:M223)+1,0)</f>
        <v>222</v>
      </c>
      <c r="S224" s="290" t="s">
        <v>1542</v>
      </c>
      <c r="T224" t="str">
        <f>IFERROR(VLOOKUP(ROWS($T$3:T224),$R$3:$S$718,2,0),"")</f>
        <v>Výroba vojenských bojových vozidel</v>
      </c>
      <c r="U224">
        <f>IF(ISNUMBER(SEARCH('1Př1'!$A$33,N224)),MAX($M$2:M223)+1,0)</f>
        <v>222</v>
      </c>
      <c r="V224" s="290" t="s">
        <v>1542</v>
      </c>
      <c r="W224" t="str">
        <f>IFERROR(VLOOKUP(ROWS($W$3:W224),$U$3:$V$718,2,0),"")</f>
        <v>Výroba vojenských bojových vozidel</v>
      </c>
      <c r="X224">
        <f>IF(ISNUMBER(SEARCH('1Př1'!$A$34,N224)),MAX($M$2:M223)+1,0)</f>
        <v>222</v>
      </c>
      <c r="Y224" s="290" t="s">
        <v>1542</v>
      </c>
      <c r="Z224" t="str">
        <f>IFERROR(VLOOKUP(ROWS($Z$3:Z224),$X$3:$Y$718,2,0),"")</f>
        <v>Výroba vojenských bojových vozidel</v>
      </c>
    </row>
    <row r="225" spans="10:26" ht="25.5">
      <c r="J225" s="299" t="s">
        <v>1543</v>
      </c>
      <c r="K225" s="288" t="s">
        <v>1544</v>
      </c>
      <c r="M225" s="289">
        <f>IF(ISNUMBER(SEARCH(ZAKL_DATA!$B$29,N225)),MAX($M$2:M224)+1,0)</f>
        <v>223</v>
      </c>
      <c r="N225" s="482" t="s">
        <v>2926</v>
      </c>
      <c r="O225" s="482" t="s">
        <v>2927</v>
      </c>
      <c r="Q225" s="291" t="str">
        <f>IFERROR(VLOOKUP(ROWS($Q$3:Q225),$M$3:$N$718,2,0),"")</f>
        <v>Ostatní podpůrné činnosti pro uměleckou tvorbu a scénická umění</v>
      </c>
      <c r="R225">
        <f>IF(ISNUMBER(SEARCH('1Př1'!$A$32,N225)),MAX($M$2:M224)+1,0)</f>
        <v>223</v>
      </c>
      <c r="S225" s="290" t="s">
        <v>1545</v>
      </c>
      <c r="T225" t="str">
        <f>IFERROR(VLOOKUP(ROWS($T$3:T225),$R$3:$S$718,2,0),"")</f>
        <v>Výroba dopravních prostředků a zařízení j. n.</v>
      </c>
      <c r="U225">
        <f>IF(ISNUMBER(SEARCH('1Př1'!$A$33,N225)),MAX($M$2:M224)+1,0)</f>
        <v>223</v>
      </c>
      <c r="V225" s="290" t="s">
        <v>1545</v>
      </c>
      <c r="W225" t="str">
        <f>IFERROR(VLOOKUP(ROWS($W$3:W225),$U$3:$V$718,2,0),"")</f>
        <v>Výroba dopravních prostředků a zařízení j. n.</v>
      </c>
      <c r="X225">
        <f>IF(ISNUMBER(SEARCH('1Př1'!$A$34,N225)),MAX($M$2:M224)+1,0)</f>
        <v>223</v>
      </c>
      <c r="Y225" s="290" t="s">
        <v>1545</v>
      </c>
      <c r="Z225" t="str">
        <f>IFERROR(VLOOKUP(ROWS($Z$3:Z225),$X$3:$Y$718,2,0),"")</f>
        <v>Výroba dopravních prostředků a zařízení j. n.</v>
      </c>
    </row>
    <row r="226" spans="10:26" ht="25.5">
      <c r="J226" s="299" t="s">
        <v>1546</v>
      </c>
      <c r="K226" s="288" t="s">
        <v>1547</v>
      </c>
      <c r="M226" s="289">
        <f>IF(ISNUMBER(SEARCH(ZAKL_DATA!$B$29,N226)),MAX($M$2:M225)+1,0)</f>
        <v>224</v>
      </c>
      <c r="N226" s="482" t="s">
        <v>2928</v>
      </c>
      <c r="O226" s="482" t="s">
        <v>2929</v>
      </c>
      <c r="Q226" s="291" t="str">
        <f>IFERROR(VLOOKUP(ROWS($Q$3:Q226),$M$3:$N$718,2,0),"")</f>
        <v>Ostatní pomocné činnosti k finančním činnostem, kromě pojišťování a penzijního financování</v>
      </c>
      <c r="R226">
        <f>IF(ISNUMBER(SEARCH('1Př1'!$A$32,N226)),MAX($M$2:M225)+1,0)</f>
        <v>224</v>
      </c>
      <c r="S226" s="290" t="s">
        <v>1548</v>
      </c>
      <c r="T226" t="str">
        <f>IFERROR(VLOOKUP(ROWS($T$3:T226),$R$3:$S$718,2,0),"")</f>
        <v>Mořský rybolov</v>
      </c>
      <c r="U226">
        <f>IF(ISNUMBER(SEARCH('1Př1'!$A$33,N226)),MAX($M$2:M225)+1,0)</f>
        <v>224</v>
      </c>
      <c r="V226" s="290" t="s">
        <v>1548</v>
      </c>
      <c r="W226" t="str">
        <f>IFERROR(VLOOKUP(ROWS($W$3:W226),$U$3:$V$718,2,0),"")</f>
        <v>Mořský rybolov</v>
      </c>
      <c r="X226">
        <f>IF(ISNUMBER(SEARCH('1Př1'!$A$34,N226)),MAX($M$2:M225)+1,0)</f>
        <v>224</v>
      </c>
      <c r="Y226" s="290" t="s">
        <v>1548</v>
      </c>
      <c r="Z226" t="str">
        <f>IFERROR(VLOOKUP(ROWS($Z$3:Z226),$X$3:$Y$718,2,0),"")</f>
        <v>Mořský rybolov</v>
      </c>
    </row>
    <row r="227" spans="10:26" ht="12.75">
      <c r="J227" s="299" t="s">
        <v>1549</v>
      </c>
      <c r="K227" s="288" t="s">
        <v>1550</v>
      </c>
      <c r="M227" s="289">
        <f>IF(ISNUMBER(SEARCH(ZAKL_DATA!$B$29,N227)),MAX($M$2:M226)+1,0)</f>
        <v>225</v>
      </c>
      <c r="N227" s="482" t="s">
        <v>2152</v>
      </c>
      <c r="O227" s="482" t="s">
        <v>2930</v>
      </c>
      <c r="Q227" s="291" t="str">
        <f>IFERROR(VLOOKUP(ROWS($Q$3:Q227),$M$3:$N$718,2,0),"")</f>
        <v>Ostatní poskytování úvěrů j. n.</v>
      </c>
      <c r="R227">
        <f>IF(ISNUMBER(SEARCH('1Př1'!$A$32,N227)),MAX($M$2:M226)+1,0)</f>
        <v>225</v>
      </c>
      <c r="S227" s="290" t="s">
        <v>1551</v>
      </c>
      <c r="T227" t="str">
        <f>IFERROR(VLOOKUP(ROWS($T$3:T227),$R$3:$S$718,2,0),"")</f>
        <v>Sladkovodní rybolov</v>
      </c>
      <c r="U227">
        <f>IF(ISNUMBER(SEARCH('1Př1'!$A$33,N227)),MAX($M$2:M226)+1,0)</f>
        <v>225</v>
      </c>
      <c r="V227" s="290" t="s">
        <v>1551</v>
      </c>
      <c r="W227" t="str">
        <f>IFERROR(VLOOKUP(ROWS($W$3:W227),$U$3:$V$718,2,0),"")</f>
        <v>Sladkovodní rybolov</v>
      </c>
      <c r="X227">
        <f>IF(ISNUMBER(SEARCH('1Př1'!$A$34,N227)),MAX($M$2:M226)+1,0)</f>
        <v>225</v>
      </c>
      <c r="Y227" s="290" t="s">
        <v>1551</v>
      </c>
      <c r="Z227" t="str">
        <f>IFERROR(VLOOKUP(ROWS($Z$3:Z227),$X$3:$Y$718,2,0),"")</f>
        <v>Sladkovodní rybolov</v>
      </c>
    </row>
    <row r="228" spans="10:26" ht="12.75">
      <c r="J228" s="299" t="s">
        <v>1552</v>
      </c>
      <c r="K228" s="288" t="s">
        <v>1553</v>
      </c>
      <c r="M228" s="289">
        <f>IF(ISNUMBER(SEARCH(ZAKL_DATA!$B$29,N228)),MAX($M$2:M227)+1,0)</f>
        <v>226</v>
      </c>
      <c r="N228" s="482" t="s">
        <v>1664</v>
      </c>
      <c r="O228" s="482" t="s">
        <v>2931</v>
      </c>
      <c r="Q228" s="291" t="str">
        <f>IFERROR(VLOOKUP(ROWS($Q$3:Q228),$M$3:$N$718,2,0),"")</f>
        <v>Ostatní poštovní a kurýrní činnosti</v>
      </c>
      <c r="R228">
        <f>IF(ISNUMBER(SEARCH('1Př1'!$A$32,N228)),MAX($M$2:M227)+1,0)</f>
        <v>226</v>
      </c>
      <c r="S228" s="290" t="s">
        <v>1554</v>
      </c>
      <c r="T228" t="str">
        <f>IFERROR(VLOOKUP(ROWS($T$3:T228),$R$3:$S$718,2,0),"")</f>
        <v>Výroba klenotů, bižuterie a příbuzných výrobků</v>
      </c>
      <c r="U228">
        <f>IF(ISNUMBER(SEARCH('1Př1'!$A$33,N228)),MAX($M$2:M227)+1,0)</f>
        <v>226</v>
      </c>
      <c r="V228" s="290" t="s">
        <v>1554</v>
      </c>
      <c r="W228" t="str">
        <f>IFERROR(VLOOKUP(ROWS($W$3:W228),$U$3:$V$718,2,0),"")</f>
        <v>Výroba klenotů, bižuterie a příbuzných výrobků</v>
      </c>
      <c r="X228">
        <f>IF(ISNUMBER(SEARCH('1Př1'!$A$34,N228)),MAX($M$2:M227)+1,0)</f>
        <v>226</v>
      </c>
      <c r="Y228" s="290" t="s">
        <v>1554</v>
      </c>
      <c r="Z228" t="str">
        <f>IFERROR(VLOOKUP(ROWS($Z$3:Z228),$X$3:$Y$718,2,0),"")</f>
        <v>Výroba klenotů, bižuterie a příbuzných výrobků</v>
      </c>
    </row>
    <row r="229" spans="10:26" ht="12.75">
      <c r="J229" s="299" t="s">
        <v>1555</v>
      </c>
      <c r="K229" s="288" t="s">
        <v>1556</v>
      </c>
      <c r="M229" s="289">
        <f>IF(ISNUMBER(SEARCH(ZAKL_DATA!$B$29,N229)),MAX($M$2:M228)+1,0)</f>
        <v>227</v>
      </c>
      <c r="N229" s="482" t="s">
        <v>2079</v>
      </c>
      <c r="O229" s="482" t="s">
        <v>2932</v>
      </c>
      <c r="Q229" s="291" t="str">
        <f>IFERROR(VLOOKUP(ROWS($Q$3:Q229),$M$3:$N$718,2,0),"")</f>
        <v>Ostatní pozemní osobní doprava j. n.</v>
      </c>
      <c r="R229">
        <f>IF(ISNUMBER(SEARCH('1Př1'!$A$32,N229)),MAX($M$2:M228)+1,0)</f>
        <v>227</v>
      </c>
      <c r="S229" s="290" t="s">
        <v>1557</v>
      </c>
      <c r="T229" t="str">
        <f>IFERROR(VLOOKUP(ROWS($T$3:T229),$R$3:$S$718,2,0),"")</f>
        <v>Mořská akvakultura</v>
      </c>
      <c r="U229">
        <f>IF(ISNUMBER(SEARCH('1Př1'!$A$33,N229)),MAX($M$2:M228)+1,0)</f>
        <v>227</v>
      </c>
      <c r="V229" s="290" t="s">
        <v>1557</v>
      </c>
      <c r="W229" t="str">
        <f>IFERROR(VLOOKUP(ROWS($W$3:W229),$U$3:$V$718,2,0),"")</f>
        <v>Mořská akvakultura</v>
      </c>
      <c r="X229">
        <f>IF(ISNUMBER(SEARCH('1Př1'!$A$34,N229)),MAX($M$2:M228)+1,0)</f>
        <v>227</v>
      </c>
      <c r="Y229" s="290" t="s">
        <v>1557</v>
      </c>
      <c r="Z229" t="str">
        <f>IFERROR(VLOOKUP(ROWS($Z$3:Z229),$X$3:$Y$718,2,0),"")</f>
        <v>Mořská akvakultura</v>
      </c>
    </row>
    <row r="230" spans="10:26" ht="12.75">
      <c r="J230" s="299" t="s">
        <v>1558</v>
      </c>
      <c r="K230" s="288" t="s">
        <v>1559</v>
      </c>
      <c r="M230" s="289">
        <f>IF(ISNUMBER(SEARCH(ZAKL_DATA!$B$29,N230)),MAX($M$2:M229)+1,0)</f>
        <v>228</v>
      </c>
      <c r="N230" s="482" t="s">
        <v>1720</v>
      </c>
      <c r="O230" s="482" t="s">
        <v>2933</v>
      </c>
      <c r="Q230" s="291" t="str">
        <f>IFERROR(VLOOKUP(ROWS($Q$3:Q230),$M$3:$N$718,2,0),"")</f>
        <v>Ostatní rezervační a související činnosti</v>
      </c>
      <c r="R230">
        <f>IF(ISNUMBER(SEARCH('1Př1'!$A$32,N230)),MAX($M$2:M229)+1,0)</f>
        <v>228</v>
      </c>
      <c r="S230" s="290" t="s">
        <v>1560</v>
      </c>
      <c r="T230" t="str">
        <f>IFERROR(VLOOKUP(ROWS($T$3:T230),$R$3:$S$718,2,0),"")</f>
        <v>Výroba hudebních nástrojů</v>
      </c>
      <c r="U230">
        <f>IF(ISNUMBER(SEARCH('1Př1'!$A$33,N230)),MAX($M$2:M229)+1,0)</f>
        <v>228</v>
      </c>
      <c r="V230" s="290" t="s">
        <v>1560</v>
      </c>
      <c r="W230" t="str">
        <f>IFERROR(VLOOKUP(ROWS($W$3:W230),$U$3:$V$718,2,0),"")</f>
        <v>Výroba hudebních nástrojů</v>
      </c>
      <c r="X230">
        <f>IF(ISNUMBER(SEARCH('1Př1'!$A$34,N230)),MAX($M$2:M229)+1,0)</f>
        <v>228</v>
      </c>
      <c r="Y230" s="290" t="s">
        <v>1560</v>
      </c>
      <c r="Z230" t="str">
        <f>IFERROR(VLOOKUP(ROWS($Z$3:Z230),$X$3:$Y$718,2,0),"")</f>
        <v>Výroba hudebních nástrojů</v>
      </c>
    </row>
    <row r="231" spans="10:26" ht="12.75">
      <c r="J231" s="299" t="s">
        <v>1561</v>
      </c>
      <c r="K231" s="288" t="s">
        <v>1562</v>
      </c>
      <c r="M231" s="289">
        <f>IF(ISNUMBER(SEARCH(ZAKL_DATA!$B$29,N231)),MAX($M$2:M230)+1,0)</f>
        <v>229</v>
      </c>
      <c r="N231" s="482" t="s">
        <v>2934</v>
      </c>
      <c r="O231" s="482" t="s">
        <v>2935</v>
      </c>
      <c r="Q231" s="291" t="str">
        <f>IFERROR(VLOOKUP(ROWS($Q$3:Q231),$M$3:$N$718,2,0),"")</f>
        <v>Ostatní specializované návrhářské činnosti</v>
      </c>
      <c r="R231">
        <f>IF(ISNUMBER(SEARCH('1Př1'!$A$32,N231)),MAX($M$2:M230)+1,0)</f>
        <v>229</v>
      </c>
      <c r="S231" s="290" t="s">
        <v>1563</v>
      </c>
      <c r="T231" t="str">
        <f>IFERROR(VLOOKUP(ROWS($T$3:T231),$R$3:$S$718,2,0),"")</f>
        <v>Sladkovodní akvakultura</v>
      </c>
      <c r="U231">
        <f>IF(ISNUMBER(SEARCH('1Př1'!$A$33,N231)),MAX($M$2:M230)+1,0)</f>
        <v>229</v>
      </c>
      <c r="V231" s="290" t="s">
        <v>1563</v>
      </c>
      <c r="W231" t="str">
        <f>IFERROR(VLOOKUP(ROWS($W$3:W231),$U$3:$V$718,2,0),"")</f>
        <v>Sladkovodní akvakultura</v>
      </c>
      <c r="X231">
        <f>IF(ISNUMBER(SEARCH('1Př1'!$A$34,N231)),MAX($M$2:M230)+1,0)</f>
        <v>229</v>
      </c>
      <c r="Y231" s="290" t="s">
        <v>1563</v>
      </c>
      <c r="Z231" t="str">
        <f>IFERROR(VLOOKUP(ROWS($Z$3:Z231),$X$3:$Y$718,2,0),"")</f>
        <v>Sladkovodní akvakultura</v>
      </c>
    </row>
    <row r="232" spans="10:26" ht="12.75">
      <c r="J232" s="299" t="s">
        <v>1564</v>
      </c>
      <c r="K232" s="288" t="s">
        <v>1565</v>
      </c>
      <c r="M232" s="289">
        <f>IF(ISNUMBER(SEARCH(ZAKL_DATA!$B$29,N232)),MAX($M$2:M231)+1,0)</f>
        <v>230</v>
      </c>
      <c r="N232" s="482" t="s">
        <v>1989</v>
      </c>
      <c r="O232" s="482" t="s">
        <v>2936</v>
      </c>
      <c r="Q232" s="291" t="str">
        <f>IFERROR(VLOOKUP(ROWS($Q$3:Q232),$M$3:$N$718,2,0),"")</f>
        <v>Ostatní specializované stavební činnosti j. n.</v>
      </c>
      <c r="R232">
        <f>IF(ISNUMBER(SEARCH('1Př1'!$A$32,N232)),MAX($M$2:M231)+1,0)</f>
        <v>230</v>
      </c>
      <c r="S232" s="290" t="s">
        <v>1566</v>
      </c>
      <c r="T232" t="str">
        <f>IFERROR(VLOOKUP(ROWS($T$3:T232),$R$3:$S$718,2,0),"")</f>
        <v>Výroba sportovních potřeb</v>
      </c>
      <c r="U232">
        <f>IF(ISNUMBER(SEARCH('1Př1'!$A$33,N232)),MAX($M$2:M231)+1,0)</f>
        <v>230</v>
      </c>
      <c r="V232" s="290" t="s">
        <v>1566</v>
      </c>
      <c r="W232" t="str">
        <f>IFERROR(VLOOKUP(ROWS($W$3:W232),$U$3:$V$718,2,0),"")</f>
        <v>Výroba sportovních potřeb</v>
      </c>
      <c r="X232">
        <f>IF(ISNUMBER(SEARCH('1Př1'!$A$34,N232)),MAX($M$2:M231)+1,0)</f>
        <v>230</v>
      </c>
      <c r="Y232" s="290" t="s">
        <v>1566</v>
      </c>
      <c r="Z232" t="str">
        <f>IFERROR(VLOOKUP(ROWS($Z$3:Z232),$X$3:$Y$718,2,0),"")</f>
        <v>Výroba sportovních potřeb</v>
      </c>
    </row>
    <row r="233" spans="10:26" ht="25.5">
      <c r="J233" s="299" t="s">
        <v>1567</v>
      </c>
      <c r="K233" s="288" t="s">
        <v>1568</v>
      </c>
      <c r="M233" s="289">
        <f>IF(ISNUMBER(SEARCH(ZAKL_DATA!$B$29,N233)),MAX($M$2:M232)+1,0)</f>
        <v>231</v>
      </c>
      <c r="N233" s="482" t="s">
        <v>2937</v>
      </c>
      <c r="O233" s="482" t="s">
        <v>2938</v>
      </c>
      <c r="Q233" s="291" t="str">
        <f>IFERROR(VLOOKUP(ROWS($Q$3:Q233),$M$3:$N$718,2,0),"")</f>
        <v>Ostatní specializované stavební činnosti při výstavbě budov</v>
      </c>
      <c r="R233">
        <f>IF(ISNUMBER(SEARCH('1Př1'!$A$32,N233)),MAX($M$2:M232)+1,0)</f>
        <v>231</v>
      </c>
      <c r="S233" s="290" t="s">
        <v>1569</v>
      </c>
      <c r="T233" t="str">
        <f>IFERROR(VLOOKUP(ROWS($T$3:T233),$R$3:$S$718,2,0),"")</f>
        <v>Výroba her a hraček</v>
      </c>
      <c r="U233">
        <f>IF(ISNUMBER(SEARCH('1Př1'!$A$33,N233)),MAX($M$2:M232)+1,0)</f>
        <v>231</v>
      </c>
      <c r="V233" s="290" t="s">
        <v>1569</v>
      </c>
      <c r="W233" t="str">
        <f>IFERROR(VLOOKUP(ROWS($W$3:W233),$U$3:$V$718,2,0),"")</f>
        <v>Výroba her a hraček</v>
      </c>
      <c r="X233">
        <f>IF(ISNUMBER(SEARCH('1Př1'!$A$34,N233)),MAX($M$2:M232)+1,0)</f>
        <v>231</v>
      </c>
      <c r="Y233" s="290" t="s">
        <v>1569</v>
      </c>
      <c r="Z233" t="str">
        <f>IFERROR(VLOOKUP(ROWS($Z$3:Z233),$X$3:$Y$718,2,0),"")</f>
        <v>Výroba her a hraček</v>
      </c>
    </row>
    <row r="234" spans="10:26" ht="12.75">
      <c r="J234" s="299" t="s">
        <v>1570</v>
      </c>
      <c r="K234" s="288" t="s">
        <v>1571</v>
      </c>
      <c r="M234" s="289">
        <f>IF(ISNUMBER(SEARCH(ZAKL_DATA!$B$29,N234)),MAX($M$2:M233)+1,0)</f>
        <v>232</v>
      </c>
      <c r="N234" s="482" t="s">
        <v>2939</v>
      </c>
      <c r="O234" s="482" t="s">
        <v>2940</v>
      </c>
      <c r="Q234" s="291" t="str">
        <f>IFERROR(VLOOKUP(ROWS($Q$3:Q234),$M$3:$N$718,2,0),"")</f>
        <v>Ostatní specializovaný velkoobchod j. n.</v>
      </c>
      <c r="R234">
        <f>IF(ISNUMBER(SEARCH('1Př1'!$A$32,N234)),MAX($M$2:M233)+1,0)</f>
        <v>232</v>
      </c>
      <c r="S234" s="290" t="s">
        <v>1572</v>
      </c>
      <c r="T234" t="str">
        <f>IFERROR(VLOOKUP(ROWS($T$3:T234),$R$3:$S$718,2,0),"")</f>
        <v>Výroba lékařských a dentálních nástrojů a potřeb</v>
      </c>
      <c r="U234">
        <f>IF(ISNUMBER(SEARCH('1Př1'!$A$33,N234)),MAX($M$2:M233)+1,0)</f>
        <v>232</v>
      </c>
      <c r="V234" s="290" t="s">
        <v>1572</v>
      </c>
      <c r="W234" t="str">
        <f>IFERROR(VLOOKUP(ROWS($W$3:W234),$U$3:$V$718,2,0),"")</f>
        <v>Výroba lékařských a dentálních nástrojů a potřeb</v>
      </c>
      <c r="X234">
        <f>IF(ISNUMBER(SEARCH('1Př1'!$A$34,N234)),MAX($M$2:M233)+1,0)</f>
        <v>232</v>
      </c>
      <c r="Y234" s="290" t="s">
        <v>1572</v>
      </c>
      <c r="Z234" t="str">
        <f>IFERROR(VLOOKUP(ROWS($Z$3:Z234),$X$3:$Y$718,2,0),"")</f>
        <v>Výroba lékařských a dentálních nástrojů a potřeb</v>
      </c>
    </row>
    <row r="235" spans="10:26" ht="12.75">
      <c r="J235" s="299" t="s">
        <v>1573</v>
      </c>
      <c r="K235" s="288" t="s">
        <v>1574</v>
      </c>
      <c r="M235" s="289">
        <f>IF(ISNUMBER(SEARCH(ZAKL_DATA!$B$29,N235)),MAX($M$2:M234)+1,0)</f>
        <v>233</v>
      </c>
      <c r="N235" s="482" t="s">
        <v>1982</v>
      </c>
      <c r="O235" s="482" t="s">
        <v>2941</v>
      </c>
      <c r="Q235" s="291" t="str">
        <f>IFERROR(VLOOKUP(ROWS($Q$3:Q235),$M$3:$N$718,2,0),"")</f>
        <v>Ostatní stavební instalace</v>
      </c>
      <c r="R235">
        <f>IF(ISNUMBER(SEARCH('1Př1'!$A$32,N235)),MAX($M$2:M234)+1,0)</f>
        <v>233</v>
      </c>
      <c r="S235" s="290" t="s">
        <v>1575</v>
      </c>
      <c r="T235" t="str">
        <f>IFERROR(VLOOKUP(ROWS($T$3:T235),$R$3:$S$718,2,0),"")</f>
        <v>Zpracovatelský průmysl j. n.</v>
      </c>
      <c r="U235">
        <f>IF(ISNUMBER(SEARCH('1Př1'!$A$33,N235)),MAX($M$2:M234)+1,0)</f>
        <v>233</v>
      </c>
      <c r="V235" s="290" t="s">
        <v>1575</v>
      </c>
      <c r="W235" t="str">
        <f>IFERROR(VLOOKUP(ROWS($W$3:W235),$U$3:$V$718,2,0),"")</f>
        <v>Zpracovatelský průmysl j. n.</v>
      </c>
      <c r="X235">
        <f>IF(ISNUMBER(SEARCH('1Př1'!$A$34,N235)),MAX($M$2:M234)+1,0)</f>
        <v>233</v>
      </c>
      <c r="Y235" s="290" t="s">
        <v>1575</v>
      </c>
      <c r="Z235" t="str">
        <f>IFERROR(VLOOKUP(ROWS($Z$3:Z235),$X$3:$Y$718,2,0),"")</f>
        <v>Zpracovatelský průmysl j. n.</v>
      </c>
    </row>
    <row r="236" spans="10:26" ht="12.75">
      <c r="J236" s="299" t="s">
        <v>1576</v>
      </c>
      <c r="K236" s="288" t="s">
        <v>1577</v>
      </c>
      <c r="M236" s="289">
        <f>IF(ISNUMBER(SEARCH(ZAKL_DATA!$B$29,N236)),MAX($M$2:M235)+1,0)</f>
        <v>234</v>
      </c>
      <c r="N236" s="482" t="s">
        <v>1681</v>
      </c>
      <c r="O236" s="482" t="s">
        <v>2942</v>
      </c>
      <c r="Q236" s="291" t="str">
        <f>IFERROR(VLOOKUP(ROWS($Q$3:Q236),$M$3:$N$718,2,0),"")</f>
        <v>Ostatní telekomunikační činnosti</v>
      </c>
      <c r="R236">
        <f>IF(ISNUMBER(SEARCH('1Př1'!$A$32,N236)),MAX($M$2:M235)+1,0)</f>
        <v>234</v>
      </c>
      <c r="S236" s="290" t="s">
        <v>1578</v>
      </c>
      <c r="T236" t="str">
        <f>IFERROR(VLOOKUP(ROWS($T$3:T236),$R$3:$S$718,2,0),"")</f>
        <v>Opravy kovodělných výrobků, strojů a zařízení</v>
      </c>
      <c r="U236">
        <f>IF(ISNUMBER(SEARCH('1Př1'!$A$33,N236)),MAX($M$2:M235)+1,0)</f>
        <v>234</v>
      </c>
      <c r="V236" s="290" t="s">
        <v>1578</v>
      </c>
      <c r="W236" t="str">
        <f>IFERROR(VLOOKUP(ROWS($W$3:W236),$U$3:$V$718,2,0),"")</f>
        <v>Opravy kovodělných výrobků, strojů a zařízení</v>
      </c>
      <c r="X236">
        <f>IF(ISNUMBER(SEARCH('1Př1'!$A$34,N236)),MAX($M$2:M235)+1,0)</f>
        <v>234</v>
      </c>
      <c r="Y236" s="290" t="s">
        <v>1578</v>
      </c>
      <c r="Z236" t="str">
        <f>IFERROR(VLOOKUP(ROWS($Z$3:Z236),$X$3:$Y$718,2,0),"")</f>
        <v>Opravy kovodělných výrobků, strojů a zařízení</v>
      </c>
    </row>
    <row r="237" spans="10:26" ht="12.75">
      <c r="J237" s="298" t="s">
        <v>1579</v>
      </c>
      <c r="K237" s="288" t="s">
        <v>1580</v>
      </c>
      <c r="M237" s="289">
        <f>IF(ISNUMBER(SEARCH(ZAKL_DATA!$B$29,N237)),MAX($M$2:M236)+1,0)</f>
        <v>235</v>
      </c>
      <c r="N237" s="482" t="s">
        <v>2943</v>
      </c>
      <c r="O237" s="482" t="s">
        <v>2944</v>
      </c>
      <c r="Q237" s="291" t="str">
        <f>IFERROR(VLOOKUP(ROWS($Q$3:Q237),$M$3:$N$718,2,0),"")</f>
        <v>Ostatní tisk</v>
      </c>
      <c r="R237">
        <f>IF(ISNUMBER(SEARCH('1Př1'!$A$32,N237)),MAX($M$2:M236)+1,0)</f>
        <v>235</v>
      </c>
      <c r="S237" s="290" t="s">
        <v>1581</v>
      </c>
      <c r="T237" t="str">
        <f>IFERROR(VLOOKUP(ROWS($T$3:T237),$R$3:$S$718,2,0),"")</f>
        <v>Instalace průmyslových strojů a zařízení</v>
      </c>
      <c r="U237">
        <f>IF(ISNUMBER(SEARCH('1Př1'!$A$33,N237)),MAX($M$2:M236)+1,0)</f>
        <v>235</v>
      </c>
      <c r="V237" s="290" t="s">
        <v>1581</v>
      </c>
      <c r="W237" t="str">
        <f>IFERROR(VLOOKUP(ROWS($W$3:W237),$U$3:$V$718,2,0),"")</f>
        <v>Instalace průmyslových strojů a zařízení</v>
      </c>
      <c r="X237">
        <f>IF(ISNUMBER(SEARCH('1Př1'!$A$34,N237)),MAX($M$2:M236)+1,0)</f>
        <v>235</v>
      </c>
      <c r="Y237" s="290" t="s">
        <v>1581</v>
      </c>
      <c r="Z237" t="str">
        <f>IFERROR(VLOOKUP(ROWS($Z$3:Z237),$X$3:$Y$718,2,0),"")</f>
        <v>Instalace průmyslových strojů a zařízení</v>
      </c>
    </row>
    <row r="238" spans="10:26" ht="12.75">
      <c r="J238" s="299" t="s">
        <v>1582</v>
      </c>
      <c r="K238" s="288" t="s">
        <v>1583</v>
      </c>
      <c r="M238" s="289">
        <f>IF(ISNUMBER(SEARCH(ZAKL_DATA!$B$29,N238)),MAX($M$2:M237)+1,0)</f>
        <v>236</v>
      </c>
      <c r="N238" s="482" t="s">
        <v>1668</v>
      </c>
      <c r="O238" s="482" t="s">
        <v>2945</v>
      </c>
      <c r="Q238" s="291" t="str">
        <f>IFERROR(VLOOKUP(ROWS($Q$3:Q238),$M$3:$N$718,2,0),"")</f>
        <v>Ostatní ubytování</v>
      </c>
      <c r="R238">
        <f>IF(ISNUMBER(SEARCH('1Př1'!$A$32,N238)),MAX($M$2:M237)+1,0)</f>
        <v>236</v>
      </c>
      <c r="S238" s="290" t="s">
        <v>1584</v>
      </c>
      <c r="T238" t="str">
        <f>IFERROR(VLOOKUP(ROWS($T$3:T238),$R$3:$S$718,2,0),"")</f>
        <v>Výroba, přenos a rozvod elektřiny</v>
      </c>
      <c r="U238">
        <f>IF(ISNUMBER(SEARCH('1Př1'!$A$33,N238)),MAX($M$2:M237)+1,0)</f>
        <v>236</v>
      </c>
      <c r="V238" s="290" t="s">
        <v>1584</v>
      </c>
      <c r="W238" t="str">
        <f>IFERROR(VLOOKUP(ROWS($W$3:W238),$U$3:$V$718,2,0),"")</f>
        <v>Výroba, přenos a rozvod elektřiny</v>
      </c>
      <c r="X238">
        <f>IF(ISNUMBER(SEARCH('1Př1'!$A$34,N238)),MAX($M$2:M237)+1,0)</f>
        <v>236</v>
      </c>
      <c r="Y238" s="290" t="s">
        <v>1584</v>
      </c>
      <c r="Z238" t="str">
        <f>IFERROR(VLOOKUP(ROWS($Z$3:Z238),$X$3:$Y$718,2,0),"")</f>
        <v>Výroba, přenos a rozvod elektřiny</v>
      </c>
    </row>
    <row r="239" spans="10:26" ht="12.75">
      <c r="J239" s="299" t="s">
        <v>1585</v>
      </c>
      <c r="K239" s="288" t="s">
        <v>1586</v>
      </c>
      <c r="M239" s="289">
        <f>IF(ISNUMBER(SEARCH(ZAKL_DATA!$B$29,N239)),MAX($M$2:M238)+1,0)</f>
        <v>237</v>
      </c>
      <c r="N239" s="482" t="s">
        <v>2121</v>
      </c>
      <c r="O239" s="482" t="s">
        <v>2946</v>
      </c>
      <c r="Q239" s="291" t="str">
        <f>IFERROR(VLOOKUP(ROWS($Q$3:Q239),$M$3:$N$718,2,0),"")</f>
        <v>Ostatní úklidové činnosti</v>
      </c>
      <c r="R239">
        <f>IF(ISNUMBER(SEARCH('1Př1'!$A$32,N239)),MAX($M$2:M238)+1,0)</f>
        <v>237</v>
      </c>
      <c r="S239" s="290" t="s">
        <v>1587</v>
      </c>
      <c r="T239" t="str">
        <f>IFERROR(VLOOKUP(ROWS($T$3:T239),$R$3:$S$718,2,0),"")</f>
        <v>Výroba plynu; rozvod plynných paliv prostřednictvím sítí</v>
      </c>
      <c r="U239">
        <f>IF(ISNUMBER(SEARCH('1Př1'!$A$33,N239)),MAX($M$2:M238)+1,0)</f>
        <v>237</v>
      </c>
      <c r="V239" s="290" t="s">
        <v>1587</v>
      </c>
      <c r="W239" t="str">
        <f>IFERROR(VLOOKUP(ROWS($W$3:W239),$U$3:$V$718,2,0),"")</f>
        <v>Výroba plynu; rozvod plynných paliv prostřednictvím sítí</v>
      </c>
      <c r="X239">
        <f>IF(ISNUMBER(SEARCH('1Př1'!$A$34,N239)),MAX($M$2:M238)+1,0)</f>
        <v>237</v>
      </c>
      <c r="Y239" s="290" t="s">
        <v>1587</v>
      </c>
      <c r="Z239" t="str">
        <f>IFERROR(VLOOKUP(ROWS($Z$3:Z239),$X$3:$Y$718,2,0),"")</f>
        <v>Výroba plynu; rozvod plynných paliv prostřednictvím sítí</v>
      </c>
    </row>
    <row r="240" spans="10:26" ht="12.75">
      <c r="J240" s="299" t="s">
        <v>1588</v>
      </c>
      <c r="K240" s="288" t="s">
        <v>1589</v>
      </c>
      <c r="M240" s="289">
        <f>IF(ISNUMBER(SEARCH(ZAKL_DATA!$B$29,N240)),MAX($M$2:M239)+1,0)</f>
        <v>238</v>
      </c>
      <c r="N240" s="482" t="s">
        <v>2947</v>
      </c>
      <c r="O240" s="482" t="s">
        <v>2948</v>
      </c>
      <c r="Q240" s="291" t="str">
        <f>IFERROR(VLOOKUP(ROWS($Q$3:Q240),$M$3:$N$718,2,0),"")</f>
        <v>Ostatní umělecká tvorba</v>
      </c>
      <c r="R240">
        <f>IF(ISNUMBER(SEARCH('1Př1'!$A$32,N240)),MAX($M$2:M239)+1,0)</f>
        <v>238</v>
      </c>
      <c r="S240" s="290" t="s">
        <v>1590</v>
      </c>
      <c r="T240" t="str">
        <f>IFERROR(VLOOKUP(ROWS($T$3:T240),$R$3:$S$718,2,0),"")</f>
        <v>Výroba a rozvod tepla a klimatizovaného vzduchu, výroba ledu</v>
      </c>
      <c r="U240">
        <f>IF(ISNUMBER(SEARCH('1Př1'!$A$33,N240)),MAX($M$2:M239)+1,0)</f>
        <v>238</v>
      </c>
      <c r="V240" s="290" t="s">
        <v>1590</v>
      </c>
      <c r="W240" t="str">
        <f>IFERROR(VLOOKUP(ROWS($W$3:W240),$U$3:$V$718,2,0),"")</f>
        <v>Výroba a rozvod tepla a klimatizovaného vzduchu, výroba ledu</v>
      </c>
      <c r="X240">
        <f>IF(ISNUMBER(SEARCH('1Př1'!$A$34,N240)),MAX($M$2:M239)+1,0)</f>
        <v>238</v>
      </c>
      <c r="Y240" s="290" t="s">
        <v>1590</v>
      </c>
      <c r="Z240" t="str">
        <f>IFERROR(VLOOKUP(ROWS($Z$3:Z240),$X$3:$Y$718,2,0),"")</f>
        <v>Výroba a rozvod tepla a klimatizovaného vzduchu, výroba ledu</v>
      </c>
    </row>
    <row r="241" spans="10:26" ht="12.75">
      <c r="J241" s="299" t="s">
        <v>1591</v>
      </c>
      <c r="K241" s="288" t="s">
        <v>1592</v>
      </c>
      <c r="M241" s="289">
        <f>IF(ISNUMBER(SEARCH(ZAKL_DATA!$B$29,N241)),MAX($M$2:M240)+1,0)</f>
        <v>239</v>
      </c>
      <c r="N241" s="482" t="s">
        <v>2095</v>
      </c>
      <c r="O241" s="482" t="s">
        <v>2949</v>
      </c>
      <c r="Q241" s="291" t="str">
        <f>IFERROR(VLOOKUP(ROWS($Q$3:Q241),$M$3:$N$718,2,0),"")</f>
        <v>Ostatní vydávání softwaru</v>
      </c>
      <c r="R241">
        <f>IF(ISNUMBER(SEARCH('1Př1'!$A$32,N241)),MAX($M$2:M240)+1,0)</f>
        <v>239</v>
      </c>
      <c r="S241" s="290" t="s">
        <v>1593</v>
      </c>
      <c r="T241" t="str">
        <f>IFERROR(VLOOKUP(ROWS($T$3:T241),$R$3:$S$718,2,0),"")</f>
        <v>Shromažďování a sběr odpadů</v>
      </c>
      <c r="U241">
        <f>IF(ISNUMBER(SEARCH('1Př1'!$A$33,N241)),MAX($M$2:M240)+1,0)</f>
        <v>239</v>
      </c>
      <c r="V241" s="290" t="s">
        <v>1593</v>
      </c>
      <c r="W241" t="str">
        <f>IFERROR(VLOOKUP(ROWS($W$3:W241),$U$3:$V$718,2,0),"")</f>
        <v>Shromažďování a sběr odpadů</v>
      </c>
      <c r="X241">
        <f>IF(ISNUMBER(SEARCH('1Př1'!$A$34,N241)),MAX($M$2:M240)+1,0)</f>
        <v>239</v>
      </c>
      <c r="Y241" s="290" t="s">
        <v>1593</v>
      </c>
      <c r="Z241" t="str">
        <f>IFERROR(VLOOKUP(ROWS($Z$3:Z241),$X$3:$Y$718,2,0),"")</f>
        <v>Shromažďování a sběr odpadů</v>
      </c>
    </row>
    <row r="242" spans="10:26" ht="25.5">
      <c r="J242" s="299" t="s">
        <v>1594</v>
      </c>
      <c r="K242" s="288" t="s">
        <v>1595</v>
      </c>
      <c r="M242" s="289">
        <f>IF(ISNUMBER(SEARCH(ZAKL_DATA!$B$29,N242)),MAX($M$2:M241)+1,0)</f>
        <v>240</v>
      </c>
      <c r="N242" s="482" t="s">
        <v>2950</v>
      </c>
      <c r="O242" s="482" t="s">
        <v>2951</v>
      </c>
      <c r="Q242" s="291" t="str">
        <f>IFERROR(VLOOKUP(ROWS($Q$3:Q242),$M$3:$N$718,2,0),"")</f>
        <v>Ostatní vydavatelské činnosti, kromě vydávání softwaru</v>
      </c>
      <c r="R242">
        <f>IF(ISNUMBER(SEARCH('1Př1'!$A$32,N242)),MAX($M$2:M241)+1,0)</f>
        <v>240</v>
      </c>
      <c r="S242" s="290" t="s">
        <v>1596</v>
      </c>
      <c r="T242" t="str">
        <f>IFERROR(VLOOKUP(ROWS($T$3:T242),$R$3:$S$718,2,0),"")</f>
        <v>Odstraňování odpadů</v>
      </c>
      <c r="U242">
        <f>IF(ISNUMBER(SEARCH('1Př1'!$A$33,N242)),MAX($M$2:M241)+1,0)</f>
        <v>240</v>
      </c>
      <c r="V242" s="290" t="s">
        <v>1596</v>
      </c>
      <c r="W242" t="str">
        <f>IFERROR(VLOOKUP(ROWS($W$3:W242),$U$3:$V$718,2,0),"")</f>
        <v>Odstraňování odpadů</v>
      </c>
      <c r="X242">
        <f>IF(ISNUMBER(SEARCH('1Př1'!$A$34,N242)),MAX($M$2:M241)+1,0)</f>
        <v>240</v>
      </c>
      <c r="Y242" s="290" t="s">
        <v>1596</v>
      </c>
      <c r="Z242" t="str">
        <f>IFERROR(VLOOKUP(ROWS($Z$3:Z242),$X$3:$Y$718,2,0),"")</f>
        <v>Odstraňování odpadů</v>
      </c>
    </row>
    <row r="243" spans="10:26" ht="12.75">
      <c r="J243" s="299" t="s">
        <v>1597</v>
      </c>
      <c r="K243" s="288" t="s">
        <v>1598</v>
      </c>
      <c r="M243" s="289">
        <f>IF(ISNUMBER(SEARCH(ZAKL_DATA!$B$29,N243)),MAX($M$2:M242)+1,0)</f>
        <v>241</v>
      </c>
      <c r="N243" s="482" t="s">
        <v>1770</v>
      </c>
      <c r="O243" s="482" t="s">
        <v>2952</v>
      </c>
      <c r="Q243" s="291" t="str">
        <f>IFERROR(VLOOKUP(ROWS($Q$3:Q243),$M$3:$N$718,2,0),"")</f>
        <v>Ostatní zpracování a konzervování ovoce a zeleniny</v>
      </c>
      <c r="R243">
        <f>IF(ISNUMBER(SEARCH('1Př1'!$A$32,N243)),MAX($M$2:M242)+1,0)</f>
        <v>241</v>
      </c>
      <c r="S243" s="290" t="s">
        <v>1599</v>
      </c>
      <c r="T243" t="str">
        <f>IFERROR(VLOOKUP(ROWS($T$3:T243),$R$3:$S$718,2,0),"")</f>
        <v>Úprava odpadů k dalšímu využití</v>
      </c>
      <c r="U243">
        <f>IF(ISNUMBER(SEARCH('1Př1'!$A$33,N243)),MAX($M$2:M242)+1,0)</f>
        <v>241</v>
      </c>
      <c r="V243" s="290" t="s">
        <v>1599</v>
      </c>
      <c r="W243" t="str">
        <f>IFERROR(VLOOKUP(ROWS($W$3:W243),$U$3:$V$718,2,0),"")</f>
        <v>Úprava odpadů k dalšímu využití</v>
      </c>
      <c r="X243">
        <f>IF(ISNUMBER(SEARCH('1Př1'!$A$34,N243)),MAX($M$2:M242)+1,0)</f>
        <v>241</v>
      </c>
      <c r="Y243" s="290" t="s">
        <v>1599</v>
      </c>
      <c r="Z243" t="str">
        <f>IFERROR(VLOOKUP(ROWS($Z$3:Z243),$X$3:$Y$718,2,0),"")</f>
        <v>Úprava odpadů k dalšímu využití</v>
      </c>
    </row>
    <row r="244" spans="10:26" ht="12.75">
      <c r="J244" s="299" t="s">
        <v>1600</v>
      </c>
      <c r="K244" s="288" t="s">
        <v>1601</v>
      </c>
      <c r="M244" s="289">
        <f>IF(ISNUMBER(SEARCH(ZAKL_DATA!$B$29,N244)),MAX($M$2:M243)+1,0)</f>
        <v>242</v>
      </c>
      <c r="N244" s="482" t="s">
        <v>1947</v>
      </c>
      <c r="O244" s="482" t="s">
        <v>2953</v>
      </c>
      <c r="Q244" s="291" t="str">
        <f>IFERROR(VLOOKUP(ROWS($Q$3:Q244),$M$3:$N$718,2,0),"")</f>
        <v>Ostatní zpracovatelský průmysl j. n.</v>
      </c>
      <c r="R244">
        <f>IF(ISNUMBER(SEARCH('1Př1'!$A$32,N244)),MAX($M$2:M243)+1,0)</f>
        <v>242</v>
      </c>
      <c r="S244" s="290" t="s">
        <v>1602</v>
      </c>
      <c r="T244" t="str">
        <f>IFERROR(VLOOKUP(ROWS($T$3:T244),$R$3:$S$718,2,0),"")</f>
        <v>Developerská činnost</v>
      </c>
      <c r="U244">
        <f>IF(ISNUMBER(SEARCH('1Př1'!$A$33,N244)),MAX($M$2:M243)+1,0)</f>
        <v>242</v>
      </c>
      <c r="V244" s="290" t="s">
        <v>1602</v>
      </c>
      <c r="W244" t="str">
        <f>IFERROR(VLOOKUP(ROWS($W$3:W244),$U$3:$V$718,2,0),"")</f>
        <v>Developerská činnost</v>
      </c>
      <c r="X244">
        <f>IF(ISNUMBER(SEARCH('1Př1'!$A$34,N244)),MAX($M$2:M243)+1,0)</f>
        <v>242</v>
      </c>
      <c r="Y244" s="290" t="s">
        <v>1602</v>
      </c>
      <c r="Z244" t="str">
        <f>IFERROR(VLOOKUP(ROWS($Z$3:Z244),$X$3:$Y$718,2,0),"")</f>
        <v>Developerská činnost</v>
      </c>
    </row>
    <row r="245" spans="10:26" ht="25.5">
      <c r="J245" s="299" t="s">
        <v>1603</v>
      </c>
      <c r="K245" s="288" t="s">
        <v>1604</v>
      </c>
      <c r="M245" s="289">
        <f>IF(ISNUMBER(SEARCH(ZAKL_DATA!$B$29,N245)),MAX($M$2:M244)+1,0)</f>
        <v>243</v>
      </c>
      <c r="N245" s="482" t="s">
        <v>2954</v>
      </c>
      <c r="O245" s="482" t="s">
        <v>2955</v>
      </c>
      <c r="Q245" s="291" t="str">
        <f>IFERROR(VLOOKUP(ROWS($Q$3:Q245),$M$3:$N$718,2,0),"")</f>
        <v>Ošetřovatelské činnosti a činnosti porodních asistentek</v>
      </c>
      <c r="R245">
        <f>IF(ISNUMBER(SEARCH('1Př1'!$A$32,N245)),MAX($M$2:M244)+1,0)</f>
        <v>243</v>
      </c>
      <c r="S245" s="290" t="s">
        <v>1605</v>
      </c>
      <c r="T245" t="str">
        <f>IFERROR(VLOOKUP(ROWS($T$3:T245),$R$3:$S$718,2,0),"")</f>
        <v>Výstavba bytových a nebytových budov</v>
      </c>
      <c r="U245">
        <f>IF(ISNUMBER(SEARCH('1Př1'!$A$33,N245)),MAX($M$2:M244)+1,0)</f>
        <v>243</v>
      </c>
      <c r="V245" s="290" t="s">
        <v>1605</v>
      </c>
      <c r="W245" t="str">
        <f>IFERROR(VLOOKUP(ROWS($W$3:W245),$U$3:$V$718,2,0),"")</f>
        <v>Výstavba bytových a nebytových budov</v>
      </c>
      <c r="X245">
        <f>IF(ISNUMBER(SEARCH('1Př1'!$A$34,N245)),MAX($M$2:M244)+1,0)</f>
        <v>243</v>
      </c>
      <c r="Y245" s="290" t="s">
        <v>1605</v>
      </c>
      <c r="Z245" t="str">
        <f>IFERROR(VLOOKUP(ROWS($Z$3:Z245),$X$3:$Y$718,2,0),"")</f>
        <v>Výstavba bytových a nebytových budov</v>
      </c>
    </row>
    <row r="246" spans="10:26" ht="25.5">
      <c r="J246" s="299" t="s">
        <v>1606</v>
      </c>
      <c r="K246" s="288" t="s">
        <v>1607</v>
      </c>
      <c r="M246" s="289">
        <f>IF(ISNUMBER(SEARCH(ZAKL_DATA!$B$29,N246)),MAX($M$2:M245)+1,0)</f>
        <v>244</v>
      </c>
      <c r="N246" s="482" t="s">
        <v>2956</v>
      </c>
      <c r="O246" s="482" t="s">
        <v>2957</v>
      </c>
      <c r="Q246" s="291" t="str">
        <f>IFERROR(VLOOKUP(ROWS($Q$3:Q246),$M$3:$N$718,2,0),"")</f>
        <v>Pátrací činnosti a činnosti soukromých bezpečnostních agentur</v>
      </c>
      <c r="R246">
        <f>IF(ISNUMBER(SEARCH('1Př1'!$A$32,N246)),MAX($M$2:M245)+1,0)</f>
        <v>244</v>
      </c>
      <c r="S246" s="290" t="s">
        <v>1608</v>
      </c>
      <c r="T246" t="str">
        <f>IFERROR(VLOOKUP(ROWS($T$3:T246),$R$3:$S$718,2,0),"")</f>
        <v>Výstavba silnic a železnic</v>
      </c>
      <c r="U246">
        <f>IF(ISNUMBER(SEARCH('1Př1'!$A$33,N246)),MAX($M$2:M245)+1,0)</f>
        <v>244</v>
      </c>
      <c r="V246" s="290" t="s">
        <v>1608</v>
      </c>
      <c r="W246" t="str">
        <f>IFERROR(VLOOKUP(ROWS($W$3:W246),$U$3:$V$718,2,0),"")</f>
        <v>Výstavba silnic a železnic</v>
      </c>
      <c r="X246">
        <f>IF(ISNUMBER(SEARCH('1Př1'!$A$34,N246)),MAX($M$2:M245)+1,0)</f>
        <v>244</v>
      </c>
      <c r="Y246" s="290" t="s">
        <v>1608</v>
      </c>
      <c r="Z246" t="str">
        <f>IFERROR(VLOOKUP(ROWS($Z$3:Z246),$X$3:$Y$718,2,0),"")</f>
        <v>Výstavba silnic a železnic</v>
      </c>
    </row>
    <row r="247" spans="10:26" ht="12.75">
      <c r="J247" s="299" t="s">
        <v>1609</v>
      </c>
      <c r="K247" s="288" t="s">
        <v>1610</v>
      </c>
      <c r="M247" s="289">
        <f>IF(ISNUMBER(SEARCH(ZAKL_DATA!$B$29,N247)),MAX($M$2:M246)+1,0)</f>
        <v>245</v>
      </c>
      <c r="N247" s="482" t="s">
        <v>1689</v>
      </c>
      <c r="O247" s="482" t="s">
        <v>2958</v>
      </c>
      <c r="Q247" s="291" t="str">
        <f>IFERROR(VLOOKUP(ROWS($Q$3:Q247),$M$3:$N$718,2,0),"")</f>
        <v>Penzijní financování</v>
      </c>
      <c r="R247">
        <f>IF(ISNUMBER(SEARCH('1Př1'!$A$32,N247)),MAX($M$2:M246)+1,0)</f>
        <v>245</v>
      </c>
      <c r="S247" s="290" t="s">
        <v>1611</v>
      </c>
      <c r="T247" t="str">
        <f>IFERROR(VLOOKUP(ROWS($T$3:T247),$R$3:$S$718,2,0),"")</f>
        <v>Výstavba inženýrských sítí</v>
      </c>
      <c r="U247">
        <f>IF(ISNUMBER(SEARCH('1Př1'!$A$33,N247)),MAX($M$2:M246)+1,0)</f>
        <v>245</v>
      </c>
      <c r="V247" s="290" t="s">
        <v>1611</v>
      </c>
      <c r="W247" t="str">
        <f>IFERROR(VLOOKUP(ROWS($W$3:W247),$U$3:$V$718,2,0),"")</f>
        <v>Výstavba inženýrských sítí</v>
      </c>
      <c r="X247">
        <f>IF(ISNUMBER(SEARCH('1Př1'!$A$34,N247)),MAX($M$2:M246)+1,0)</f>
        <v>245</v>
      </c>
      <c r="Y247" s="290" t="s">
        <v>1611</v>
      </c>
      <c r="Z247" t="str">
        <f>IFERROR(VLOOKUP(ROWS($Z$3:Z247),$X$3:$Y$718,2,0),"")</f>
        <v>Výstavba inženýrských sítí</v>
      </c>
    </row>
    <row r="248" spans="10:26" ht="12.75">
      <c r="J248" s="299" t="s">
        <v>1612</v>
      </c>
      <c r="K248" s="288" t="s">
        <v>1613</v>
      </c>
      <c r="M248" s="289">
        <f>IF(ISNUMBER(SEARCH(ZAKL_DATA!$B$29,N248)),MAX($M$2:M247)+1,0)</f>
        <v>246</v>
      </c>
      <c r="N248" s="482" t="s">
        <v>1191</v>
      </c>
      <c r="O248" s="482" t="s">
        <v>2959</v>
      </c>
      <c r="Q248" s="291" t="str">
        <f>IFERROR(VLOOKUP(ROWS($Q$3:Q248),$M$3:$N$718,2,0),"")</f>
        <v>Pěstování citrusových plodů</v>
      </c>
      <c r="R248">
        <f>IF(ISNUMBER(SEARCH('1Př1'!$A$32,N248)),MAX($M$2:M247)+1,0)</f>
        <v>246</v>
      </c>
      <c r="S248" s="290" t="s">
        <v>1614</v>
      </c>
      <c r="T248" t="str">
        <f>IFERROR(VLOOKUP(ROWS($T$3:T248),$R$3:$S$718,2,0),"")</f>
        <v>Výstavba ostatních staveb</v>
      </c>
      <c r="U248">
        <f>IF(ISNUMBER(SEARCH('1Př1'!$A$33,N248)),MAX($M$2:M247)+1,0)</f>
        <v>246</v>
      </c>
      <c r="V248" s="290" t="s">
        <v>1614</v>
      </c>
      <c r="W248" t="str">
        <f>IFERROR(VLOOKUP(ROWS($W$3:W248),$U$3:$V$718,2,0),"")</f>
        <v>Výstavba ostatních staveb</v>
      </c>
      <c r="X248">
        <f>IF(ISNUMBER(SEARCH('1Př1'!$A$34,N248)),MAX($M$2:M247)+1,0)</f>
        <v>246</v>
      </c>
      <c r="Y248" s="290" t="s">
        <v>1614</v>
      </c>
      <c r="Z248" t="str">
        <f>IFERROR(VLOOKUP(ROWS($Z$3:Z248),$X$3:$Y$718,2,0),"")</f>
        <v>Výstavba ostatních staveb</v>
      </c>
    </row>
    <row r="249" spans="10:26" ht="12.75">
      <c r="J249" s="299" t="s">
        <v>1615</v>
      </c>
      <c r="K249" s="288" t="s">
        <v>1616</v>
      </c>
      <c r="M249" s="289">
        <f>IF(ISNUMBER(SEARCH(ZAKL_DATA!$B$29,N249)),MAX($M$2:M248)+1,0)</f>
        <v>247</v>
      </c>
      <c r="N249" s="482" t="s">
        <v>1235</v>
      </c>
      <c r="O249" s="482" t="s">
        <v>2960</v>
      </c>
      <c r="Q249" s="291" t="str">
        <f>IFERROR(VLOOKUP(ROWS($Q$3:Q249),$M$3:$N$718,2,0),"")</f>
        <v>Pěstování cukrové třtiny</v>
      </c>
      <c r="R249">
        <f>IF(ISNUMBER(SEARCH('1Př1'!$A$32,N249)),MAX($M$2:M248)+1,0)</f>
        <v>247</v>
      </c>
      <c r="S249" s="290" t="s">
        <v>1617</v>
      </c>
      <c r="T249" t="str">
        <f>IFERROR(VLOOKUP(ROWS($T$3:T249),$R$3:$S$718,2,0),"")</f>
        <v>Demolice a příprava staveniště</v>
      </c>
      <c r="U249">
        <f>IF(ISNUMBER(SEARCH('1Př1'!$A$33,N249)),MAX($M$2:M248)+1,0)</f>
        <v>247</v>
      </c>
      <c r="V249" s="290" t="s">
        <v>1617</v>
      </c>
      <c r="W249" t="str">
        <f>IFERROR(VLOOKUP(ROWS($W$3:W249),$U$3:$V$718,2,0),"")</f>
        <v>Demolice a příprava staveniště</v>
      </c>
      <c r="X249">
        <f>IF(ISNUMBER(SEARCH('1Př1'!$A$34,N249)),MAX($M$2:M248)+1,0)</f>
        <v>247</v>
      </c>
      <c r="Y249" s="290" t="s">
        <v>1617</v>
      </c>
      <c r="Z249" t="str">
        <f>IFERROR(VLOOKUP(ROWS($Z$3:Z249),$X$3:$Y$718,2,0),"")</f>
        <v>Demolice a příprava staveniště</v>
      </c>
    </row>
    <row r="250" spans="10:26" ht="12.75">
      <c r="J250" s="299" t="s">
        <v>1618</v>
      </c>
      <c r="K250" s="288" t="s">
        <v>1619</v>
      </c>
      <c r="M250" s="289">
        <f>IF(ISNUMBER(SEARCH(ZAKL_DATA!$B$29,N250)),MAX($M$2:M249)+1,0)</f>
        <v>248</v>
      </c>
      <c r="N250" s="482" t="s">
        <v>1195</v>
      </c>
      <c r="O250" s="482" t="s">
        <v>2961</v>
      </c>
      <c r="Q250" s="291" t="str">
        <f>IFERROR(VLOOKUP(ROWS($Q$3:Q250),$M$3:$N$718,2,0),"")</f>
        <v>Pěstování jádrového a peckového ovoce</v>
      </c>
      <c r="R250">
        <f>IF(ISNUMBER(SEARCH('1Př1'!$A$32,N250)),MAX($M$2:M249)+1,0)</f>
        <v>248</v>
      </c>
      <c r="S250" s="290" t="s">
        <v>1620</v>
      </c>
      <c r="T250" t="str">
        <f>IFERROR(VLOOKUP(ROWS($T$3:T250),$R$3:$S$718,2,0),"")</f>
        <v>Elektroinstalační, instalatérské a ostatní stavebně instalační práce</v>
      </c>
      <c r="U250">
        <f>IF(ISNUMBER(SEARCH('1Př1'!$A$33,N250)),MAX($M$2:M249)+1,0)</f>
        <v>248</v>
      </c>
      <c r="V250" s="290" t="s">
        <v>1620</v>
      </c>
      <c r="W250" t="str">
        <f>IFERROR(VLOOKUP(ROWS($W$3:W250),$U$3:$V$718,2,0),"")</f>
        <v>Elektroinstalační, instalatérské a ostatní stavebně instalační práce</v>
      </c>
      <c r="X250">
        <f>IF(ISNUMBER(SEARCH('1Př1'!$A$34,N250)),MAX($M$2:M249)+1,0)</f>
        <v>248</v>
      </c>
      <c r="Y250" s="290" t="s">
        <v>1620</v>
      </c>
      <c r="Z250" t="str">
        <f>IFERROR(VLOOKUP(ROWS($Z$3:Z250),$X$3:$Y$718,2,0),"")</f>
        <v>Elektroinstalační, instalatérské a ostatní stavebně instalační práce</v>
      </c>
    </row>
    <row r="251" spans="10:26" ht="25.5">
      <c r="J251" s="299" t="s">
        <v>1621</v>
      </c>
      <c r="K251" s="288" t="s">
        <v>1622</v>
      </c>
      <c r="M251" s="289">
        <f>IF(ISNUMBER(SEARCH(ZAKL_DATA!$B$29,N251)),MAX($M$2:M250)+1,0)</f>
        <v>249</v>
      </c>
      <c r="N251" s="482" t="s">
        <v>2962</v>
      </c>
      <c r="O251" s="482" t="s">
        <v>2963</v>
      </c>
      <c r="Q251" s="291" t="str">
        <f>IFERROR(VLOOKUP(ROWS($Q$3:Q251),$M$3:$N$718,2,0),"")</f>
        <v>Pěstování koření a aromatických, léčivých a farmaceutických rostlin</v>
      </c>
      <c r="R251">
        <f>IF(ISNUMBER(SEARCH('1Př1'!$A$32,N251)),MAX($M$2:M250)+1,0)</f>
        <v>249</v>
      </c>
      <c r="S251" s="290" t="s">
        <v>1623</v>
      </c>
      <c r="T251" t="str">
        <f>IFERROR(VLOOKUP(ROWS($T$3:T251),$R$3:$S$718,2,0),"")</f>
        <v>Kompletační a dokončovací práce</v>
      </c>
      <c r="U251">
        <f>IF(ISNUMBER(SEARCH('1Př1'!$A$33,N251)),MAX($M$2:M250)+1,0)</f>
        <v>249</v>
      </c>
      <c r="V251" s="290" t="s">
        <v>1623</v>
      </c>
      <c r="W251" t="str">
        <f>IFERROR(VLOOKUP(ROWS($W$3:W251),$U$3:$V$718,2,0),"")</f>
        <v>Kompletační a dokončovací práce</v>
      </c>
      <c r="X251">
        <f>IF(ISNUMBER(SEARCH('1Př1'!$A$34,N251)),MAX($M$2:M250)+1,0)</f>
        <v>249</v>
      </c>
      <c r="Y251" s="290" t="s">
        <v>1623</v>
      </c>
      <c r="Z251" t="str">
        <f>IFERROR(VLOOKUP(ROWS($Z$3:Z251),$X$3:$Y$718,2,0),"")</f>
        <v>Kompletační a dokončovací práce</v>
      </c>
    </row>
    <row r="252" spans="10:26" ht="12.75">
      <c r="J252" s="299" t="s">
        <v>1624</v>
      </c>
      <c r="K252" s="288" t="s">
        <v>1625</v>
      </c>
      <c r="M252" s="289">
        <f>IF(ISNUMBER(SEARCH(ZAKL_DATA!$B$29,N252)),MAX($M$2:M251)+1,0)</f>
        <v>250</v>
      </c>
      <c r="N252" s="482" t="s">
        <v>2964</v>
      </c>
      <c r="O252" s="482" t="s">
        <v>2965</v>
      </c>
      <c r="Q252" s="291" t="str">
        <f>IFERROR(VLOOKUP(ROWS($Q$3:Q252),$M$3:$N$718,2,0),"")</f>
        <v>Pěstování lesa a jiné činnosti v oblasti lesnictví</v>
      </c>
      <c r="R252">
        <f>IF(ISNUMBER(SEARCH('1Př1'!$A$32,N252)),MAX($M$2:M251)+1,0)</f>
        <v>250</v>
      </c>
      <c r="S252" s="290" t="s">
        <v>1626</v>
      </c>
      <c r="T252" t="str">
        <f>IFERROR(VLOOKUP(ROWS($T$3:T252),$R$3:$S$718,2,0),"")</f>
        <v>Ostatní specializované stavební činnosti</v>
      </c>
      <c r="U252">
        <f>IF(ISNUMBER(SEARCH('1Př1'!$A$33,N252)),MAX($M$2:M251)+1,0)</f>
        <v>250</v>
      </c>
      <c r="V252" s="290" t="s">
        <v>1626</v>
      </c>
      <c r="W252" t="str">
        <f>IFERROR(VLOOKUP(ROWS($W$3:W252),$U$3:$V$718,2,0),"")</f>
        <v>Ostatní specializované stavební činnosti</v>
      </c>
      <c r="X252">
        <f>IF(ISNUMBER(SEARCH('1Př1'!$A$34,N252)),MAX($M$2:M251)+1,0)</f>
        <v>250</v>
      </c>
      <c r="Y252" s="290" t="s">
        <v>1626</v>
      </c>
      <c r="Z252" t="str">
        <f>IFERROR(VLOOKUP(ROWS($Z$3:Z252),$X$3:$Y$718,2,0),"")</f>
        <v>Ostatní specializované stavební činnosti</v>
      </c>
    </row>
    <row r="253" spans="10:26" ht="26.25" thickBot="1">
      <c r="J253" s="310" t="s">
        <v>1627</v>
      </c>
      <c r="K253" s="288" t="s">
        <v>1628</v>
      </c>
      <c r="M253" s="289">
        <f>IF(ISNUMBER(SEARCH(ZAKL_DATA!$B$29,N253)),MAX($M$2:M252)+1,0)</f>
        <v>251</v>
      </c>
      <c r="N253" s="482" t="s">
        <v>2966</v>
      </c>
      <c r="O253" s="482" t="s">
        <v>2967</v>
      </c>
      <c r="Q253" s="291" t="str">
        <f>IFERROR(VLOOKUP(ROWS($Q$3:Q253),$M$3:$N$718,2,0),"")</f>
        <v>Pěstování obilovin jiných než rýže, luštěnin a olejnatých semen</v>
      </c>
      <c r="R253">
        <f>IF(ISNUMBER(SEARCH('1Př1'!$A$32,N253)),MAX($M$2:M252)+1,0)</f>
        <v>251</v>
      </c>
      <c r="S253" s="290" t="s">
        <v>1629</v>
      </c>
      <c r="T253" t="str">
        <f>IFERROR(VLOOKUP(ROWS($T$3:T253),$R$3:$S$718,2,0),"")</f>
        <v>Obchod s motorovými vozidly, kromě motocyklů</v>
      </c>
      <c r="U253">
        <f>IF(ISNUMBER(SEARCH('1Př1'!$A$33,N253)),MAX($M$2:M252)+1,0)</f>
        <v>251</v>
      </c>
      <c r="V253" s="290" t="s">
        <v>1629</v>
      </c>
      <c r="W253" t="str">
        <f>IFERROR(VLOOKUP(ROWS($W$3:W253),$U$3:$V$718,2,0),"")</f>
        <v>Obchod s motorovými vozidly, kromě motocyklů</v>
      </c>
      <c r="X253">
        <f>IF(ISNUMBER(SEARCH('1Př1'!$A$34,N253)),MAX($M$2:M252)+1,0)</f>
        <v>251</v>
      </c>
      <c r="Y253" s="290" t="s">
        <v>1629</v>
      </c>
      <c r="Z253" t="str">
        <f>IFERROR(VLOOKUP(ROWS($Z$3:Z253),$X$3:$Y$718,2,0),"")</f>
        <v>Obchod s motorovými vozidly, kromě motocyklů</v>
      </c>
    </row>
    <row r="254" spans="13:26" ht="12.75">
      <c r="M254" s="289">
        <f>IF(ISNUMBER(SEARCH(ZAKL_DATA!$B$29,N254)),MAX($M$2:M253)+1,0)</f>
        <v>252</v>
      </c>
      <c r="N254" s="482" t="s">
        <v>1203</v>
      </c>
      <c r="O254" s="482" t="s">
        <v>2968</v>
      </c>
      <c r="Q254" s="291" t="str">
        <f>IFERROR(VLOOKUP(ROWS($Q$3:Q254),$M$3:$N$718,2,0),"")</f>
        <v>Pěstování olejnatých plodů</v>
      </c>
      <c r="R254">
        <f>IF(ISNUMBER(SEARCH('1Př1'!$A$32,N254)),MAX($M$2:M253)+1,0)</f>
        <v>252</v>
      </c>
      <c r="S254" s="290" t="s">
        <v>1630</v>
      </c>
      <c r="T254" t="str">
        <f>IFERROR(VLOOKUP(ROWS($T$3:T254),$R$3:$S$718,2,0),"")</f>
        <v>Opravy a údržba motorových vozidel, kromě motocyklů</v>
      </c>
      <c r="U254">
        <f>IF(ISNUMBER(SEARCH('1Př1'!$A$33,N254)),MAX($M$2:M253)+1,0)</f>
        <v>252</v>
      </c>
      <c r="V254" s="290" t="s">
        <v>1630</v>
      </c>
      <c r="W254" t="str">
        <f>IFERROR(VLOOKUP(ROWS($W$3:W254),$U$3:$V$718,2,0),"")</f>
        <v>Opravy a údržba motorových vozidel, kromě motocyklů</v>
      </c>
      <c r="X254">
        <f>IF(ISNUMBER(SEARCH('1Př1'!$A$34,N254)),MAX($M$2:M253)+1,0)</f>
        <v>252</v>
      </c>
      <c r="Y254" s="290" t="s">
        <v>1630</v>
      </c>
      <c r="Z254" t="str">
        <f>IFERROR(VLOOKUP(ROWS($Z$3:Z254),$X$3:$Y$718,2,0),"")</f>
        <v>Opravy a údržba motorových vozidel, kromě motocyklů</v>
      </c>
    </row>
    <row r="255" spans="13:26" ht="25.5">
      <c r="M255" s="289">
        <f>IF(ISNUMBER(SEARCH(ZAKL_DATA!$B$29,N255)),MAX($M$2:M254)+1,0)</f>
        <v>253</v>
      </c>
      <c r="N255" s="482" t="s">
        <v>1199</v>
      </c>
      <c r="O255" s="482" t="s">
        <v>2969</v>
      </c>
      <c r="Q255" s="291" t="str">
        <f>IFERROR(VLOOKUP(ROWS($Q$3:Q255),$M$3:$N$718,2,0),"")</f>
        <v>Pěstování ostatního stromového a keřového ovoce a ořechů</v>
      </c>
      <c r="R255">
        <f>IF(ISNUMBER(SEARCH('1Př1'!$A$32,N255)),MAX($M$2:M254)+1,0)</f>
        <v>253</v>
      </c>
      <c r="S255" s="290" t="s">
        <v>1631</v>
      </c>
      <c r="T255" t="str">
        <f>IFERROR(VLOOKUP(ROWS($T$3:T255),$R$3:$S$718,2,0),"")</f>
        <v>Obchod s díly a příslušenstvím pro motorová vozidla, kromě motocyklů</v>
      </c>
      <c r="U255">
        <f>IF(ISNUMBER(SEARCH('1Př1'!$A$33,N255)),MAX($M$2:M254)+1,0)</f>
        <v>253</v>
      </c>
      <c r="V255" s="290" t="s">
        <v>1631</v>
      </c>
      <c r="W255" t="str">
        <f>IFERROR(VLOOKUP(ROWS($W$3:W255),$U$3:$V$718,2,0),"")</f>
        <v>Obchod s díly a příslušenstvím pro motorová vozidla, kromě motocyklů</v>
      </c>
      <c r="X255">
        <f>IF(ISNUMBER(SEARCH('1Př1'!$A$34,N255)),MAX($M$2:M254)+1,0)</f>
        <v>253</v>
      </c>
      <c r="Y255" s="290" t="s">
        <v>1631</v>
      </c>
      <c r="Z255" t="str">
        <f>IFERROR(VLOOKUP(ROWS($Z$3:Z255),$X$3:$Y$718,2,0),"")</f>
        <v>Obchod s díly a příslušenstvím pro motorová vozidla, kromě motocyklů</v>
      </c>
    </row>
    <row r="256" spans="13:26" ht="12.75">
      <c r="M256" s="289">
        <f>IF(ISNUMBER(SEARCH(ZAKL_DATA!$B$29,N256)),MAX($M$2:M255)+1,0)</f>
        <v>254</v>
      </c>
      <c r="N256" s="482" t="s">
        <v>1179</v>
      </c>
      <c r="O256" s="482" t="s">
        <v>2970</v>
      </c>
      <c r="Q256" s="291" t="str">
        <f>IFERROR(VLOOKUP(ROWS($Q$3:Q256),$M$3:$N$718,2,0),"")</f>
        <v>Pěstování ostatních plodin jiných než trvalých</v>
      </c>
      <c r="R256">
        <f>IF(ISNUMBER(SEARCH('1Př1'!$A$32,N256)),MAX($M$2:M255)+1,0)</f>
        <v>254</v>
      </c>
      <c r="S256" s="290" t="s">
        <v>1632</v>
      </c>
      <c r="T256" t="str">
        <f>IFERROR(VLOOKUP(ROWS($T$3:T256),$R$3:$S$718,2,0),"")</f>
        <v>Obchod, opravy a údržba motocyklů, jejich dílů a příslušenství</v>
      </c>
      <c r="U256">
        <f>IF(ISNUMBER(SEARCH('1Př1'!$A$33,N256)),MAX($M$2:M255)+1,0)</f>
        <v>254</v>
      </c>
      <c r="V256" s="290" t="s">
        <v>1632</v>
      </c>
      <c r="W256" t="str">
        <f>IFERROR(VLOOKUP(ROWS($W$3:W256),$U$3:$V$718,2,0),"")</f>
        <v>Obchod, opravy a údržba motocyklů, jejich dílů a příslušenství</v>
      </c>
      <c r="X256">
        <f>IF(ISNUMBER(SEARCH('1Př1'!$A$34,N256)),MAX($M$2:M255)+1,0)</f>
        <v>254</v>
      </c>
      <c r="Y256" s="290" t="s">
        <v>1632</v>
      </c>
      <c r="Z256" t="str">
        <f>IFERROR(VLOOKUP(ROWS($Z$3:Z256),$X$3:$Y$718,2,0),"")</f>
        <v>Obchod, opravy a údržba motocyklů, jejich dílů a příslušenství</v>
      </c>
    </row>
    <row r="257" spans="13:26" ht="12.75">
      <c r="M257" s="289">
        <f>IF(ISNUMBER(SEARCH(ZAKL_DATA!$B$29,N257)),MAX($M$2:M256)+1,0)</f>
        <v>255</v>
      </c>
      <c r="N257" s="482" t="s">
        <v>1215</v>
      </c>
      <c r="O257" s="482" t="s">
        <v>2971</v>
      </c>
      <c r="Q257" s="291" t="str">
        <f>IFERROR(VLOOKUP(ROWS($Q$3:Q257),$M$3:$N$718,2,0),"")</f>
        <v>Pěstování ostatních trvalých plodin</v>
      </c>
      <c r="R257">
        <f>IF(ISNUMBER(SEARCH('1Př1'!$A$32,N257)),MAX($M$2:M256)+1,0)</f>
        <v>255</v>
      </c>
      <c r="S257" s="290" t="s">
        <v>1633</v>
      </c>
      <c r="T257" t="str">
        <f>IFERROR(VLOOKUP(ROWS($T$3:T257),$R$3:$S$718,2,0),"")</f>
        <v>Zprostředkování velkoobchodu a velkoobchod v zastoupení</v>
      </c>
      <c r="U257">
        <f>IF(ISNUMBER(SEARCH('1Př1'!$A$33,N257)),MAX($M$2:M256)+1,0)</f>
        <v>255</v>
      </c>
      <c r="V257" s="290" t="s">
        <v>1633</v>
      </c>
      <c r="W257" t="str">
        <f>IFERROR(VLOOKUP(ROWS($W$3:W257),$U$3:$V$718,2,0),"")</f>
        <v>Zprostředkování velkoobchodu a velkoobchod v zastoupení</v>
      </c>
      <c r="X257">
        <f>IF(ISNUMBER(SEARCH('1Př1'!$A$34,N257)),MAX($M$2:M256)+1,0)</f>
        <v>255</v>
      </c>
      <c r="Y257" s="290" t="s">
        <v>1633</v>
      </c>
      <c r="Z257" t="str">
        <f>IFERROR(VLOOKUP(ROWS($Z$3:Z257),$X$3:$Y$718,2,0),"")</f>
        <v>Zprostředkování velkoobchodu a velkoobchod v zastoupení</v>
      </c>
    </row>
    <row r="258" spans="13:26" ht="12.75">
      <c r="M258" s="289">
        <f>IF(ISNUMBER(SEARCH(ZAKL_DATA!$B$29,N258)),MAX($M$2:M257)+1,0)</f>
        <v>256</v>
      </c>
      <c r="N258" s="482" t="s">
        <v>1175</v>
      </c>
      <c r="O258" s="482" t="s">
        <v>2972</v>
      </c>
      <c r="Q258" s="291" t="str">
        <f>IFERROR(VLOOKUP(ROWS($Q$3:Q258),$M$3:$N$718,2,0),"")</f>
        <v>Pěstování přadných rostlin</v>
      </c>
      <c r="R258">
        <f>IF(ISNUMBER(SEARCH('1Př1'!$A$32,N258)),MAX($M$2:M257)+1,0)</f>
        <v>256</v>
      </c>
      <c r="S258" s="290" t="s">
        <v>1634</v>
      </c>
      <c r="T258" t="str">
        <f>IFERROR(VLOOKUP(ROWS($T$3:T258),$R$3:$S$718,2,0),"")</f>
        <v>Velkoobchod se základními zemědělskými produkty a živými zvířaty</v>
      </c>
      <c r="U258">
        <f>IF(ISNUMBER(SEARCH('1Př1'!$A$33,N258)),MAX($M$2:M257)+1,0)</f>
        <v>256</v>
      </c>
      <c r="V258" s="290" t="s">
        <v>1634</v>
      </c>
      <c r="W258" t="str">
        <f>IFERROR(VLOOKUP(ROWS($W$3:W258),$U$3:$V$718,2,0),"")</f>
        <v>Velkoobchod se základními zemědělskými produkty a živými zvířaty</v>
      </c>
      <c r="X258">
        <f>IF(ISNUMBER(SEARCH('1Př1'!$A$34,N258)),MAX($M$2:M257)+1,0)</f>
        <v>256</v>
      </c>
      <c r="Y258" s="290" t="s">
        <v>1634</v>
      </c>
      <c r="Z258" t="str">
        <f>IFERROR(VLOOKUP(ROWS($Z$3:Z258),$X$3:$Y$718,2,0),"")</f>
        <v>Velkoobchod se základními zemědělskými produkty a živými zvířaty</v>
      </c>
    </row>
    <row r="259" spans="13:26" ht="12.75">
      <c r="M259" s="289">
        <f>IF(ISNUMBER(SEARCH(ZAKL_DATA!$B$29,N259)),MAX($M$2:M258)+1,0)</f>
        <v>257</v>
      </c>
      <c r="N259" s="482" t="s">
        <v>1207</v>
      </c>
      <c r="O259" s="482" t="s">
        <v>2973</v>
      </c>
      <c r="Q259" s="291" t="str">
        <f>IFERROR(VLOOKUP(ROWS($Q$3:Q259),$M$3:$N$718,2,0),"")</f>
        <v>Pěstování rostlin pro výrobu nápojů</v>
      </c>
      <c r="R259">
        <f>IF(ISNUMBER(SEARCH('1Př1'!$A$32,N259)),MAX($M$2:M258)+1,0)</f>
        <v>257</v>
      </c>
      <c r="S259" s="290" t="s">
        <v>1635</v>
      </c>
      <c r="T259" t="str">
        <f>IFERROR(VLOOKUP(ROWS($T$3:T259),$R$3:$S$718,2,0),"")</f>
        <v>Velkoobchod s potravinami, nápoji a tabákovými výrobky</v>
      </c>
      <c r="U259">
        <f>IF(ISNUMBER(SEARCH('1Př1'!$A$33,N259)),MAX($M$2:M258)+1,0)</f>
        <v>257</v>
      </c>
      <c r="V259" s="290" t="s">
        <v>1635</v>
      </c>
      <c r="W259" t="str">
        <f>IFERROR(VLOOKUP(ROWS($W$3:W259),$U$3:$V$718,2,0),"")</f>
        <v>Velkoobchod s potravinami, nápoji a tabákovými výrobky</v>
      </c>
      <c r="X259">
        <f>IF(ISNUMBER(SEARCH('1Př1'!$A$34,N259)),MAX($M$2:M258)+1,0)</f>
        <v>257</v>
      </c>
      <c r="Y259" s="290" t="s">
        <v>1635</v>
      </c>
      <c r="Z259" t="str">
        <f>IFERROR(VLOOKUP(ROWS($Z$3:Z259),$X$3:$Y$718,2,0),"")</f>
        <v>Velkoobchod s potravinami, nápoji a tabákovými výrobky</v>
      </c>
    </row>
    <row r="260" spans="13:26" ht="12.75">
      <c r="M260" s="289">
        <f>IF(ISNUMBER(SEARCH(ZAKL_DATA!$B$29,N260)),MAX($M$2:M259)+1,0)</f>
        <v>258</v>
      </c>
      <c r="N260" s="482" t="s">
        <v>1163</v>
      </c>
      <c r="O260" s="482" t="s">
        <v>2974</v>
      </c>
      <c r="Q260" s="291" t="str">
        <f>IFERROR(VLOOKUP(ROWS($Q$3:Q260),$M$3:$N$718,2,0),"")</f>
        <v>Pěstování rýže</v>
      </c>
      <c r="R260">
        <f>IF(ISNUMBER(SEARCH('1Př1'!$A$32,N260)),MAX($M$2:M259)+1,0)</f>
        <v>258</v>
      </c>
      <c r="S260" s="290" t="s">
        <v>1636</v>
      </c>
      <c r="T260" t="str">
        <f>IFERROR(VLOOKUP(ROWS($T$3:T260),$R$3:$S$718,2,0),"")</f>
        <v>Velkoobchod s výrobky převážně pro domácnost</v>
      </c>
      <c r="U260">
        <f>IF(ISNUMBER(SEARCH('1Př1'!$A$33,N260)),MAX($M$2:M259)+1,0)</f>
        <v>258</v>
      </c>
      <c r="V260" s="290" t="s">
        <v>1636</v>
      </c>
      <c r="W260" t="str">
        <f>IFERROR(VLOOKUP(ROWS($W$3:W260),$U$3:$V$718,2,0),"")</f>
        <v>Velkoobchod s výrobky převážně pro domácnost</v>
      </c>
      <c r="X260">
        <f>IF(ISNUMBER(SEARCH('1Př1'!$A$34,N260)),MAX($M$2:M259)+1,0)</f>
        <v>258</v>
      </c>
      <c r="Y260" s="290" t="s">
        <v>1636</v>
      </c>
      <c r="Z260" t="str">
        <f>IFERROR(VLOOKUP(ROWS($Z$3:Z260),$X$3:$Y$718,2,0),"")</f>
        <v>Velkoobchod s výrobky převážně pro domácnost</v>
      </c>
    </row>
    <row r="261" spans="13:26" ht="12.75">
      <c r="M261" s="289">
        <f>IF(ISNUMBER(SEARCH(ZAKL_DATA!$B$29,N261)),MAX($M$2:M260)+1,0)</f>
        <v>259</v>
      </c>
      <c r="N261" s="482" t="s">
        <v>1171</v>
      </c>
      <c r="O261" s="482" t="s">
        <v>2975</v>
      </c>
      <c r="Q261" s="291" t="str">
        <f>IFERROR(VLOOKUP(ROWS($Q$3:Q261),$M$3:$N$718,2,0),"")</f>
        <v>Pěstování tabáku</v>
      </c>
      <c r="R261">
        <f>IF(ISNUMBER(SEARCH('1Př1'!$A$32,N261)),MAX($M$2:M260)+1,0)</f>
        <v>259</v>
      </c>
      <c r="S261" s="290" t="s">
        <v>1637</v>
      </c>
      <c r="T261" t="str">
        <f>IFERROR(VLOOKUP(ROWS($T$3:T261),$R$3:$S$718,2,0),"")</f>
        <v>Velkoobchod s počítačovým a komunikačním zařízením</v>
      </c>
      <c r="U261">
        <f>IF(ISNUMBER(SEARCH('1Př1'!$A$33,N261)),MAX($M$2:M260)+1,0)</f>
        <v>259</v>
      </c>
      <c r="V261" s="290" t="s">
        <v>1637</v>
      </c>
      <c r="W261" t="str">
        <f>IFERROR(VLOOKUP(ROWS($W$3:W261),$U$3:$V$718,2,0),"")</f>
        <v>Velkoobchod s počítačovým a komunikačním zařízením</v>
      </c>
      <c r="X261">
        <f>IF(ISNUMBER(SEARCH('1Př1'!$A$34,N261)),MAX($M$2:M260)+1,0)</f>
        <v>259</v>
      </c>
      <c r="Y261" s="290" t="s">
        <v>1637</v>
      </c>
      <c r="Z261" t="str">
        <f>IFERROR(VLOOKUP(ROWS($Z$3:Z261),$X$3:$Y$718,2,0),"")</f>
        <v>Velkoobchod s počítačovým a komunikačním zařízením</v>
      </c>
    </row>
    <row r="262" spans="13:26" ht="12.75">
      <c r="M262" s="289">
        <f>IF(ISNUMBER(SEARCH(ZAKL_DATA!$B$29,N262)),MAX($M$2:M261)+1,0)</f>
        <v>260</v>
      </c>
      <c r="N262" s="482" t="s">
        <v>1187</v>
      </c>
      <c r="O262" s="482" t="s">
        <v>2976</v>
      </c>
      <c r="Q262" s="291" t="str">
        <f>IFERROR(VLOOKUP(ROWS($Q$3:Q262),$M$3:$N$718,2,0),"")</f>
        <v>Pěstování tropického a subtropického ovoce</v>
      </c>
      <c r="R262">
        <f>IF(ISNUMBER(SEARCH('1Př1'!$A$32,N262)),MAX($M$2:M261)+1,0)</f>
        <v>260</v>
      </c>
      <c r="S262" s="290" t="s">
        <v>1638</v>
      </c>
      <c r="T262" t="str">
        <f>IFERROR(VLOOKUP(ROWS($T$3:T262),$R$3:$S$718,2,0),"")</f>
        <v>Velkoobchod s ostatními stroji, strojním zařízením a příslušenstvím</v>
      </c>
      <c r="U262">
        <f>IF(ISNUMBER(SEARCH('1Př1'!$A$33,N262)),MAX($M$2:M261)+1,0)</f>
        <v>260</v>
      </c>
      <c r="V262" s="290" t="s">
        <v>1638</v>
      </c>
      <c r="W262" t="str">
        <f>IFERROR(VLOOKUP(ROWS($W$3:W262),$U$3:$V$718,2,0),"")</f>
        <v>Velkoobchod s ostatními stroji, strojním zařízením a příslušenstvím</v>
      </c>
      <c r="X262">
        <f>IF(ISNUMBER(SEARCH('1Př1'!$A$34,N262)),MAX($M$2:M261)+1,0)</f>
        <v>260</v>
      </c>
      <c r="Y262" s="290" t="s">
        <v>1638</v>
      </c>
      <c r="Z262" t="str">
        <f>IFERROR(VLOOKUP(ROWS($Z$3:Z262),$X$3:$Y$718,2,0),"")</f>
        <v>Velkoobchod s ostatními stroji, strojním zařízením a příslušenstvím</v>
      </c>
    </row>
    <row r="263" spans="13:26" ht="12.75">
      <c r="M263" s="289">
        <f>IF(ISNUMBER(SEARCH(ZAKL_DATA!$B$29,N263)),MAX($M$2:M262)+1,0)</f>
        <v>261</v>
      </c>
      <c r="N263" s="482" t="s">
        <v>1183</v>
      </c>
      <c r="O263" s="482" t="s">
        <v>2977</v>
      </c>
      <c r="Q263" s="291" t="str">
        <f>IFERROR(VLOOKUP(ROWS($Q$3:Q263),$M$3:$N$718,2,0),"")</f>
        <v>Pěstování vinných hroznů</v>
      </c>
      <c r="R263">
        <f>IF(ISNUMBER(SEARCH('1Př1'!$A$32,N263)),MAX($M$2:M262)+1,0)</f>
        <v>261</v>
      </c>
      <c r="S263" s="290" t="s">
        <v>1639</v>
      </c>
      <c r="T263" t="str">
        <f>IFERROR(VLOOKUP(ROWS($T$3:T263),$R$3:$S$718,2,0),"")</f>
        <v>Ostatní specializovaný velkoobchod</v>
      </c>
      <c r="U263">
        <f>IF(ISNUMBER(SEARCH('1Př1'!$A$33,N263)),MAX($M$2:M262)+1,0)</f>
        <v>261</v>
      </c>
      <c r="V263" s="290" t="s">
        <v>1639</v>
      </c>
      <c r="W263" t="str">
        <f>IFERROR(VLOOKUP(ROWS($W$3:W263),$U$3:$V$718,2,0),"")</f>
        <v>Ostatní specializovaný velkoobchod</v>
      </c>
      <c r="X263">
        <f>IF(ISNUMBER(SEARCH('1Př1'!$A$34,N263)),MAX($M$2:M262)+1,0)</f>
        <v>261</v>
      </c>
      <c r="Y263" s="290" t="s">
        <v>1639</v>
      </c>
      <c r="Z263" t="str">
        <f>IFERROR(VLOOKUP(ROWS($Z$3:Z263),$X$3:$Y$718,2,0),"")</f>
        <v>Ostatní specializovaný velkoobchod</v>
      </c>
    </row>
    <row r="264" spans="13:26" ht="12.75">
      <c r="M264" s="289">
        <f>IF(ISNUMBER(SEARCH(ZAKL_DATA!$B$29,N264)),MAX($M$2:M263)+1,0)</f>
        <v>262</v>
      </c>
      <c r="N264" s="482" t="s">
        <v>1167</v>
      </c>
      <c r="O264" s="482" t="s">
        <v>2978</v>
      </c>
      <c r="Q264" s="291" t="str">
        <f>IFERROR(VLOOKUP(ROWS($Q$3:Q264),$M$3:$N$718,2,0),"")</f>
        <v>Pěstování zeleniny a melounů, kořenů a hlíz</v>
      </c>
      <c r="R264">
        <f>IF(ISNUMBER(SEARCH('1Př1'!$A$32,N264)),MAX($M$2:M263)+1,0)</f>
        <v>262</v>
      </c>
      <c r="S264" s="290" t="s">
        <v>1640</v>
      </c>
      <c r="T264" t="str">
        <f>IFERROR(VLOOKUP(ROWS($T$3:T264),$R$3:$S$718,2,0),"")</f>
        <v>Nespecializovaný velkoobchod</v>
      </c>
      <c r="U264">
        <f>IF(ISNUMBER(SEARCH('1Př1'!$A$33,N264)),MAX($M$2:M263)+1,0)</f>
        <v>262</v>
      </c>
      <c r="V264" s="290" t="s">
        <v>1640</v>
      </c>
      <c r="W264" t="str">
        <f>IFERROR(VLOOKUP(ROWS($W$3:W264),$U$3:$V$718,2,0),"")</f>
        <v>Nespecializovaný velkoobchod</v>
      </c>
      <c r="X264">
        <f>IF(ISNUMBER(SEARCH('1Př1'!$A$34,N264)),MAX($M$2:M263)+1,0)</f>
        <v>262</v>
      </c>
      <c r="Y264" s="290" t="s">
        <v>1640</v>
      </c>
      <c r="Z264" t="str">
        <f>IFERROR(VLOOKUP(ROWS($Z$3:Z264),$X$3:$Y$718,2,0),"")</f>
        <v>Nespecializovaný velkoobchod</v>
      </c>
    </row>
    <row r="265" spans="13:26" ht="12.75">
      <c r="M265" s="289">
        <f>IF(ISNUMBER(SEARCH(ZAKL_DATA!$B$29,N265)),MAX($M$2:M264)+1,0)</f>
        <v>263</v>
      </c>
      <c r="N265" s="482" t="s">
        <v>2979</v>
      </c>
      <c r="O265" s="482" t="s">
        <v>2980</v>
      </c>
      <c r="Q265" s="291" t="str">
        <f>IFERROR(VLOOKUP(ROWS($Q$3:Q265),$M$3:$N$718,2,0),"")</f>
        <v>Pilařská výroba</v>
      </c>
      <c r="R265">
        <f>IF(ISNUMBER(SEARCH('1Př1'!$A$32,N265)),MAX($M$2:M264)+1,0)</f>
        <v>263</v>
      </c>
      <c r="S265" s="290" t="s">
        <v>1641</v>
      </c>
      <c r="T265" t="str">
        <f>IFERROR(VLOOKUP(ROWS($T$3:T265),$R$3:$S$718,2,0),"")</f>
        <v>Maloobchod v nespecializovaných prodejnách</v>
      </c>
      <c r="U265">
        <f>IF(ISNUMBER(SEARCH('1Př1'!$A$33,N265)),MAX($M$2:M264)+1,0)</f>
        <v>263</v>
      </c>
      <c r="V265" s="290" t="s">
        <v>1641</v>
      </c>
      <c r="W265" t="str">
        <f>IFERROR(VLOOKUP(ROWS($W$3:W265),$U$3:$V$718,2,0),"")</f>
        <v>Maloobchod v nespecializovaných prodejnách</v>
      </c>
      <c r="X265">
        <f>IF(ISNUMBER(SEARCH('1Př1'!$A$34,N265)),MAX($M$2:M264)+1,0)</f>
        <v>263</v>
      </c>
      <c r="Y265" s="290" t="s">
        <v>1641</v>
      </c>
      <c r="Z265" t="str">
        <f>IFERROR(VLOOKUP(ROWS($Z$3:Z265),$X$3:$Y$718,2,0),"")</f>
        <v>Maloobchod v nespecializovaných prodejnách</v>
      </c>
    </row>
    <row r="266" spans="13:26" ht="38.25">
      <c r="M266" s="289">
        <f>IF(ISNUMBER(SEARCH(ZAKL_DATA!$B$29,N266)),MAX($M$2:M265)+1,0)</f>
        <v>264</v>
      </c>
      <c r="N266" s="482" t="s">
        <v>2981</v>
      </c>
      <c r="O266" s="482" t="s">
        <v>2982</v>
      </c>
      <c r="Q266" s="291" t="str">
        <f>IFERROR(VLOOKUP(ROWS($Q$3:Q266),$M$3:$N$718,2,0),"")</f>
        <v>Pobytové služby sociální péče pro osoby s duševním onemocněním, mentálním postižením nebo osoby závislé na návykových látkách</v>
      </c>
      <c r="R266">
        <f>IF(ISNUMBER(SEARCH('1Př1'!$A$32,N266)),MAX($M$2:M265)+1,0)</f>
        <v>264</v>
      </c>
      <c r="S266" s="290" t="s">
        <v>1642</v>
      </c>
      <c r="T266" t="str">
        <f>IFERROR(VLOOKUP(ROWS($T$3:T266),$R$3:$S$718,2,0),"")</f>
        <v>Maloobchod s potravinami,nápoji a tabák.výrobky ve specializ.prodejnách</v>
      </c>
      <c r="U266">
        <f>IF(ISNUMBER(SEARCH('1Př1'!$A$33,N266)),MAX($M$2:M265)+1,0)</f>
        <v>264</v>
      </c>
      <c r="V266" s="290" t="s">
        <v>1642</v>
      </c>
      <c r="W266" t="str">
        <f>IFERROR(VLOOKUP(ROWS($W$3:W266),$U$3:$V$718,2,0),"")</f>
        <v>Maloobchod s potravinami,nápoji a tabák.výrobky ve specializ.prodejnách</v>
      </c>
      <c r="X266">
        <f>IF(ISNUMBER(SEARCH('1Př1'!$A$34,N266)),MAX($M$2:M265)+1,0)</f>
        <v>264</v>
      </c>
      <c r="Y266" s="290" t="s">
        <v>1642</v>
      </c>
      <c r="Z266" t="str">
        <f>IFERROR(VLOOKUP(ROWS($Z$3:Z266),$X$3:$Y$718,2,0),"")</f>
        <v>Maloobchod s potravinami,nápoji a tabák.výrobky ve specializ.prodejnách</v>
      </c>
    </row>
    <row r="267" spans="13:26" ht="25.5">
      <c r="M267" s="289">
        <f>IF(ISNUMBER(SEARCH(ZAKL_DATA!$B$29,N267)),MAX($M$2:M266)+1,0)</f>
        <v>265</v>
      </c>
      <c r="N267" s="482" t="s">
        <v>2983</v>
      </c>
      <c r="O267" s="482" t="s">
        <v>2984</v>
      </c>
      <c r="Q267" s="291" t="str">
        <f>IFERROR(VLOOKUP(ROWS($Q$3:Q267),$M$3:$N$718,2,0),"")</f>
        <v>Pobytové služby sociální péče pro seniory nebo osoby s fyzickým nebo smyslovým postižením</v>
      </c>
      <c r="R267">
        <f>IF(ISNUMBER(SEARCH('1Př1'!$A$32,N267)),MAX($M$2:M266)+1,0)</f>
        <v>265</v>
      </c>
      <c r="S267" s="290" t="s">
        <v>1643</v>
      </c>
      <c r="T267" t="str">
        <f>IFERROR(VLOOKUP(ROWS($T$3:T267),$R$3:$S$718,2,0),"")</f>
        <v>Maloobchod s pohonnými hmotami ve specializovaných prodejnách</v>
      </c>
      <c r="U267">
        <f>IF(ISNUMBER(SEARCH('1Př1'!$A$33,N267)),MAX($M$2:M266)+1,0)</f>
        <v>265</v>
      </c>
      <c r="V267" s="290" t="s">
        <v>1643</v>
      </c>
      <c r="W267" t="str">
        <f>IFERROR(VLOOKUP(ROWS($W$3:W267),$U$3:$V$718,2,0),"")</f>
        <v>Maloobchod s pohonnými hmotami ve specializovaných prodejnách</v>
      </c>
      <c r="X267">
        <f>IF(ISNUMBER(SEARCH('1Př1'!$A$34,N267)),MAX($M$2:M266)+1,0)</f>
        <v>265</v>
      </c>
      <c r="Y267" s="290" t="s">
        <v>1643</v>
      </c>
      <c r="Z267" t="str">
        <f>IFERROR(VLOOKUP(ROWS($Z$3:Z267),$X$3:$Y$718,2,0),"")</f>
        <v>Maloobchod s pohonnými hmotami ve specializovaných prodejnách</v>
      </c>
    </row>
    <row r="268" spans="13:26" ht="25.5">
      <c r="M268" s="289">
        <f>IF(ISNUMBER(SEARCH(ZAKL_DATA!$B$29,N268)),MAX($M$2:M267)+1,0)</f>
        <v>266</v>
      </c>
      <c r="N268" s="482" t="s">
        <v>2985</v>
      </c>
      <c r="O268" s="482" t="s">
        <v>2986</v>
      </c>
      <c r="Q268" s="291" t="str">
        <f>IFERROR(VLOOKUP(ROWS($Q$3:Q268),$M$3:$N$718,2,0),"")</f>
        <v>Pobytové služby sociální péče ve zdravotnických zařízeních lůžkové péče</v>
      </c>
      <c r="R268">
        <f>IF(ISNUMBER(SEARCH('1Př1'!$A$32,N268)),MAX($M$2:M267)+1,0)</f>
        <v>266</v>
      </c>
      <c r="S268" s="290" t="s">
        <v>1644</v>
      </c>
      <c r="T268" t="str">
        <f>IFERROR(VLOOKUP(ROWS($T$3:T268),$R$3:$S$718,2,0),"")</f>
        <v>Maloobchod s počítačovým a komunikačním zařízením ve specializ.prodejnách</v>
      </c>
      <c r="U268">
        <f>IF(ISNUMBER(SEARCH('1Př1'!$A$33,N268)),MAX($M$2:M267)+1,0)</f>
        <v>266</v>
      </c>
      <c r="V268" s="290" t="s">
        <v>1644</v>
      </c>
      <c r="W268" t="str">
        <f>IFERROR(VLOOKUP(ROWS($W$3:W268),$U$3:$V$718,2,0),"")</f>
        <v>Maloobchod s počítačovým a komunikačním zařízením ve specializ.prodejnách</v>
      </c>
      <c r="X268">
        <f>IF(ISNUMBER(SEARCH('1Př1'!$A$34,N268)),MAX($M$2:M267)+1,0)</f>
        <v>266</v>
      </c>
      <c r="Y268" s="290" t="s">
        <v>1644</v>
      </c>
      <c r="Z268" t="str">
        <f>IFERROR(VLOOKUP(ROWS($Z$3:Z268),$X$3:$Y$718,2,0),"")</f>
        <v>Maloobchod s počítačovým a komunikačním zařízením ve specializ.prodejnách</v>
      </c>
    </row>
    <row r="269" spans="13:26" ht="12.75">
      <c r="M269" s="289">
        <f>IF(ISNUMBER(SEARCH(ZAKL_DATA!$B$29,N269)),MAX($M$2:M268)+1,0)</f>
        <v>267</v>
      </c>
      <c r="N269" s="482" t="s">
        <v>2987</v>
      </c>
      <c r="O269" s="482" t="s">
        <v>2988</v>
      </c>
      <c r="Q269" s="291" t="str">
        <f>IFERROR(VLOOKUP(ROWS($Q$3:Q269),$M$3:$N$718,2,0),"")</f>
        <v>Podávání nápojů</v>
      </c>
      <c r="R269">
        <f>IF(ISNUMBER(SEARCH('1Př1'!$A$32,N269)),MAX($M$2:M268)+1,0)</f>
        <v>267</v>
      </c>
      <c r="S269" s="290" t="s">
        <v>1645</v>
      </c>
      <c r="T269" t="str">
        <f>IFERROR(VLOOKUP(ROWS($T$3:T269),$R$3:$S$718,2,0),"")</f>
        <v>Maloobchod s ost.výrobky převážně pro domácnost ve specializ.prodejnách</v>
      </c>
      <c r="U269">
        <f>IF(ISNUMBER(SEARCH('1Př1'!$A$33,N269)),MAX($M$2:M268)+1,0)</f>
        <v>267</v>
      </c>
      <c r="V269" s="290" t="s">
        <v>1645</v>
      </c>
      <c r="W269" t="str">
        <f>IFERROR(VLOOKUP(ROWS($W$3:W269),$U$3:$V$718,2,0),"")</f>
        <v>Maloobchod s ost.výrobky převážně pro domácnost ve specializ.prodejnách</v>
      </c>
      <c r="X269">
        <f>IF(ISNUMBER(SEARCH('1Př1'!$A$34,N269)),MAX($M$2:M268)+1,0)</f>
        <v>267</v>
      </c>
      <c r="Y269" s="290" t="s">
        <v>1645</v>
      </c>
      <c r="Z269" t="str">
        <f>IFERROR(VLOOKUP(ROWS($Z$3:Z269),$X$3:$Y$718,2,0),"")</f>
        <v>Maloobchod s ost.výrobky převážně pro domácnost ve specializ.prodejnách</v>
      </c>
    </row>
    <row r="270" spans="13:26" ht="12.75">
      <c r="M270" s="289">
        <f>IF(ISNUMBER(SEARCH(ZAKL_DATA!$B$29,N270)),MAX($M$2:M269)+1,0)</f>
        <v>268</v>
      </c>
      <c r="N270" s="482" t="s">
        <v>813</v>
      </c>
      <c r="O270" s="482" t="s">
        <v>2989</v>
      </c>
      <c r="Q270" s="291" t="str">
        <f>IFERROR(VLOOKUP(ROWS($Q$3:Q270),$M$3:$N$718,2,0),"")</f>
        <v>Podpůrné činnosti pro lesnictví</v>
      </c>
      <c r="R270">
        <f>IF(ISNUMBER(SEARCH('1Př1'!$A$32,N270)),MAX($M$2:M269)+1,0)</f>
        <v>268</v>
      </c>
      <c r="S270" s="290" t="s">
        <v>1646</v>
      </c>
      <c r="T270" t="str">
        <f>IFERROR(VLOOKUP(ROWS($T$3:T270),$R$3:$S$718,2,0),"")</f>
        <v>Maloobchod s výrobky pro kulturní rozhled a rekreaci ve specializ.prod.</v>
      </c>
      <c r="U270">
        <f>IF(ISNUMBER(SEARCH('1Př1'!$A$33,N270)),MAX($M$2:M269)+1,0)</f>
        <v>268</v>
      </c>
      <c r="V270" s="290" t="s">
        <v>1646</v>
      </c>
      <c r="W270" t="str">
        <f>IFERROR(VLOOKUP(ROWS($W$3:W270),$U$3:$V$718,2,0),"")</f>
        <v>Maloobchod s výrobky pro kulturní rozhled a rekreaci ve specializ.prod.</v>
      </c>
      <c r="X270">
        <f>IF(ISNUMBER(SEARCH('1Př1'!$A$34,N270)),MAX($M$2:M269)+1,0)</f>
        <v>268</v>
      </c>
      <c r="Y270" s="290" t="s">
        <v>1646</v>
      </c>
      <c r="Z270" t="str">
        <f>IFERROR(VLOOKUP(ROWS($Z$3:Z270),$X$3:$Y$718,2,0),"")</f>
        <v>Maloobchod s výrobky pro kulturní rozhled a rekreaci ve specializ.prod.</v>
      </c>
    </row>
    <row r="271" spans="13:26" ht="12.75">
      <c r="M271" s="289">
        <f>IF(ISNUMBER(SEARCH(ZAKL_DATA!$B$29,N271)),MAX($M$2:M270)+1,0)</f>
        <v>269</v>
      </c>
      <c r="N271" s="482" t="s">
        <v>1295</v>
      </c>
      <c r="O271" s="482" t="s">
        <v>2990</v>
      </c>
      <c r="Q271" s="291" t="str">
        <f>IFERROR(VLOOKUP(ROWS($Q$3:Q271),$M$3:$N$718,2,0),"")</f>
        <v>Podpůrné činnosti pro rostlinnou výrobu</v>
      </c>
      <c r="R271">
        <f>IF(ISNUMBER(SEARCH('1Př1'!$A$32,N271)),MAX($M$2:M270)+1,0)</f>
        <v>269</v>
      </c>
      <c r="S271" s="290" t="s">
        <v>1647</v>
      </c>
      <c r="T271" t="str">
        <f>IFERROR(VLOOKUP(ROWS($T$3:T271),$R$3:$S$718,2,0),"")</f>
        <v>Maloobchod s ostatním zbožím ve specializovaných prodejnách</v>
      </c>
      <c r="U271">
        <f>IF(ISNUMBER(SEARCH('1Př1'!$A$33,N271)),MAX($M$2:M270)+1,0)</f>
        <v>269</v>
      </c>
      <c r="V271" s="290" t="s">
        <v>1647</v>
      </c>
      <c r="W271" t="str">
        <f>IFERROR(VLOOKUP(ROWS($W$3:W271),$U$3:$V$718,2,0),"")</f>
        <v>Maloobchod s ostatním zbožím ve specializovaných prodejnách</v>
      </c>
      <c r="X271">
        <f>IF(ISNUMBER(SEARCH('1Př1'!$A$34,N271)),MAX($M$2:M270)+1,0)</f>
        <v>269</v>
      </c>
      <c r="Y271" s="290" t="s">
        <v>1647</v>
      </c>
      <c r="Z271" t="str">
        <f>IFERROR(VLOOKUP(ROWS($Z$3:Z271),$X$3:$Y$718,2,0),"")</f>
        <v>Maloobchod s ostatním zbožím ve specializovaných prodejnách</v>
      </c>
    </row>
    <row r="272" spans="13:26" ht="12.75">
      <c r="M272" s="289">
        <f>IF(ISNUMBER(SEARCH(ZAKL_DATA!$B$29,N272)),MAX($M$2:M271)+1,0)</f>
        <v>270</v>
      </c>
      <c r="N272" s="482" t="s">
        <v>2991</v>
      </c>
      <c r="O272" s="482" t="s">
        <v>2992</v>
      </c>
      <c r="Q272" s="291" t="str">
        <f>IFERROR(VLOOKUP(ROWS($Q$3:Q272),$M$3:$N$718,2,0),"")</f>
        <v>Podpůrné činnosti pro rybolov a akvakulturu</v>
      </c>
      <c r="R272">
        <f>IF(ISNUMBER(SEARCH('1Př1'!$A$32,N272)),MAX($M$2:M271)+1,0)</f>
        <v>270</v>
      </c>
      <c r="S272" s="290" t="s">
        <v>1648</v>
      </c>
      <c r="T272" t="str">
        <f>IFERROR(VLOOKUP(ROWS($T$3:T272),$R$3:$S$718,2,0),"")</f>
        <v>Maloobchod ve stáncích a na trzích</v>
      </c>
      <c r="U272">
        <f>IF(ISNUMBER(SEARCH('1Př1'!$A$33,N272)),MAX($M$2:M271)+1,0)</f>
        <v>270</v>
      </c>
      <c r="V272" s="290" t="s">
        <v>1648</v>
      </c>
      <c r="W272" t="str">
        <f>IFERROR(VLOOKUP(ROWS($W$3:W272),$U$3:$V$718,2,0),"")</f>
        <v>Maloobchod ve stáncích a na trzích</v>
      </c>
      <c r="X272">
        <f>IF(ISNUMBER(SEARCH('1Př1'!$A$34,N272)),MAX($M$2:M271)+1,0)</f>
        <v>270</v>
      </c>
      <c r="Y272" s="290" t="s">
        <v>1648</v>
      </c>
      <c r="Z272" t="str">
        <f>IFERROR(VLOOKUP(ROWS($Z$3:Z272),$X$3:$Y$718,2,0),"")</f>
        <v>Maloobchod ve stáncích a na trzích</v>
      </c>
    </row>
    <row r="273" spans="13:26" ht="25.5">
      <c r="M273" s="289">
        <f>IF(ISNUMBER(SEARCH(ZAKL_DATA!$B$29,N273)),MAX($M$2:M272)+1,0)</f>
        <v>271</v>
      </c>
      <c r="N273" s="482" t="s">
        <v>2993</v>
      </c>
      <c r="O273" s="482" t="s">
        <v>2994</v>
      </c>
      <c r="Q273" s="291" t="str">
        <f>IFERROR(VLOOKUP(ROWS($Q$3:Q273),$M$3:$N$718,2,0),"")</f>
        <v>Podpůrné činnosti pro těžbu a dobývání ostatních nerostných surovin j. n.</v>
      </c>
      <c r="R273">
        <f>IF(ISNUMBER(SEARCH('1Př1'!$A$32,N273)),MAX($M$2:M272)+1,0)</f>
        <v>271</v>
      </c>
      <c r="S273" s="290" t="s">
        <v>1649</v>
      </c>
      <c r="T273" t="str">
        <f>IFERROR(VLOOKUP(ROWS($T$3:T273),$R$3:$S$718,2,0),"")</f>
        <v>Maloobchod mimo prodejny, stánky a trhy</v>
      </c>
      <c r="U273">
        <f>IF(ISNUMBER(SEARCH('1Př1'!$A$33,N273)),MAX($M$2:M272)+1,0)</f>
        <v>271</v>
      </c>
      <c r="V273" s="290" t="s">
        <v>1649</v>
      </c>
      <c r="W273" t="str">
        <f>IFERROR(VLOOKUP(ROWS($W$3:W273),$U$3:$V$718,2,0),"")</f>
        <v>Maloobchod mimo prodejny, stánky a trhy</v>
      </c>
      <c r="X273">
        <f>IF(ISNUMBER(SEARCH('1Př1'!$A$34,N273)),MAX($M$2:M272)+1,0)</f>
        <v>271</v>
      </c>
      <c r="Y273" s="290" t="s">
        <v>1649</v>
      </c>
      <c r="Z273" t="str">
        <f>IFERROR(VLOOKUP(ROWS($Z$3:Z273),$X$3:$Y$718,2,0),"")</f>
        <v>Maloobchod mimo prodejny, stánky a trhy</v>
      </c>
    </row>
    <row r="274" spans="13:26" ht="12.75">
      <c r="M274" s="289">
        <f>IF(ISNUMBER(SEARCH(ZAKL_DATA!$B$29,N274)),MAX($M$2:M273)+1,0)</f>
        <v>272</v>
      </c>
      <c r="N274" s="482" t="s">
        <v>2995</v>
      </c>
      <c r="O274" s="482" t="s">
        <v>2996</v>
      </c>
      <c r="Q274" s="291" t="str">
        <f>IFERROR(VLOOKUP(ROWS($Q$3:Q274),$M$3:$N$718,2,0),"")</f>
        <v>Podpůrné činnosti pro těžbu černého uhlí</v>
      </c>
      <c r="R274">
        <f>IF(ISNUMBER(SEARCH('1Př1'!$A$32,N274)),MAX($M$2:M273)+1,0)</f>
        <v>272</v>
      </c>
      <c r="S274" s="290" t="s">
        <v>1650</v>
      </c>
      <c r="T274" t="str">
        <f>IFERROR(VLOOKUP(ROWS($T$3:T274),$R$3:$S$718,2,0),"")</f>
        <v>železniční osobní doprava meziměstská</v>
      </c>
      <c r="U274">
        <f>IF(ISNUMBER(SEARCH('1Př1'!$A$33,N274)),MAX($M$2:M273)+1,0)</f>
        <v>272</v>
      </c>
      <c r="V274" s="290" t="s">
        <v>1650</v>
      </c>
      <c r="W274" t="str">
        <f>IFERROR(VLOOKUP(ROWS($W$3:W274),$U$3:$V$718,2,0),"")</f>
        <v>železniční osobní doprava meziměstská</v>
      </c>
      <c r="X274">
        <f>IF(ISNUMBER(SEARCH('1Př1'!$A$34,N274)),MAX($M$2:M273)+1,0)</f>
        <v>272</v>
      </c>
      <c r="Y274" s="290" t="s">
        <v>1650</v>
      </c>
      <c r="Z274" t="str">
        <f>IFERROR(VLOOKUP(ROWS($Z$3:Z274),$X$3:$Y$718,2,0),"")</f>
        <v>železniční osobní doprava meziměstská</v>
      </c>
    </row>
    <row r="275" spans="13:26" ht="25.5">
      <c r="M275" s="289">
        <f>IF(ISNUMBER(SEARCH(ZAKL_DATA!$B$29,N275)),MAX($M$2:M274)+1,0)</f>
        <v>273</v>
      </c>
      <c r="N275" s="482" t="s">
        <v>2997</v>
      </c>
      <c r="O275" s="482" t="s">
        <v>2998</v>
      </c>
      <c r="Q275" s="291" t="str">
        <f>IFERROR(VLOOKUP(ROWS($Q$3:Q275),$M$3:$N$718,2,0),"")</f>
        <v>Podpůrné činnosti pro těžbu hnědého uhlí, kromě lignitu</v>
      </c>
      <c r="R275">
        <f>IF(ISNUMBER(SEARCH('1Př1'!$A$32,N275)),MAX($M$2:M274)+1,0)</f>
        <v>273</v>
      </c>
      <c r="S275" s="290" t="s">
        <v>1651</v>
      </c>
      <c r="T275" t="str">
        <f>IFERROR(VLOOKUP(ROWS($T$3:T275),$R$3:$S$718,2,0),"")</f>
        <v>železniční nákladní doprava</v>
      </c>
      <c r="U275">
        <f>IF(ISNUMBER(SEARCH('1Př1'!$A$33,N275)),MAX($M$2:M274)+1,0)</f>
        <v>273</v>
      </c>
      <c r="V275" s="290" t="s">
        <v>1651</v>
      </c>
      <c r="W275" t="str">
        <f>IFERROR(VLOOKUP(ROWS($W$3:W275),$U$3:$V$718,2,0),"")</f>
        <v>železniční nákladní doprava</v>
      </c>
      <c r="X275">
        <f>IF(ISNUMBER(SEARCH('1Př1'!$A$34,N275)),MAX($M$2:M274)+1,0)</f>
        <v>273</v>
      </c>
      <c r="Y275" s="290" t="s">
        <v>1651</v>
      </c>
      <c r="Z275" t="str">
        <f>IFERROR(VLOOKUP(ROWS($Z$3:Z275),$X$3:$Y$718,2,0),"")</f>
        <v>železniční nákladní doprava</v>
      </c>
    </row>
    <row r="276" spans="13:26" ht="12.75">
      <c r="M276" s="289">
        <f>IF(ISNUMBER(SEARCH(ZAKL_DATA!$B$29,N276)),MAX($M$2:M275)+1,0)</f>
        <v>274</v>
      </c>
      <c r="N276" s="482" t="s">
        <v>2999</v>
      </c>
      <c r="O276" s="482" t="s">
        <v>3000</v>
      </c>
      <c r="Q276" s="291" t="str">
        <f>IFERROR(VLOOKUP(ROWS($Q$3:Q276),$M$3:$N$718,2,0),"")</f>
        <v>Podpůrné činnosti pro těžbu lignitu</v>
      </c>
      <c r="R276">
        <f>IF(ISNUMBER(SEARCH('1Př1'!$A$32,N276)),MAX($M$2:M275)+1,0)</f>
        <v>274</v>
      </c>
      <c r="S276" s="290" t="s">
        <v>1652</v>
      </c>
      <c r="T276" t="str">
        <f>IFERROR(VLOOKUP(ROWS($T$3:T276),$R$3:$S$718,2,0),"")</f>
        <v>Ostatní pozemní osobní doprava</v>
      </c>
      <c r="U276">
        <f>IF(ISNUMBER(SEARCH('1Př1'!$A$33,N276)),MAX($M$2:M275)+1,0)</f>
        <v>274</v>
      </c>
      <c r="V276" s="290" t="s">
        <v>1652</v>
      </c>
      <c r="W276" t="str">
        <f>IFERROR(VLOOKUP(ROWS($W$3:W276),$U$3:$V$718,2,0),"")</f>
        <v>Ostatní pozemní osobní doprava</v>
      </c>
      <c r="X276">
        <f>IF(ISNUMBER(SEARCH('1Př1'!$A$34,N276)),MAX($M$2:M275)+1,0)</f>
        <v>274</v>
      </c>
      <c r="Y276" s="290" t="s">
        <v>1652</v>
      </c>
      <c r="Z276" t="str">
        <f>IFERROR(VLOOKUP(ROWS($Z$3:Z276),$X$3:$Y$718,2,0),"")</f>
        <v>Ostatní pozemní osobní doprava</v>
      </c>
    </row>
    <row r="277" spans="13:26" ht="25.5">
      <c r="M277" s="289">
        <f>IF(ISNUMBER(SEARCH(ZAKL_DATA!$B$29,N277)),MAX($M$2:M276)+1,0)</f>
        <v>275</v>
      </c>
      <c r="N277" s="482" t="s">
        <v>3001</v>
      </c>
      <c r="O277" s="482" t="s">
        <v>3002</v>
      </c>
      <c r="Q277" s="291" t="str">
        <f>IFERROR(VLOOKUP(ROWS($Q$3:Q277),$M$3:$N$718,2,0),"")</f>
        <v>Podpůrné činnosti pro těžbu ostatních neželezných rud</v>
      </c>
      <c r="R277">
        <f>IF(ISNUMBER(SEARCH('1Př1'!$A$32,N277)),MAX($M$2:M276)+1,0)</f>
        <v>275</v>
      </c>
      <c r="S277" s="290" t="s">
        <v>1653</v>
      </c>
      <c r="T277" t="str">
        <f>IFERROR(VLOOKUP(ROWS($T$3:T277),$R$3:$S$718,2,0),"")</f>
        <v>Silniční nákladní doprava a stěhovací služby</v>
      </c>
      <c r="U277">
        <f>IF(ISNUMBER(SEARCH('1Př1'!$A$33,N277)),MAX($M$2:M276)+1,0)</f>
        <v>275</v>
      </c>
      <c r="V277" s="290" t="s">
        <v>1653</v>
      </c>
      <c r="W277" t="str">
        <f>IFERROR(VLOOKUP(ROWS($W$3:W277),$U$3:$V$718,2,0),"")</f>
        <v>Silniční nákladní doprava a stěhovací služby</v>
      </c>
      <c r="X277">
        <f>IF(ISNUMBER(SEARCH('1Př1'!$A$34,N277)),MAX($M$2:M276)+1,0)</f>
        <v>275</v>
      </c>
      <c r="Y277" s="290" t="s">
        <v>1653</v>
      </c>
      <c r="Z277" t="str">
        <f>IFERROR(VLOOKUP(ROWS($Z$3:Z277),$X$3:$Y$718,2,0),"")</f>
        <v>Silniční nákladní doprava a stěhovací služby</v>
      </c>
    </row>
    <row r="278" spans="13:26" ht="12.75">
      <c r="M278" s="289">
        <f>IF(ISNUMBER(SEARCH(ZAKL_DATA!$B$29,N278)),MAX($M$2:M277)+1,0)</f>
        <v>276</v>
      </c>
      <c r="N278" s="482" t="s">
        <v>3003</v>
      </c>
      <c r="O278" s="482" t="s">
        <v>3004</v>
      </c>
      <c r="Q278" s="291" t="str">
        <f>IFERROR(VLOOKUP(ROWS($Q$3:Q278),$M$3:$N$718,2,0),"")</f>
        <v>Podpůrné činnosti pro těžbu ropy a zemního plynu</v>
      </c>
      <c r="R278">
        <f>IF(ISNUMBER(SEARCH('1Př1'!$A$32,N278)),MAX($M$2:M277)+1,0)</f>
        <v>276</v>
      </c>
      <c r="S278" s="290" t="s">
        <v>1654</v>
      </c>
      <c r="T278" t="str">
        <f>IFERROR(VLOOKUP(ROWS($T$3:T278),$R$3:$S$718,2,0),"")</f>
        <v>Potrubní doprava</v>
      </c>
      <c r="U278">
        <f>IF(ISNUMBER(SEARCH('1Př1'!$A$33,N278)),MAX($M$2:M277)+1,0)</f>
        <v>276</v>
      </c>
      <c r="V278" s="290" t="s">
        <v>1654</v>
      </c>
      <c r="W278" t="str">
        <f>IFERROR(VLOOKUP(ROWS($W$3:W278),$U$3:$V$718,2,0),"")</f>
        <v>Potrubní doprava</v>
      </c>
      <c r="X278">
        <f>IF(ISNUMBER(SEARCH('1Př1'!$A$34,N278)),MAX($M$2:M277)+1,0)</f>
        <v>276</v>
      </c>
      <c r="Y278" s="290" t="s">
        <v>1654</v>
      </c>
      <c r="Z278" t="str">
        <f>IFERROR(VLOOKUP(ROWS($Z$3:Z278),$X$3:$Y$718,2,0),"")</f>
        <v>Potrubní doprava</v>
      </c>
    </row>
    <row r="279" spans="13:26" ht="25.5">
      <c r="M279" s="289">
        <f>IF(ISNUMBER(SEARCH(ZAKL_DATA!$B$29,N279)),MAX($M$2:M278)+1,0)</f>
        <v>277</v>
      </c>
      <c r="N279" s="482" t="s">
        <v>3005</v>
      </c>
      <c r="O279" s="482" t="s">
        <v>3006</v>
      </c>
      <c r="Q279" s="291" t="str">
        <f>IFERROR(VLOOKUP(ROWS($Q$3:Q279),$M$3:$N$718,2,0),"")</f>
        <v>Podpůrné činnosti pro těžbu uranových a thoriových rud</v>
      </c>
      <c r="R279">
        <f>IF(ISNUMBER(SEARCH('1Př1'!$A$32,N279)),MAX($M$2:M278)+1,0)</f>
        <v>277</v>
      </c>
      <c r="S279" s="290" t="s">
        <v>1655</v>
      </c>
      <c r="T279" t="str">
        <f>IFERROR(VLOOKUP(ROWS($T$3:T279),$R$3:$S$718,2,0),"")</f>
        <v>Námořní a pobřežní osobní doprava</v>
      </c>
      <c r="U279">
        <f>IF(ISNUMBER(SEARCH('1Př1'!$A$33,N279)),MAX($M$2:M278)+1,0)</f>
        <v>277</v>
      </c>
      <c r="V279" s="290" t="s">
        <v>1655</v>
      </c>
      <c r="W279" t="str">
        <f>IFERROR(VLOOKUP(ROWS($W$3:W279),$U$3:$V$718,2,0),"")</f>
        <v>Námořní a pobřežní osobní doprava</v>
      </c>
      <c r="X279">
        <f>IF(ISNUMBER(SEARCH('1Př1'!$A$34,N279)),MAX($M$2:M278)+1,0)</f>
        <v>277</v>
      </c>
      <c r="Y279" s="290" t="s">
        <v>1655</v>
      </c>
      <c r="Z279" t="str">
        <f>IFERROR(VLOOKUP(ROWS($Z$3:Z279),$X$3:$Y$718,2,0),"")</f>
        <v>Námořní a pobřežní osobní doprava</v>
      </c>
    </row>
    <row r="280" spans="13:26" ht="12.75">
      <c r="M280" s="289">
        <f>IF(ISNUMBER(SEARCH(ZAKL_DATA!$B$29,N280)),MAX($M$2:M279)+1,0)</f>
        <v>278</v>
      </c>
      <c r="N280" s="482" t="s">
        <v>3007</v>
      </c>
      <c r="O280" s="482" t="s">
        <v>3008</v>
      </c>
      <c r="Q280" s="291" t="str">
        <f>IFERROR(VLOOKUP(ROWS($Q$3:Q280),$M$3:$N$718,2,0),"")</f>
        <v>Podpůrné činnosti pro těžbu železných rud</v>
      </c>
      <c r="R280">
        <f>IF(ISNUMBER(SEARCH('1Př1'!$A$32,N280)),MAX($M$2:M279)+1,0)</f>
        <v>278</v>
      </c>
      <c r="S280" s="290" t="s">
        <v>1656</v>
      </c>
      <c r="T280" t="str">
        <f>IFERROR(VLOOKUP(ROWS($T$3:T280),$R$3:$S$718,2,0),"")</f>
        <v>Námořní a pobřežní nákladní doprava</v>
      </c>
      <c r="U280">
        <f>IF(ISNUMBER(SEARCH('1Př1'!$A$33,N280)),MAX($M$2:M279)+1,0)</f>
        <v>278</v>
      </c>
      <c r="V280" s="290" t="s">
        <v>1656</v>
      </c>
      <c r="W280" t="str">
        <f>IFERROR(VLOOKUP(ROWS($W$3:W280),$U$3:$V$718,2,0),"")</f>
        <v>Námořní a pobřežní nákladní doprava</v>
      </c>
      <c r="X280">
        <f>IF(ISNUMBER(SEARCH('1Př1'!$A$34,N280)),MAX($M$2:M279)+1,0)</f>
        <v>278</v>
      </c>
      <c r="Y280" s="290" t="s">
        <v>1656</v>
      </c>
      <c r="Z280" t="str">
        <f>IFERROR(VLOOKUP(ROWS($Z$3:Z280),$X$3:$Y$718,2,0),"")</f>
        <v>Námořní a pobřežní nákladní doprava</v>
      </c>
    </row>
    <row r="281" spans="13:26" ht="12.75">
      <c r="M281" s="289">
        <f>IF(ISNUMBER(SEARCH(ZAKL_DATA!$B$29,N281)),MAX($M$2:M280)+1,0)</f>
        <v>279</v>
      </c>
      <c r="N281" s="482" t="s">
        <v>1303</v>
      </c>
      <c r="O281" s="482" t="s">
        <v>3009</v>
      </c>
      <c r="Q281" s="291" t="str">
        <f>IFERROR(VLOOKUP(ROWS($Q$3:Q281),$M$3:$N$718,2,0),"")</f>
        <v>Podpůrné činnosti pro živočišnou výrobu</v>
      </c>
      <c r="R281">
        <f>IF(ISNUMBER(SEARCH('1Př1'!$A$32,N281)),MAX($M$2:M280)+1,0)</f>
        <v>279</v>
      </c>
      <c r="S281" s="290" t="s">
        <v>1657</v>
      </c>
      <c r="T281" t="str">
        <f>IFERROR(VLOOKUP(ROWS($T$3:T281),$R$3:$S$718,2,0),"")</f>
        <v>Vnitrozemská vodní osobní doprava</v>
      </c>
      <c r="U281">
        <f>IF(ISNUMBER(SEARCH('1Př1'!$A$33,N281)),MAX($M$2:M280)+1,0)</f>
        <v>279</v>
      </c>
      <c r="V281" s="290" t="s">
        <v>1657</v>
      </c>
      <c r="W281" t="str">
        <f>IFERROR(VLOOKUP(ROWS($W$3:W281),$U$3:$V$718,2,0),"")</f>
        <v>Vnitrozemská vodní osobní doprava</v>
      </c>
      <c r="X281">
        <f>IF(ISNUMBER(SEARCH('1Př1'!$A$34,N281)),MAX($M$2:M280)+1,0)</f>
        <v>279</v>
      </c>
      <c r="Y281" s="290" t="s">
        <v>1657</v>
      </c>
      <c r="Z281" t="str">
        <f>IFERROR(VLOOKUP(ROWS($Z$3:Z281),$X$3:$Y$718,2,0),"")</f>
        <v>Vnitrozemská vodní osobní doprava</v>
      </c>
    </row>
    <row r="282" spans="13:26" ht="12.75">
      <c r="M282" s="289">
        <f>IF(ISNUMBER(SEARCH(ZAKL_DATA!$B$29,N282)),MAX($M$2:M281)+1,0)</f>
        <v>280</v>
      </c>
      <c r="N282" s="482" t="s">
        <v>3010</v>
      </c>
      <c r="O282" s="482" t="s">
        <v>3011</v>
      </c>
      <c r="Q282" s="291" t="str">
        <f>IFERROR(VLOOKUP(ROWS($Q$3:Q282),$M$3:$N$718,2,0),"")</f>
        <v>Podpůrné činnosti v oblasti vzdělávání j. n.</v>
      </c>
      <c r="R282">
        <f>IF(ISNUMBER(SEARCH('1Př1'!$A$32,N282)),MAX($M$2:M281)+1,0)</f>
        <v>280</v>
      </c>
      <c r="S282" s="290" t="s">
        <v>1658</v>
      </c>
      <c r="T282" t="str">
        <f>IFERROR(VLOOKUP(ROWS($T$3:T282),$R$3:$S$718,2,0),"")</f>
        <v>Vnitrozemská vodní nákladní doprava</v>
      </c>
      <c r="U282">
        <f>IF(ISNUMBER(SEARCH('1Př1'!$A$33,N282)),MAX($M$2:M281)+1,0)</f>
        <v>280</v>
      </c>
      <c r="V282" s="290" t="s">
        <v>1658</v>
      </c>
      <c r="W282" t="str">
        <f>IFERROR(VLOOKUP(ROWS($W$3:W282),$U$3:$V$718,2,0),"")</f>
        <v>Vnitrozemská vodní nákladní doprava</v>
      </c>
      <c r="X282">
        <f>IF(ISNUMBER(SEARCH('1Př1'!$A$34,N282)),MAX($M$2:M281)+1,0)</f>
        <v>280</v>
      </c>
      <c r="Y282" s="290" t="s">
        <v>1658</v>
      </c>
      <c r="Z282" t="str">
        <f>IFERROR(VLOOKUP(ROWS($Z$3:Z282),$X$3:$Y$718,2,0),"")</f>
        <v>Vnitrozemská vodní nákladní doprava</v>
      </c>
    </row>
    <row r="283" spans="13:26" ht="12.75">
      <c r="M283" s="289">
        <f>IF(ISNUMBER(SEARCH(ZAKL_DATA!$B$29,N283)),MAX($M$2:M282)+1,0)</f>
        <v>281</v>
      </c>
      <c r="N283" s="482" t="s">
        <v>2143</v>
      </c>
      <c r="O283" s="482" t="s">
        <v>3012</v>
      </c>
      <c r="Q283" s="291" t="str">
        <f>IFERROR(VLOOKUP(ROWS($Q$3:Q283),$M$3:$N$718,2,0),"")</f>
        <v>Pohřební a související činnosti</v>
      </c>
      <c r="R283">
        <f>IF(ISNUMBER(SEARCH('1Př1'!$A$32,N283)),MAX($M$2:M282)+1,0)</f>
        <v>281</v>
      </c>
      <c r="S283" s="290" t="s">
        <v>1659</v>
      </c>
      <c r="T283" t="str">
        <f>IFERROR(VLOOKUP(ROWS($T$3:T283),$R$3:$S$718,2,0),"")</f>
        <v>Letecká osobní doprava</v>
      </c>
      <c r="U283">
        <f>IF(ISNUMBER(SEARCH('1Př1'!$A$33,N283)),MAX($M$2:M282)+1,0)</f>
        <v>281</v>
      </c>
      <c r="V283" s="290" t="s">
        <v>1659</v>
      </c>
      <c r="W283" t="str">
        <f>IFERROR(VLOOKUP(ROWS($W$3:W283),$U$3:$V$718,2,0),"")</f>
        <v>Letecká osobní doprava</v>
      </c>
      <c r="X283">
        <f>IF(ISNUMBER(SEARCH('1Př1'!$A$34,N283)),MAX($M$2:M282)+1,0)</f>
        <v>281</v>
      </c>
      <c r="Y283" s="290" t="s">
        <v>1659</v>
      </c>
      <c r="Z283" t="str">
        <f>IFERROR(VLOOKUP(ROWS($Z$3:Z283),$X$3:$Y$718,2,0),"")</f>
        <v>Letecká osobní doprava</v>
      </c>
    </row>
    <row r="284" spans="13:26" ht="12.75">
      <c r="M284" s="289">
        <f>IF(ISNUMBER(SEARCH(ZAKL_DATA!$B$29,N284)),MAX($M$2:M283)+1,0)</f>
        <v>282</v>
      </c>
      <c r="N284" s="482" t="s">
        <v>1988</v>
      </c>
      <c r="O284" s="482" t="s">
        <v>3013</v>
      </c>
      <c r="Q284" s="291" t="str">
        <f>IFERROR(VLOOKUP(ROWS($Q$3:Q284),$M$3:$N$718,2,0),"")</f>
        <v>Pokrývačské práce</v>
      </c>
      <c r="R284">
        <f>IF(ISNUMBER(SEARCH('1Př1'!$A$32,N284)),MAX($M$2:M283)+1,0)</f>
        <v>282</v>
      </c>
      <c r="S284" s="290" t="s">
        <v>1660</v>
      </c>
      <c r="T284" t="str">
        <f>IFERROR(VLOOKUP(ROWS($T$3:T284),$R$3:$S$718,2,0),"")</f>
        <v>Letecká nákladní doprava a kosmická doprava</v>
      </c>
      <c r="U284">
        <f>IF(ISNUMBER(SEARCH('1Př1'!$A$33,N284)),MAX($M$2:M283)+1,0)</f>
        <v>282</v>
      </c>
      <c r="V284" s="290" t="s">
        <v>1660</v>
      </c>
      <c r="W284" t="str">
        <f>IFERROR(VLOOKUP(ROWS($W$3:W284),$U$3:$V$718,2,0),"")</f>
        <v>Letecká nákladní doprava a kosmická doprava</v>
      </c>
      <c r="X284">
        <f>IF(ISNUMBER(SEARCH('1Př1'!$A$34,N284)),MAX($M$2:M283)+1,0)</f>
        <v>282</v>
      </c>
      <c r="Y284" s="290" t="s">
        <v>1660</v>
      </c>
      <c r="Z284" t="str">
        <f>IFERROR(VLOOKUP(ROWS($Z$3:Z284),$X$3:$Y$718,2,0),"")</f>
        <v>Letecká nákladní doprava a kosmická doprava</v>
      </c>
    </row>
    <row r="285" spans="13:26" ht="25.5">
      <c r="M285" s="289">
        <f>IF(ISNUMBER(SEARCH(ZAKL_DATA!$B$29,N285)),MAX($M$2:M284)+1,0)</f>
        <v>283</v>
      </c>
      <c r="N285" s="482" t="s">
        <v>3014</v>
      </c>
      <c r="O285" s="482" t="s">
        <v>3015</v>
      </c>
      <c r="Q285" s="291" t="str">
        <f>IFERROR(VLOOKUP(ROWS($Q$3:Q285),$M$3:$N$718,2,0),"")</f>
        <v>Pomocné činnosti k pojišťování a penzijnímu financování j. n.</v>
      </c>
      <c r="R285">
        <f>IF(ISNUMBER(SEARCH('1Př1'!$A$32,N285)),MAX($M$2:M284)+1,0)</f>
        <v>283</v>
      </c>
      <c r="S285" s="290" t="s">
        <v>1661</v>
      </c>
      <c r="T285" t="str">
        <f>IFERROR(VLOOKUP(ROWS($T$3:T285),$R$3:$S$718,2,0),"")</f>
        <v>Skladování</v>
      </c>
      <c r="U285">
        <f>IF(ISNUMBER(SEARCH('1Př1'!$A$33,N285)),MAX($M$2:M284)+1,0)</f>
        <v>283</v>
      </c>
      <c r="V285" s="290" t="s">
        <v>1661</v>
      </c>
      <c r="W285" t="str">
        <f>IFERROR(VLOOKUP(ROWS($W$3:W285),$U$3:$V$718,2,0),"")</f>
        <v>Skladování</v>
      </c>
      <c r="X285">
        <f>IF(ISNUMBER(SEARCH('1Př1'!$A$34,N285)),MAX($M$2:M284)+1,0)</f>
        <v>283</v>
      </c>
      <c r="Y285" s="290" t="s">
        <v>1661</v>
      </c>
      <c r="Z285" t="str">
        <f>IFERROR(VLOOKUP(ROWS($Z$3:Z285),$X$3:$Y$718,2,0),"")</f>
        <v>Skladování</v>
      </c>
    </row>
    <row r="286" spans="13:26" ht="25.5">
      <c r="M286" s="289">
        <f>IF(ISNUMBER(SEARCH(ZAKL_DATA!$B$29,N286)),MAX($M$2:M285)+1,0)</f>
        <v>284</v>
      </c>
      <c r="N286" s="482" t="s">
        <v>3016</v>
      </c>
      <c r="O286" s="482" t="s">
        <v>3017</v>
      </c>
      <c r="Q286" s="291" t="str">
        <f>IFERROR(VLOOKUP(ROWS($Q$3:Q286),$M$3:$N$718,2,0),"")</f>
        <v>Poradenství v oblasti počítačů a správa počítačových systémů</v>
      </c>
      <c r="R286">
        <f>IF(ISNUMBER(SEARCH('1Př1'!$A$32,N286)),MAX($M$2:M285)+1,0)</f>
        <v>284</v>
      </c>
      <c r="S286" s="290" t="s">
        <v>1662</v>
      </c>
      <c r="T286" t="str">
        <f>IFERROR(VLOOKUP(ROWS($T$3:T286),$R$3:$S$718,2,0),"")</f>
        <v>Vedlejší činnosti v dopravě</v>
      </c>
      <c r="U286">
        <f>IF(ISNUMBER(SEARCH('1Př1'!$A$33,N286)),MAX($M$2:M285)+1,0)</f>
        <v>284</v>
      </c>
      <c r="V286" s="290" t="s">
        <v>1662</v>
      </c>
      <c r="W286" t="str">
        <f>IFERROR(VLOOKUP(ROWS($W$3:W286),$U$3:$V$718,2,0),"")</f>
        <v>Vedlejší činnosti v dopravě</v>
      </c>
      <c r="X286">
        <f>IF(ISNUMBER(SEARCH('1Př1'!$A$34,N286)),MAX($M$2:M285)+1,0)</f>
        <v>284</v>
      </c>
      <c r="Y286" s="290" t="s">
        <v>1662</v>
      </c>
      <c r="Z286" t="str">
        <f>IFERROR(VLOOKUP(ROWS($Z$3:Z286),$X$3:$Y$718,2,0),"")</f>
        <v>Vedlejší činnosti v dopravě</v>
      </c>
    </row>
    <row r="287" spans="13:26" ht="12.75">
      <c r="M287" s="289">
        <f>IF(ISNUMBER(SEARCH(ZAKL_DATA!$B$29,N287)),MAX($M$2:M286)+1,0)</f>
        <v>285</v>
      </c>
      <c r="N287" s="482" t="s">
        <v>3018</v>
      </c>
      <c r="O287" s="482" t="s">
        <v>3019</v>
      </c>
      <c r="Q287" s="291" t="str">
        <f>IFERROR(VLOOKUP(ROWS($Q$3:Q287),$M$3:$N$718,2,0),"")</f>
        <v>Poradenství v oblasti podnikání a řízení podniků</v>
      </c>
      <c r="R287">
        <f>IF(ISNUMBER(SEARCH('1Př1'!$A$32,N287)),MAX($M$2:M286)+1,0)</f>
        <v>285</v>
      </c>
      <c r="S287" s="290" t="s">
        <v>1663</v>
      </c>
      <c r="T287" t="str">
        <f>IFERROR(VLOOKUP(ROWS($T$3:T287),$R$3:$S$718,2,0),"")</f>
        <v>Základní poštovní služby poskytované na základě poštovní licence</v>
      </c>
      <c r="U287">
        <f>IF(ISNUMBER(SEARCH('1Př1'!$A$33,N287)),MAX($M$2:M286)+1,0)</f>
        <v>285</v>
      </c>
      <c r="V287" s="290" t="s">
        <v>1663</v>
      </c>
      <c r="W287" t="str">
        <f>IFERROR(VLOOKUP(ROWS($W$3:W287),$U$3:$V$718,2,0),"")</f>
        <v>Základní poštovní služby poskytované na základě poštovní licence</v>
      </c>
      <c r="X287">
        <f>IF(ISNUMBER(SEARCH('1Př1'!$A$34,N287)),MAX($M$2:M286)+1,0)</f>
        <v>285</v>
      </c>
      <c r="Y287" s="290" t="s">
        <v>1663</v>
      </c>
      <c r="Z287" t="str">
        <f>IFERROR(VLOOKUP(ROWS($Z$3:Z287),$X$3:$Y$718,2,0),"")</f>
        <v>Základní poštovní služby poskytované na základě poštovní licence</v>
      </c>
    </row>
    <row r="288" spans="13:26" ht="12.75">
      <c r="M288" s="289">
        <f>IF(ISNUMBER(SEARCH(ZAKL_DATA!$B$29,N288)),MAX($M$2:M287)+1,0)</f>
        <v>286</v>
      </c>
      <c r="N288" s="482" t="s">
        <v>3020</v>
      </c>
      <c r="O288" s="482" t="s">
        <v>3021</v>
      </c>
      <c r="Q288" s="291" t="str">
        <f>IFERROR(VLOOKUP(ROWS($Q$3:Q288),$M$3:$N$718,2,0),"")</f>
        <v>Pořádání kongresů a veletrhů</v>
      </c>
      <c r="R288">
        <f>IF(ISNUMBER(SEARCH('1Př1'!$A$32,N288)),MAX($M$2:M287)+1,0)</f>
        <v>286</v>
      </c>
      <c r="S288" s="290" t="s">
        <v>1664</v>
      </c>
      <c r="T288" t="str">
        <f>IFERROR(VLOOKUP(ROWS($T$3:T288),$R$3:$S$718,2,0),"")</f>
        <v>Ostatní poštovní a kurýrní činnosti</v>
      </c>
      <c r="U288">
        <f>IF(ISNUMBER(SEARCH('1Př1'!$A$33,N288)),MAX($M$2:M287)+1,0)</f>
        <v>286</v>
      </c>
      <c r="V288" s="290" t="s">
        <v>1664</v>
      </c>
      <c r="W288" t="str">
        <f>IFERROR(VLOOKUP(ROWS($W$3:W288),$U$3:$V$718,2,0),"")</f>
        <v>Ostatní poštovní a kurýrní činnosti</v>
      </c>
      <c r="X288">
        <f>IF(ISNUMBER(SEARCH('1Př1'!$A$34,N288)),MAX($M$2:M287)+1,0)</f>
        <v>286</v>
      </c>
      <c r="Y288" s="290" t="s">
        <v>1664</v>
      </c>
      <c r="Z288" t="str">
        <f>IFERROR(VLOOKUP(ROWS($Z$3:Z288),$X$3:$Y$718,2,0),"")</f>
        <v>Ostatní poštovní a kurýrní činnosti</v>
      </c>
    </row>
    <row r="289" spans="13:26" ht="25.5">
      <c r="M289" s="289">
        <f>IF(ISNUMBER(SEARCH(ZAKL_DATA!$B$29,N289)),MAX($M$2:M288)+1,0)</f>
        <v>287</v>
      </c>
      <c r="N289" s="482" t="s">
        <v>1675</v>
      </c>
      <c r="O289" s="482" t="s">
        <v>3022</v>
      </c>
      <c r="Q289" s="291" t="str">
        <f>IFERROR(VLOOKUP(ROWS($Q$3:Q289),$M$3:$N$718,2,0),"")</f>
        <v>Pořizování zvukových nahrávek a hudební vydavatelské činnosti</v>
      </c>
      <c r="R289">
        <f>IF(ISNUMBER(SEARCH('1Př1'!$A$32,N289)),MAX($M$2:M288)+1,0)</f>
        <v>287</v>
      </c>
      <c r="S289" s="290" t="s">
        <v>1665</v>
      </c>
      <c r="T289" t="str">
        <f>IFERROR(VLOOKUP(ROWS($T$3:T289),$R$3:$S$718,2,0),"")</f>
        <v>Ubytování v hotelích a podobných ubytovacích zařízeních</v>
      </c>
      <c r="U289">
        <f>IF(ISNUMBER(SEARCH('1Př1'!$A$33,N289)),MAX($M$2:M288)+1,0)</f>
        <v>287</v>
      </c>
      <c r="V289" s="290" t="s">
        <v>1665</v>
      </c>
      <c r="W289" t="str">
        <f>IFERROR(VLOOKUP(ROWS($W$3:W289),$U$3:$V$718,2,0),"")</f>
        <v>Ubytování v hotelích a podobných ubytovacích zařízeních</v>
      </c>
      <c r="X289">
        <f>IF(ISNUMBER(SEARCH('1Př1'!$A$34,N289)),MAX($M$2:M288)+1,0)</f>
        <v>287</v>
      </c>
      <c r="Y289" s="290" t="s">
        <v>1665</v>
      </c>
      <c r="Z289" t="str">
        <f>IFERROR(VLOOKUP(ROWS($Z$3:Z289),$X$3:$Y$718,2,0),"")</f>
        <v>Ubytování v hotelích a podobných ubytovacích zařízeních</v>
      </c>
    </row>
    <row r="290" spans="13:26" ht="25.5">
      <c r="M290" s="289">
        <f>IF(ISNUMBER(SEARCH(ZAKL_DATA!$B$29,N290)),MAX($M$2:M289)+1,0)</f>
        <v>288</v>
      </c>
      <c r="N290" s="482" t="s">
        <v>3023</v>
      </c>
      <c r="O290" s="482" t="s">
        <v>3024</v>
      </c>
      <c r="Q290" s="291" t="str">
        <f>IFERROR(VLOOKUP(ROWS($Q$3:Q290),$M$3:$N$718,2,0),"")</f>
        <v>Posklizňové činnosti a zpracování osiva pro účely množení</v>
      </c>
      <c r="R290">
        <f>IF(ISNUMBER(SEARCH('1Př1'!$A$32,N290)),MAX($M$2:M289)+1,0)</f>
        <v>288</v>
      </c>
      <c r="S290" s="290" t="s">
        <v>1666</v>
      </c>
      <c r="T290" t="str">
        <f>IFERROR(VLOOKUP(ROWS($T$3:T290),$R$3:$S$718,2,0),"")</f>
        <v>Rekreační a ostatní krátkodobé ubytování</v>
      </c>
      <c r="U290">
        <f>IF(ISNUMBER(SEARCH('1Př1'!$A$33,N290)),MAX($M$2:M289)+1,0)</f>
        <v>288</v>
      </c>
      <c r="V290" s="290" t="s">
        <v>1666</v>
      </c>
      <c r="W290" t="str">
        <f>IFERROR(VLOOKUP(ROWS($W$3:W290),$U$3:$V$718,2,0),"")</f>
        <v>Rekreační a ostatní krátkodobé ubytování</v>
      </c>
      <c r="X290">
        <f>IF(ISNUMBER(SEARCH('1Př1'!$A$34,N290)),MAX($M$2:M289)+1,0)</f>
        <v>288</v>
      </c>
      <c r="Y290" s="290" t="s">
        <v>1666</v>
      </c>
      <c r="Z290" t="str">
        <f>IFERROR(VLOOKUP(ROWS($Z$3:Z290),$X$3:$Y$718,2,0),"")</f>
        <v>Rekreační a ostatní krátkodobé ubytování</v>
      </c>
    </row>
    <row r="291" spans="13:26" ht="25.5">
      <c r="M291" s="289">
        <f>IF(ISNUMBER(SEARCH(ZAKL_DATA!$B$29,N291)),MAX($M$2:M290)+1,0)</f>
        <v>289</v>
      </c>
      <c r="N291" s="482" t="s">
        <v>3025</v>
      </c>
      <c r="O291" s="482" t="s">
        <v>3026</v>
      </c>
      <c r="Q291" s="291" t="str">
        <f>IFERROR(VLOOKUP(ROWS($Q$3:Q291),$M$3:$N$718,2,0),"")</f>
        <v>Poskytování jiných úvěrů společnostmi, které nepřijímají vklady</v>
      </c>
      <c r="R291">
        <f>IF(ISNUMBER(SEARCH('1Př1'!$A$32,N291)),MAX($M$2:M290)+1,0)</f>
        <v>289</v>
      </c>
      <c r="S291" s="290" t="s">
        <v>1667</v>
      </c>
      <c r="T291" t="str">
        <f>IFERROR(VLOOKUP(ROWS($T$3:T291),$R$3:$S$718,2,0),"")</f>
        <v>Kempy a tábořiště</v>
      </c>
      <c r="U291">
        <f>IF(ISNUMBER(SEARCH('1Př1'!$A$33,N291)),MAX($M$2:M290)+1,0)</f>
        <v>289</v>
      </c>
      <c r="V291" s="290" t="s">
        <v>1667</v>
      </c>
      <c r="W291" t="str">
        <f>IFERROR(VLOOKUP(ROWS($W$3:W291),$U$3:$V$718,2,0),"")</f>
        <v>Kempy a tábořiště</v>
      </c>
      <c r="X291">
        <f>IF(ISNUMBER(SEARCH('1Př1'!$A$34,N291)),MAX($M$2:M290)+1,0)</f>
        <v>289</v>
      </c>
      <c r="Y291" s="290" t="s">
        <v>1667</v>
      </c>
      <c r="Z291" t="str">
        <f>IFERROR(VLOOKUP(ROWS($Z$3:Z291),$X$3:$Y$718,2,0),"")</f>
        <v>Kempy a tábořiště</v>
      </c>
    </row>
    <row r="292" spans="13:26" ht="12.75">
      <c r="M292" s="289">
        <f>IF(ISNUMBER(SEARCH(ZAKL_DATA!$B$29,N292)),MAX($M$2:M291)+1,0)</f>
        <v>290</v>
      </c>
      <c r="N292" s="482" t="s">
        <v>3027</v>
      </c>
      <c r="O292" s="482" t="s">
        <v>3028</v>
      </c>
      <c r="Q292" s="291" t="str">
        <f>IFERROR(VLOOKUP(ROWS($Q$3:Q292),$M$3:$N$718,2,0),"")</f>
        <v>Poskytování osobních služeb v domácnostech</v>
      </c>
      <c r="R292">
        <f>IF(ISNUMBER(SEARCH('1Př1'!$A$32,N292)),MAX($M$2:M291)+1,0)</f>
        <v>290</v>
      </c>
      <c r="S292" s="290" t="s">
        <v>1668</v>
      </c>
      <c r="T292" t="str">
        <f>IFERROR(VLOOKUP(ROWS($T$3:T292),$R$3:$S$718,2,0),"")</f>
        <v>Ostatní ubytování</v>
      </c>
      <c r="U292">
        <f>IF(ISNUMBER(SEARCH('1Př1'!$A$33,N292)),MAX($M$2:M291)+1,0)</f>
        <v>290</v>
      </c>
      <c r="V292" s="290" t="s">
        <v>1668</v>
      </c>
      <c r="W292" t="str">
        <f>IFERROR(VLOOKUP(ROWS($W$3:W292),$U$3:$V$718,2,0),"")</f>
        <v>Ostatní ubytování</v>
      </c>
      <c r="X292">
        <f>IF(ISNUMBER(SEARCH('1Př1'!$A$34,N292)),MAX($M$2:M291)+1,0)</f>
        <v>290</v>
      </c>
      <c r="Y292" s="290" t="s">
        <v>1668</v>
      </c>
      <c r="Z292" t="str">
        <f>IFERROR(VLOOKUP(ROWS($Z$3:Z292),$X$3:$Y$718,2,0),"")</f>
        <v>Ostatní ubytování</v>
      </c>
    </row>
    <row r="293" spans="13:26" ht="12.75">
      <c r="M293" s="289">
        <f>IF(ISNUMBER(SEARCH(ZAKL_DATA!$B$29,N293)),MAX($M$2:M292)+1,0)</f>
        <v>291</v>
      </c>
      <c r="N293" s="482" t="s">
        <v>2144</v>
      </c>
      <c r="O293" s="482" t="s">
        <v>3029</v>
      </c>
      <c r="Q293" s="291" t="str">
        <f>IFERROR(VLOOKUP(ROWS($Q$3:Q293),$M$3:$N$718,2,0),"")</f>
        <v>Poskytování ostatních osobních služeb j. n.</v>
      </c>
      <c r="R293">
        <f>IF(ISNUMBER(SEARCH('1Př1'!$A$32,N293)),MAX($M$2:M292)+1,0)</f>
        <v>291</v>
      </c>
      <c r="S293" s="290" t="s">
        <v>1669</v>
      </c>
      <c r="T293" t="str">
        <f>IFERROR(VLOOKUP(ROWS($T$3:T293),$R$3:$S$718,2,0),"")</f>
        <v>Stravování v restauracích, u stánků a v mobilních zařízeních</v>
      </c>
      <c r="U293">
        <f>IF(ISNUMBER(SEARCH('1Př1'!$A$33,N293)),MAX($M$2:M292)+1,0)</f>
        <v>291</v>
      </c>
      <c r="V293" s="290" t="s">
        <v>1669</v>
      </c>
      <c r="W293" t="str">
        <f>IFERROR(VLOOKUP(ROWS($W$3:W293),$U$3:$V$718,2,0),"")</f>
        <v>Stravování v restauracích, u stánků a v mobilních zařízeních</v>
      </c>
      <c r="X293">
        <f>IF(ISNUMBER(SEARCH('1Př1'!$A$34,N293)),MAX($M$2:M292)+1,0)</f>
        <v>291</v>
      </c>
      <c r="Y293" s="290" t="s">
        <v>1669</v>
      </c>
      <c r="Z293" t="str">
        <f>IFERROR(VLOOKUP(ROWS($Z$3:Z293),$X$3:$Y$718,2,0),"")</f>
        <v>Stravování v restauracích, u stánků a v mobilních zařízeních</v>
      </c>
    </row>
    <row r="294" spans="13:26" ht="25.5">
      <c r="M294" s="289">
        <f>IF(ISNUMBER(SEARCH(ZAKL_DATA!$B$29,N294)),MAX($M$2:M293)+1,0)</f>
        <v>292</v>
      </c>
      <c r="N294" s="482" t="s">
        <v>3030</v>
      </c>
      <c r="O294" s="482" t="s">
        <v>3031</v>
      </c>
      <c r="Q294" s="291" t="str">
        <f>IFERROR(VLOOKUP(ROWS($Q$3:Q294),$M$3:$N$718,2,0),"")</f>
        <v>Poskytování počítačové infrastruktury, zpracování dat, hosting a související činnosti</v>
      </c>
      <c r="R294">
        <f>IF(ISNUMBER(SEARCH('1Př1'!$A$32,N294)),MAX($M$2:M293)+1,0)</f>
        <v>292</v>
      </c>
      <c r="S294" s="290" t="s">
        <v>1670</v>
      </c>
      <c r="T294" t="str">
        <f>IFERROR(VLOOKUP(ROWS($T$3:T294),$R$3:$S$718,2,0),"")</f>
        <v>Poskytování cateringových a ostatních stravovacích služeb</v>
      </c>
      <c r="U294">
        <f>IF(ISNUMBER(SEARCH('1Př1'!$A$33,N294)),MAX($M$2:M293)+1,0)</f>
        <v>292</v>
      </c>
      <c r="V294" s="290" t="s">
        <v>1670</v>
      </c>
      <c r="W294" t="str">
        <f>IFERROR(VLOOKUP(ROWS($W$3:W294),$U$3:$V$718,2,0),"")</f>
        <v>Poskytování cateringových a ostatních stravovacích služeb</v>
      </c>
      <c r="X294">
        <f>IF(ISNUMBER(SEARCH('1Př1'!$A$34,N294)),MAX($M$2:M293)+1,0)</f>
        <v>292</v>
      </c>
      <c r="Y294" s="290" t="s">
        <v>1670</v>
      </c>
      <c r="Z294" t="str">
        <f>IFERROR(VLOOKUP(ROWS($Z$3:Z294),$X$3:$Y$718,2,0),"")</f>
        <v>Poskytování cateringových a ostatních stravovacích služeb</v>
      </c>
    </row>
    <row r="295" spans="13:26" ht="25.5">
      <c r="M295" s="289">
        <f>IF(ISNUMBER(SEARCH(ZAKL_DATA!$B$29,N295)),MAX($M$2:M294)+1,0)</f>
        <v>293</v>
      </c>
      <c r="N295" s="482" t="s">
        <v>3032</v>
      </c>
      <c r="O295" s="482" t="s">
        <v>3033</v>
      </c>
      <c r="Q295" s="291" t="str">
        <f>IFERROR(VLOOKUP(ROWS($Q$3:Q295),$M$3:$N$718,2,0),"")</f>
        <v>Poskytování smluvních a ostatních stravovacích služeb</v>
      </c>
      <c r="R295">
        <f>IF(ISNUMBER(SEARCH('1Př1'!$A$32,N295)),MAX($M$2:M294)+1,0)</f>
        <v>293</v>
      </c>
      <c r="S295" s="290" t="s">
        <v>1671</v>
      </c>
      <c r="T295" t="str">
        <f>IFERROR(VLOOKUP(ROWS($T$3:T295),$R$3:$S$718,2,0),"")</f>
        <v>Pohostinství</v>
      </c>
      <c r="U295">
        <f>IF(ISNUMBER(SEARCH('1Př1'!$A$33,N295)),MAX($M$2:M294)+1,0)</f>
        <v>293</v>
      </c>
      <c r="V295" s="290" t="s">
        <v>1671</v>
      </c>
      <c r="W295" t="str">
        <f>IFERROR(VLOOKUP(ROWS($W$3:W295),$U$3:$V$718,2,0),"")</f>
        <v>Pohostinství</v>
      </c>
      <c r="X295">
        <f>IF(ISNUMBER(SEARCH('1Př1'!$A$34,N295)),MAX($M$2:M294)+1,0)</f>
        <v>293</v>
      </c>
      <c r="Y295" s="290" t="s">
        <v>1671</v>
      </c>
      <c r="Z295" t="str">
        <f>IFERROR(VLOOKUP(ROWS($Z$3:Z295),$X$3:$Y$718,2,0),"")</f>
        <v>Pohostinství</v>
      </c>
    </row>
    <row r="296" spans="13:26" ht="25.5">
      <c r="M296" s="289">
        <f>IF(ISNUMBER(SEARCH(ZAKL_DATA!$B$29,N296)),MAX($M$2:M295)+1,0)</f>
        <v>294</v>
      </c>
      <c r="N296" s="482" t="s">
        <v>3034</v>
      </c>
      <c r="O296" s="482" t="s">
        <v>3035</v>
      </c>
      <c r="Q296" s="291" t="str">
        <f>IFERROR(VLOOKUP(ROWS($Q$3:Q296),$M$3:$N$718,2,0),"")</f>
        <v>Poskytování spotřebitelských úvěrů společnostmi, které nepřijímají vklady</v>
      </c>
      <c r="R296">
        <f>IF(ISNUMBER(SEARCH('1Př1'!$A$32,N296)),MAX($M$2:M295)+1,0)</f>
        <v>294</v>
      </c>
      <c r="S296" s="290" t="s">
        <v>1672</v>
      </c>
      <c r="T296" t="str">
        <f>IFERROR(VLOOKUP(ROWS($T$3:T296),$R$3:$S$718,2,0),"")</f>
        <v>Vydávání knih, periodických publikací a ostatní vydavatelské činnosti</v>
      </c>
      <c r="U296">
        <f>IF(ISNUMBER(SEARCH('1Př1'!$A$33,N296)),MAX($M$2:M295)+1,0)</f>
        <v>294</v>
      </c>
      <c r="V296" s="290" t="s">
        <v>1672</v>
      </c>
      <c r="W296" t="str">
        <f>IFERROR(VLOOKUP(ROWS($W$3:W296),$U$3:$V$718,2,0),"")</f>
        <v>Vydávání knih, periodických publikací a ostatní vydavatelské činnosti</v>
      </c>
      <c r="X296">
        <f>IF(ISNUMBER(SEARCH('1Př1'!$A$34,N296)),MAX($M$2:M295)+1,0)</f>
        <v>294</v>
      </c>
      <c r="Y296" s="290" t="s">
        <v>1672</v>
      </c>
      <c r="Z296" t="str">
        <f>IFERROR(VLOOKUP(ROWS($Z$3:Z296),$X$3:$Y$718,2,0),"")</f>
        <v>Vydávání knih, periodických publikací a ostatní vydavatelské činnosti</v>
      </c>
    </row>
    <row r="297" spans="13:26" ht="25.5">
      <c r="M297" s="289">
        <f>IF(ISNUMBER(SEARCH(ZAKL_DATA!$B$29,N297)),MAX($M$2:M296)+1,0)</f>
        <v>295</v>
      </c>
      <c r="N297" s="482" t="s">
        <v>3036</v>
      </c>
      <c r="O297" s="482" t="s">
        <v>3037</v>
      </c>
      <c r="Q297" s="291" t="str">
        <f>IFERROR(VLOOKUP(ROWS($Q$3:Q297),$M$3:$N$718,2,0),"")</f>
        <v>Poskytování stravování u stánků a mobilních zařízení</v>
      </c>
      <c r="R297">
        <f>IF(ISNUMBER(SEARCH('1Př1'!$A$32,N297)),MAX($M$2:M296)+1,0)</f>
        <v>295</v>
      </c>
      <c r="S297" s="290" t="s">
        <v>1673</v>
      </c>
      <c r="T297" t="str">
        <f>IFERROR(VLOOKUP(ROWS($T$3:T297),$R$3:$S$718,2,0),"")</f>
        <v>Vydávání softwaru</v>
      </c>
      <c r="U297">
        <f>IF(ISNUMBER(SEARCH('1Př1'!$A$33,N297)),MAX($M$2:M296)+1,0)</f>
        <v>295</v>
      </c>
      <c r="V297" s="290" t="s">
        <v>1673</v>
      </c>
      <c r="W297" t="str">
        <f>IFERROR(VLOOKUP(ROWS($W$3:W297),$U$3:$V$718,2,0),"")</f>
        <v>Vydávání softwaru</v>
      </c>
      <c r="X297">
        <f>IF(ISNUMBER(SEARCH('1Př1'!$A$34,N297)),MAX($M$2:M296)+1,0)</f>
        <v>295</v>
      </c>
      <c r="Y297" s="290" t="s">
        <v>1673</v>
      </c>
      <c r="Z297" t="str">
        <f>IFERROR(VLOOKUP(ROWS($Z$3:Z297),$X$3:$Y$718,2,0),"")</f>
        <v>Vydávání softwaru</v>
      </c>
    </row>
    <row r="298" spans="13:26" ht="12.75">
      <c r="M298" s="289">
        <f>IF(ISNUMBER(SEARCH(ZAKL_DATA!$B$29,N298)),MAX($M$2:M297)+1,0)</f>
        <v>296</v>
      </c>
      <c r="N298" s="482" t="s">
        <v>3038</v>
      </c>
      <c r="O298" s="482" t="s">
        <v>3039</v>
      </c>
      <c r="Q298" s="291" t="str">
        <f>IFERROR(VLOOKUP(ROWS($Q$3:Q298),$M$3:$N$718,2,0),"")</f>
        <v>Poskytování stravování v restauracích</v>
      </c>
      <c r="R298">
        <f>IF(ISNUMBER(SEARCH('1Př1'!$A$32,N298)),MAX($M$2:M297)+1,0)</f>
        <v>296</v>
      </c>
      <c r="S298" s="290" t="s">
        <v>1674</v>
      </c>
      <c r="T298" t="str">
        <f>IFERROR(VLOOKUP(ROWS($T$3:T298),$R$3:$S$718,2,0),"")</f>
        <v>Činnosti v oblasti filmů, videozáznamů a televizních programů</v>
      </c>
      <c r="U298">
        <f>IF(ISNUMBER(SEARCH('1Př1'!$A$33,N298)),MAX($M$2:M297)+1,0)</f>
        <v>296</v>
      </c>
      <c r="V298" s="290" t="s">
        <v>1674</v>
      </c>
      <c r="W298" t="str">
        <f>IFERROR(VLOOKUP(ROWS($W$3:W298),$U$3:$V$718,2,0),"")</f>
        <v>Činnosti v oblasti filmů, videozáznamů a televizních programů</v>
      </c>
      <c r="X298">
        <f>IF(ISNUMBER(SEARCH('1Př1'!$A$34,N298)),MAX($M$2:M297)+1,0)</f>
        <v>296</v>
      </c>
      <c r="Y298" s="290" t="s">
        <v>1674</v>
      </c>
      <c r="Z298" t="str">
        <f>IFERROR(VLOOKUP(ROWS($Z$3:Z298),$X$3:$Y$718,2,0),"")</f>
        <v>Činnosti v oblasti filmů, videozáznamů a televizních programů</v>
      </c>
    </row>
    <row r="299" spans="13:26" ht="25.5">
      <c r="M299" s="289">
        <f>IF(ISNUMBER(SEARCH(ZAKL_DATA!$B$29,N299)),MAX($M$2:M298)+1,0)</f>
        <v>297</v>
      </c>
      <c r="N299" s="482" t="s">
        <v>3040</v>
      </c>
      <c r="O299" s="482" t="s">
        <v>3041</v>
      </c>
      <c r="Q299" s="291" t="str">
        <f>IFERROR(VLOOKUP(ROWS($Q$3:Q299),$M$3:$N$718,2,0),"")</f>
        <v>Postprodukce filmů, videozáznamů a televizních pořadů</v>
      </c>
      <c r="R299">
        <f>IF(ISNUMBER(SEARCH('1Př1'!$A$32,N299)),MAX($M$2:M298)+1,0)</f>
        <v>297</v>
      </c>
      <c r="S299" s="290" t="s">
        <v>1675</v>
      </c>
      <c r="T299" t="str">
        <f>IFERROR(VLOOKUP(ROWS($T$3:T299),$R$3:$S$718,2,0),"")</f>
        <v>Pořizování zvukových nahrávek a hudební vydavatelské činnosti</v>
      </c>
      <c r="U299">
        <f>IF(ISNUMBER(SEARCH('1Př1'!$A$33,N299)),MAX($M$2:M298)+1,0)</f>
        <v>297</v>
      </c>
      <c r="V299" s="290" t="s">
        <v>1675</v>
      </c>
      <c r="W299" t="str">
        <f>IFERROR(VLOOKUP(ROWS($W$3:W299),$U$3:$V$718,2,0),"")</f>
        <v>Pořizování zvukových nahrávek a hudební vydavatelské činnosti</v>
      </c>
      <c r="X299">
        <f>IF(ISNUMBER(SEARCH('1Př1'!$A$34,N299)),MAX($M$2:M298)+1,0)</f>
        <v>297</v>
      </c>
      <c r="Y299" s="290" t="s">
        <v>1675</v>
      </c>
      <c r="Z299" t="str">
        <f>IFERROR(VLOOKUP(ROWS($Z$3:Z299),$X$3:$Y$718,2,0),"")</f>
        <v>Pořizování zvukových nahrávek a hudební vydavatelské činnosti</v>
      </c>
    </row>
    <row r="300" spans="13:26" ht="12.75">
      <c r="M300" s="289">
        <f>IF(ISNUMBER(SEARCH(ZAKL_DATA!$B$29,N300)),MAX($M$2:M299)+1,0)</f>
        <v>298</v>
      </c>
      <c r="N300" s="482" t="s">
        <v>3042</v>
      </c>
      <c r="O300" s="482" t="s">
        <v>3043</v>
      </c>
      <c r="Q300" s="291" t="str">
        <f>IFERROR(VLOOKUP(ROWS($Q$3:Q300),$M$3:$N$718,2,0),"")</f>
        <v>Postsekundární neterciární vzdělávání</v>
      </c>
      <c r="R300">
        <f>IF(ISNUMBER(SEARCH('1Př1'!$A$32,N300)),MAX($M$2:M299)+1,0)</f>
        <v>298</v>
      </c>
      <c r="S300" s="290" t="s">
        <v>1676</v>
      </c>
      <c r="T300" t="str">
        <f>IFERROR(VLOOKUP(ROWS($T$3:T300),$R$3:$S$718,2,0),"")</f>
        <v>Rozhlasové vysílání</v>
      </c>
      <c r="U300">
        <f>IF(ISNUMBER(SEARCH('1Př1'!$A$33,N300)),MAX($M$2:M299)+1,0)</f>
        <v>298</v>
      </c>
      <c r="V300" s="290" t="s">
        <v>1676</v>
      </c>
      <c r="W300" t="str">
        <f>IFERROR(VLOOKUP(ROWS($W$3:W300),$U$3:$V$718,2,0),"")</f>
        <v>Rozhlasové vysílání</v>
      </c>
      <c r="X300">
        <f>IF(ISNUMBER(SEARCH('1Př1'!$A$34,N300)),MAX($M$2:M299)+1,0)</f>
        <v>298</v>
      </c>
      <c r="Y300" s="290" t="s">
        <v>1676</v>
      </c>
      <c r="Z300" t="str">
        <f>IFERROR(VLOOKUP(ROWS($Z$3:Z300),$X$3:$Y$718,2,0),"")</f>
        <v>Rozhlasové vysílání</v>
      </c>
    </row>
    <row r="301" spans="13:26" ht="12.75">
      <c r="M301" s="289">
        <f>IF(ISNUMBER(SEARCH(ZAKL_DATA!$B$29,N301)),MAX($M$2:M300)+1,0)</f>
        <v>299</v>
      </c>
      <c r="N301" s="482" t="s">
        <v>1654</v>
      </c>
      <c r="O301" s="482" t="s">
        <v>3044</v>
      </c>
      <c r="Q301" s="291" t="str">
        <f>IFERROR(VLOOKUP(ROWS($Q$3:Q301),$M$3:$N$718,2,0),"")</f>
        <v>Potrubní doprava</v>
      </c>
      <c r="R301">
        <f>IF(ISNUMBER(SEARCH('1Př1'!$A$32,N301)),MAX($M$2:M300)+1,0)</f>
        <v>299</v>
      </c>
      <c r="S301" s="290" t="s">
        <v>1677</v>
      </c>
      <c r="T301" t="str">
        <f>IFERROR(VLOOKUP(ROWS($T$3:T301),$R$3:$S$718,2,0),"")</f>
        <v>Tvorba televizních programů a televizní vysílání</v>
      </c>
      <c r="U301">
        <f>IF(ISNUMBER(SEARCH('1Př1'!$A$33,N301)),MAX($M$2:M300)+1,0)</f>
        <v>299</v>
      </c>
      <c r="V301" s="290" t="s">
        <v>1677</v>
      </c>
      <c r="W301" t="str">
        <f>IFERROR(VLOOKUP(ROWS($W$3:W301),$U$3:$V$718,2,0),"")</f>
        <v>Tvorba televizních programů a televizní vysílání</v>
      </c>
      <c r="X301">
        <f>IF(ISNUMBER(SEARCH('1Př1'!$A$34,N301)),MAX($M$2:M300)+1,0)</f>
        <v>299</v>
      </c>
      <c r="Y301" s="290" t="s">
        <v>1677</v>
      </c>
      <c r="Z301" t="str">
        <f>IFERROR(VLOOKUP(ROWS($Z$3:Z301),$X$3:$Y$718,2,0),"")</f>
        <v>Tvorba televizních programů a televizní vysílání</v>
      </c>
    </row>
    <row r="302" spans="13:26" ht="12.75">
      <c r="M302" s="289">
        <f>IF(ISNUMBER(SEARCH(ZAKL_DATA!$B$29,N302)),MAX($M$2:M301)+1,0)</f>
        <v>300</v>
      </c>
      <c r="N302" s="482" t="s">
        <v>3045</v>
      </c>
      <c r="O302" s="482" t="s">
        <v>3046</v>
      </c>
      <c r="Q302" s="291" t="str">
        <f>IFERROR(VLOOKUP(ROWS($Q$3:Q302),$M$3:$N$718,2,0),"")</f>
        <v>Povlakování kovů</v>
      </c>
      <c r="R302">
        <f>IF(ISNUMBER(SEARCH('1Př1'!$A$32,N302)),MAX($M$2:M301)+1,0)</f>
        <v>300</v>
      </c>
      <c r="S302" s="290" t="s">
        <v>1678</v>
      </c>
      <c r="T302" t="str">
        <f>IFERROR(VLOOKUP(ROWS($T$3:T302),$R$3:$S$718,2,0),"")</f>
        <v>Činnosti související s pevnou telekomunikační sítí</v>
      </c>
      <c r="U302">
        <f>IF(ISNUMBER(SEARCH('1Př1'!$A$33,N302)),MAX($M$2:M301)+1,0)</f>
        <v>300</v>
      </c>
      <c r="V302" s="290" t="s">
        <v>1678</v>
      </c>
      <c r="W302" t="str">
        <f>IFERROR(VLOOKUP(ROWS($W$3:W302),$U$3:$V$718,2,0),"")</f>
        <v>Činnosti související s pevnou telekomunikační sítí</v>
      </c>
      <c r="X302">
        <f>IF(ISNUMBER(SEARCH('1Př1'!$A$34,N302)),MAX($M$2:M301)+1,0)</f>
        <v>300</v>
      </c>
      <c r="Y302" s="290" t="s">
        <v>1678</v>
      </c>
      <c r="Z302" t="str">
        <f>IFERROR(VLOOKUP(ROWS($Z$3:Z302),$X$3:$Y$718,2,0),"")</f>
        <v>Činnosti související s pevnou telekomunikační sítí</v>
      </c>
    </row>
    <row r="303" spans="13:26" ht="25.5">
      <c r="M303" s="289">
        <f>IF(ISNUMBER(SEARCH(ZAKL_DATA!$B$29,N303)),MAX($M$2:M302)+1,0)</f>
        <v>301</v>
      </c>
      <c r="N303" s="482" t="s">
        <v>3047</v>
      </c>
      <c r="O303" s="482" t="s">
        <v>3048</v>
      </c>
      <c r="Q303" s="291" t="str">
        <f>IFERROR(VLOOKUP(ROWS($Q$3:Q303),$M$3:$N$718,2,0),"")</f>
        <v>Praní a čištění textilních a kožešinových výrobků pro jiné oblasti podnikání</v>
      </c>
      <c r="R303">
        <f>IF(ISNUMBER(SEARCH('1Př1'!$A$32,N303)),MAX($M$2:M302)+1,0)</f>
        <v>301</v>
      </c>
      <c r="S303" s="290" t="s">
        <v>1679</v>
      </c>
      <c r="T303" t="str">
        <f>IFERROR(VLOOKUP(ROWS($T$3:T303),$R$3:$S$718,2,0),"")</f>
        <v>Činnosti související s bezdrátovou telekomunikační sítí</v>
      </c>
      <c r="U303">
        <f>IF(ISNUMBER(SEARCH('1Př1'!$A$33,N303)),MAX($M$2:M302)+1,0)</f>
        <v>301</v>
      </c>
      <c r="V303" s="290" t="s">
        <v>1679</v>
      </c>
      <c r="W303" t="str">
        <f>IFERROR(VLOOKUP(ROWS($W$3:W303),$U$3:$V$718,2,0),"")</f>
        <v>Činnosti související s bezdrátovou telekomunikační sítí</v>
      </c>
      <c r="X303">
        <f>IF(ISNUMBER(SEARCH('1Př1'!$A$34,N303)),MAX($M$2:M302)+1,0)</f>
        <v>301</v>
      </c>
      <c r="Y303" s="290" t="s">
        <v>1679</v>
      </c>
      <c r="Z303" t="str">
        <f>IFERROR(VLOOKUP(ROWS($Z$3:Z303),$X$3:$Y$718,2,0),"")</f>
        <v>Činnosti související s bezdrátovou telekomunikační sítí</v>
      </c>
    </row>
    <row r="304" spans="13:26" ht="25.5">
      <c r="M304" s="289">
        <f>IF(ISNUMBER(SEARCH(ZAKL_DATA!$B$29,N304)),MAX($M$2:M303)+1,0)</f>
        <v>302</v>
      </c>
      <c r="N304" s="482" t="s">
        <v>3049</v>
      </c>
      <c r="O304" s="482" t="s">
        <v>3050</v>
      </c>
      <c r="Q304" s="291" t="str">
        <f>IFERROR(VLOOKUP(ROWS($Q$3:Q304),$M$3:$N$718,2,0),"")</f>
        <v>Praní a čištění textilních a kožešinových výrobků pro oblast ubytování a stravování</v>
      </c>
      <c r="R304">
        <f>IF(ISNUMBER(SEARCH('1Př1'!$A$32,N304)),MAX($M$2:M303)+1,0)</f>
        <v>302</v>
      </c>
      <c r="S304" s="290" t="s">
        <v>1680</v>
      </c>
      <c r="T304" t="str">
        <f>IFERROR(VLOOKUP(ROWS($T$3:T304),$R$3:$S$718,2,0),"")</f>
        <v>Činnosti související se satelitní telekomunikační sítí</v>
      </c>
      <c r="U304">
        <f>IF(ISNUMBER(SEARCH('1Př1'!$A$33,N304)),MAX($M$2:M303)+1,0)</f>
        <v>302</v>
      </c>
      <c r="V304" s="290" t="s">
        <v>1680</v>
      </c>
      <c r="W304" t="str">
        <f>IFERROR(VLOOKUP(ROWS($W$3:W304),$U$3:$V$718,2,0),"")</f>
        <v>Činnosti související se satelitní telekomunikační sítí</v>
      </c>
      <c r="X304">
        <f>IF(ISNUMBER(SEARCH('1Př1'!$A$34,N304)),MAX($M$2:M303)+1,0)</f>
        <v>302</v>
      </c>
      <c r="Y304" s="290" t="s">
        <v>1680</v>
      </c>
      <c r="Z304" t="str">
        <f>IFERROR(VLOOKUP(ROWS($Z$3:Z304),$X$3:$Y$718,2,0),"")</f>
        <v>Činnosti související se satelitní telekomunikační sítí</v>
      </c>
    </row>
    <row r="305" spans="13:26" ht="25.5">
      <c r="M305" s="289">
        <f>IF(ISNUMBER(SEARCH(ZAKL_DATA!$B$29,N305)),MAX($M$2:M304)+1,0)</f>
        <v>303</v>
      </c>
      <c r="N305" s="482" t="s">
        <v>3051</v>
      </c>
      <c r="O305" s="482" t="s">
        <v>3052</v>
      </c>
      <c r="Q305" s="291" t="str">
        <f>IFERROR(VLOOKUP(ROWS($Q$3:Q305),$M$3:$N$718,2,0),"")</f>
        <v>Praní a čištění textilních a kožešinových výrobků pro oblast zdravotnictví</v>
      </c>
      <c r="R305">
        <f>IF(ISNUMBER(SEARCH('1Př1'!$A$32,N305)),MAX($M$2:M304)+1,0)</f>
        <v>303</v>
      </c>
      <c r="S305" s="290" t="s">
        <v>1681</v>
      </c>
      <c r="T305" t="str">
        <f>IFERROR(VLOOKUP(ROWS($T$3:T305),$R$3:$S$718,2,0),"")</f>
        <v>Ostatní telekomunikační činnosti</v>
      </c>
      <c r="U305">
        <f>IF(ISNUMBER(SEARCH('1Př1'!$A$33,N305)),MAX($M$2:M304)+1,0)</f>
        <v>303</v>
      </c>
      <c r="V305" s="290" t="s">
        <v>1681</v>
      </c>
      <c r="W305" t="str">
        <f>IFERROR(VLOOKUP(ROWS($W$3:W305),$U$3:$V$718,2,0),"")</f>
        <v>Ostatní telekomunikační činnosti</v>
      </c>
      <c r="X305">
        <f>IF(ISNUMBER(SEARCH('1Př1'!$A$34,N305)),MAX($M$2:M304)+1,0)</f>
        <v>303</v>
      </c>
      <c r="Y305" s="290" t="s">
        <v>1681</v>
      </c>
      <c r="Z305" t="str">
        <f>IFERROR(VLOOKUP(ROWS($Z$3:Z305),$X$3:$Y$718,2,0),"")</f>
        <v>Ostatní telekomunikační činnosti</v>
      </c>
    </row>
    <row r="306" spans="13:26" ht="25.5">
      <c r="M306" s="289">
        <f>IF(ISNUMBER(SEARCH(ZAKL_DATA!$B$29,N306)),MAX($M$2:M305)+1,0)</f>
        <v>304</v>
      </c>
      <c r="N306" s="482" t="s">
        <v>3053</v>
      </c>
      <c r="O306" s="482" t="s">
        <v>3054</v>
      </c>
      <c r="Q306" s="291" t="str">
        <f>IFERROR(VLOOKUP(ROWS($Q$3:Q306),$M$3:$N$718,2,0),"")</f>
        <v>Praní a čištění textilních a kožešinových výrobků pro veřejnost</v>
      </c>
      <c r="R306">
        <f>IF(ISNUMBER(SEARCH('1Př1'!$A$32,N306)),MAX($M$2:M305)+1,0)</f>
        <v>304</v>
      </c>
      <c r="S306" s="290" t="s">
        <v>1682</v>
      </c>
      <c r="T306" t="str">
        <f>IFERROR(VLOOKUP(ROWS($T$3:T306),$R$3:$S$718,2,0),"")</f>
        <v>Činnosti souvis.se zprac.dat a hostingem;činnosti souvis.s web.portály</v>
      </c>
      <c r="U306">
        <f>IF(ISNUMBER(SEARCH('1Př1'!$A$33,N306)),MAX($M$2:M305)+1,0)</f>
        <v>304</v>
      </c>
      <c r="V306" s="290" t="s">
        <v>1682</v>
      </c>
      <c r="W306" t="str">
        <f>IFERROR(VLOOKUP(ROWS($W$3:W306),$U$3:$V$718,2,0),"")</f>
        <v>Činnosti souvis.se zprac.dat a hostingem;činnosti souvis.s web.portály</v>
      </c>
      <c r="X306">
        <f>IF(ISNUMBER(SEARCH('1Př1'!$A$34,N306)),MAX($M$2:M305)+1,0)</f>
        <v>304</v>
      </c>
      <c r="Y306" s="290" t="s">
        <v>1682</v>
      </c>
      <c r="Z306" t="str">
        <f>IFERROR(VLOOKUP(ROWS($Z$3:Z306),$X$3:$Y$718,2,0),"")</f>
        <v>Činnosti souvis.se zprac.dat a hostingem;činnosti souvis.s web.portály</v>
      </c>
    </row>
    <row r="307" spans="13:26" ht="12.75">
      <c r="M307" s="289">
        <f>IF(ISNUMBER(SEARCH(ZAKL_DATA!$B$29,N307)),MAX($M$2:M306)+1,0)</f>
        <v>305</v>
      </c>
      <c r="N307" s="482" t="s">
        <v>3055</v>
      </c>
      <c r="O307" s="482" t="s">
        <v>3056</v>
      </c>
      <c r="Q307" s="291" t="str">
        <f>IFERROR(VLOOKUP(ROWS($Q$3:Q307),$M$3:$N$718,2,0),"")</f>
        <v>Pravidelná silniční osobní doprava</v>
      </c>
      <c r="R307">
        <f>IF(ISNUMBER(SEARCH('1Př1'!$A$32,N307)),MAX($M$2:M306)+1,0)</f>
        <v>305</v>
      </c>
      <c r="S307" s="290" t="s">
        <v>1683</v>
      </c>
      <c r="T307" t="str">
        <f>IFERROR(VLOOKUP(ROWS($T$3:T307),$R$3:$S$718,2,0),"")</f>
        <v>Ostatní informační činnosti</v>
      </c>
      <c r="U307">
        <f>IF(ISNUMBER(SEARCH('1Př1'!$A$33,N307)),MAX($M$2:M306)+1,0)</f>
        <v>305</v>
      </c>
      <c r="V307" s="290" t="s">
        <v>1683</v>
      </c>
      <c r="W307" t="str">
        <f>IFERROR(VLOOKUP(ROWS($W$3:W307),$U$3:$V$718,2,0),"")</f>
        <v>Ostatní informační činnosti</v>
      </c>
      <c r="X307">
        <f>IF(ISNUMBER(SEARCH('1Př1'!$A$34,N307)),MAX($M$2:M306)+1,0)</f>
        <v>305</v>
      </c>
      <c r="Y307" s="290" t="s">
        <v>1683</v>
      </c>
      <c r="Z307" t="str">
        <f>IFERROR(VLOOKUP(ROWS($Z$3:Z307),$X$3:$Y$718,2,0),"")</f>
        <v>Ostatní informační činnosti</v>
      </c>
    </row>
    <row r="308" spans="13:26" ht="12.75">
      <c r="M308" s="289">
        <f>IF(ISNUMBER(SEARCH(ZAKL_DATA!$B$29,N308)),MAX($M$2:M307)+1,0)</f>
        <v>306</v>
      </c>
      <c r="N308" s="482" t="s">
        <v>1696</v>
      </c>
      <c r="O308" s="482" t="s">
        <v>3057</v>
      </c>
      <c r="Q308" s="291" t="str">
        <f>IFERROR(VLOOKUP(ROWS($Q$3:Q308),$M$3:$N$718,2,0),"")</f>
        <v>Právní činnosti</v>
      </c>
      <c r="R308">
        <f>IF(ISNUMBER(SEARCH('1Př1'!$A$32,N308)),MAX($M$2:M307)+1,0)</f>
        <v>306</v>
      </c>
      <c r="S308" s="290" t="s">
        <v>1684</v>
      </c>
      <c r="T308" t="str">
        <f>IFERROR(VLOOKUP(ROWS($T$3:T308),$R$3:$S$718,2,0),"")</f>
        <v>Peněžní zprostředkování</v>
      </c>
      <c r="U308">
        <f>IF(ISNUMBER(SEARCH('1Př1'!$A$33,N308)),MAX($M$2:M307)+1,0)</f>
        <v>306</v>
      </c>
      <c r="V308" s="290" t="s">
        <v>1684</v>
      </c>
      <c r="W308" t="str">
        <f>IFERROR(VLOOKUP(ROWS($W$3:W308),$U$3:$V$718,2,0),"")</f>
        <v>Peněžní zprostředkování</v>
      </c>
      <c r="X308">
        <f>IF(ISNUMBER(SEARCH('1Př1'!$A$34,N308)),MAX($M$2:M307)+1,0)</f>
        <v>306</v>
      </c>
      <c r="Y308" s="290" t="s">
        <v>1684</v>
      </c>
      <c r="Z308" t="str">
        <f>IFERROR(VLOOKUP(ROWS($Z$3:Z308),$X$3:$Y$718,2,0),"")</f>
        <v>Peněžní zprostředkování</v>
      </c>
    </row>
    <row r="309" spans="13:26" ht="12.75">
      <c r="M309" s="289">
        <f>IF(ISNUMBER(SEARCH(ZAKL_DATA!$B$29,N309)),MAX($M$2:M308)+1,0)</f>
        <v>307</v>
      </c>
      <c r="N309" s="482" t="s">
        <v>3058</v>
      </c>
      <c r="O309" s="482" t="s">
        <v>3059</v>
      </c>
      <c r="Q309" s="291" t="str">
        <f>IFERROR(VLOOKUP(ROWS($Q$3:Q309),$M$3:$N$718,2,0),"")</f>
        <v>Preprimární vzdělávání</v>
      </c>
      <c r="R309">
        <f>IF(ISNUMBER(SEARCH('1Př1'!$A$32,N309)),MAX($M$2:M308)+1,0)</f>
        <v>307</v>
      </c>
      <c r="S309" s="290" t="s">
        <v>1685</v>
      </c>
      <c r="T309" t="str">
        <f>IFERROR(VLOOKUP(ROWS($T$3:T309),$R$3:$S$718,2,0),"")</f>
        <v>Činnosti holdingových společností</v>
      </c>
      <c r="U309">
        <f>IF(ISNUMBER(SEARCH('1Př1'!$A$33,N309)),MAX($M$2:M308)+1,0)</f>
        <v>307</v>
      </c>
      <c r="V309" s="290" t="s">
        <v>1685</v>
      </c>
      <c r="W309" t="str">
        <f>IFERROR(VLOOKUP(ROWS($W$3:W309),$U$3:$V$718,2,0),"")</f>
        <v>Činnosti holdingových společností</v>
      </c>
      <c r="X309">
        <f>IF(ISNUMBER(SEARCH('1Př1'!$A$34,N309)),MAX($M$2:M308)+1,0)</f>
        <v>307</v>
      </c>
      <c r="Y309" s="290" t="s">
        <v>1685</v>
      </c>
      <c r="Z309" t="str">
        <f>IFERROR(VLOOKUP(ROWS($Z$3:Z309),$X$3:$Y$718,2,0),"")</f>
        <v>Činnosti holdingových společností</v>
      </c>
    </row>
    <row r="310" spans="13:26" ht="12.75">
      <c r="M310" s="289">
        <f>IF(ISNUMBER(SEARCH(ZAKL_DATA!$B$29,N310)),MAX($M$2:M309)+1,0)</f>
        <v>308</v>
      </c>
      <c r="N310" s="482" t="s">
        <v>1737</v>
      </c>
      <c r="O310" s="482" t="s">
        <v>3060</v>
      </c>
      <c r="Q310" s="291" t="str">
        <f>IFERROR(VLOOKUP(ROWS($Q$3:Q310),$M$3:$N$718,2,0),"")</f>
        <v>Primární vzdělávání</v>
      </c>
      <c r="R310">
        <f>IF(ISNUMBER(SEARCH('1Př1'!$A$32,N310)),MAX($M$2:M309)+1,0)</f>
        <v>308</v>
      </c>
      <c r="S310" s="290" t="s">
        <v>1686</v>
      </c>
      <c r="T310" t="str">
        <f>IFERROR(VLOOKUP(ROWS($T$3:T310),$R$3:$S$718,2,0),"")</f>
        <v>Činnosti trustů, fondů a podobných finančních subjektů</v>
      </c>
      <c r="U310">
        <f>IF(ISNUMBER(SEARCH('1Př1'!$A$33,N310)),MAX($M$2:M309)+1,0)</f>
        <v>308</v>
      </c>
      <c r="V310" s="290" t="s">
        <v>1686</v>
      </c>
      <c r="W310" t="str">
        <f>IFERROR(VLOOKUP(ROWS($W$3:W310),$U$3:$V$718,2,0),"")</f>
        <v>Činnosti trustů, fondů a podobných finančních subjektů</v>
      </c>
      <c r="X310">
        <f>IF(ISNUMBER(SEARCH('1Př1'!$A$34,N310)),MAX($M$2:M309)+1,0)</f>
        <v>308</v>
      </c>
      <c r="Y310" s="290" t="s">
        <v>1686</v>
      </c>
      <c r="Z310" t="str">
        <f>IFERROR(VLOOKUP(ROWS($Z$3:Z310),$X$3:$Y$718,2,0),"")</f>
        <v>Činnosti trustů, fondů a podobných finančních subjektů</v>
      </c>
    </row>
    <row r="311" spans="13:26" ht="12.75">
      <c r="M311" s="289">
        <f>IF(ISNUMBER(SEARCH(ZAKL_DATA!$B$29,N311)),MAX($M$2:M310)+1,0)</f>
        <v>309</v>
      </c>
      <c r="N311" s="482" t="s">
        <v>3061</v>
      </c>
      <c r="O311" s="482" t="s">
        <v>3062</v>
      </c>
      <c r="Q311" s="291" t="str">
        <f>IFERROR(VLOOKUP(ROWS($Q$3:Q311),$M$3:$N$718,2,0),"")</f>
        <v>Produkce filmů, videozáznamů a televizních pořadů</v>
      </c>
      <c r="R311">
        <f>IF(ISNUMBER(SEARCH('1Př1'!$A$32,N311)),MAX($M$2:M310)+1,0)</f>
        <v>309</v>
      </c>
      <c r="S311" s="290" t="s">
        <v>1687</v>
      </c>
      <c r="T311" t="str">
        <f>IFERROR(VLOOKUP(ROWS($T$3:T311),$R$3:$S$718,2,0),"")</f>
        <v>Ostatní finanční zprostředkování</v>
      </c>
      <c r="U311">
        <f>IF(ISNUMBER(SEARCH('1Př1'!$A$33,N311)),MAX($M$2:M310)+1,0)</f>
        <v>309</v>
      </c>
      <c r="V311" s="290" t="s">
        <v>1687</v>
      </c>
      <c r="W311" t="str">
        <f>IFERROR(VLOOKUP(ROWS($W$3:W311),$U$3:$V$718,2,0),"")</f>
        <v>Ostatní finanční zprostředkování</v>
      </c>
      <c r="X311">
        <f>IF(ISNUMBER(SEARCH('1Př1'!$A$34,N311)),MAX($M$2:M310)+1,0)</f>
        <v>309</v>
      </c>
      <c r="Y311" s="290" t="s">
        <v>1687</v>
      </c>
      <c r="Z311" t="str">
        <f>IFERROR(VLOOKUP(ROWS($Z$3:Z311),$X$3:$Y$718,2,0),"")</f>
        <v>Ostatní finanční zprostředkování</v>
      </c>
    </row>
    <row r="312" spans="13:26" ht="25.5">
      <c r="M312" s="289">
        <f>IF(ISNUMBER(SEARCH(ZAKL_DATA!$B$29,N312)),MAX($M$2:M311)+1,0)</f>
        <v>310</v>
      </c>
      <c r="N312" s="482" t="s">
        <v>3063</v>
      </c>
      <c r="O312" s="482" t="s">
        <v>3064</v>
      </c>
      <c r="Q312" s="291" t="str">
        <f>IFERROR(VLOOKUP(ROWS($Q$3:Q312),$M$3:$N$718,2,0),"")</f>
        <v>Programování a vývoj počítačových her, herního softwaru a herních nástrojů</v>
      </c>
      <c r="R312">
        <f>IF(ISNUMBER(SEARCH('1Př1'!$A$32,N312)),MAX($M$2:M311)+1,0)</f>
        <v>310</v>
      </c>
      <c r="S312" s="290" t="s">
        <v>231</v>
      </c>
      <c r="T312" t="str">
        <f>IFERROR(VLOOKUP(ROWS($T$3:T312),$R$3:$S$718,2,0),"")</f>
        <v>Pojištění</v>
      </c>
      <c r="U312">
        <f>IF(ISNUMBER(SEARCH('1Př1'!$A$33,N312)),MAX($M$2:M311)+1,0)</f>
        <v>310</v>
      </c>
      <c r="V312" s="290" t="s">
        <v>231</v>
      </c>
      <c r="W312" t="str">
        <f>IFERROR(VLOOKUP(ROWS($W$3:W312),$U$3:$V$718,2,0),"")</f>
        <v>Pojištění</v>
      </c>
      <c r="X312">
        <f>IF(ISNUMBER(SEARCH('1Př1'!$A$34,N312)),MAX($M$2:M311)+1,0)</f>
        <v>310</v>
      </c>
      <c r="Y312" s="290" t="s">
        <v>231</v>
      </c>
      <c r="Z312" t="str">
        <f>IFERROR(VLOOKUP(ROWS($Z$3:Z312),$X$3:$Y$718,2,0),"")</f>
        <v>Pojištění</v>
      </c>
    </row>
    <row r="313" spans="13:26" ht="12.75">
      <c r="M313" s="289">
        <f>IF(ISNUMBER(SEARCH(ZAKL_DATA!$B$29,N313)),MAX($M$2:M312)+1,0)</f>
        <v>311</v>
      </c>
      <c r="N313" s="482" t="s">
        <v>2096</v>
      </c>
      <c r="O313" s="482" t="s">
        <v>3065</v>
      </c>
      <c r="Q313" s="291" t="str">
        <f>IFERROR(VLOOKUP(ROWS($Q$3:Q313),$M$3:$N$718,2,0),"")</f>
        <v>Promítání filmů</v>
      </c>
      <c r="R313">
        <f>IF(ISNUMBER(SEARCH('1Př1'!$A$32,N313)),MAX($M$2:M312)+1,0)</f>
        <v>311</v>
      </c>
      <c r="S313" s="290" t="s">
        <v>1688</v>
      </c>
      <c r="T313" t="str">
        <f>IFERROR(VLOOKUP(ROWS($T$3:T313),$R$3:$S$718,2,0),"")</f>
        <v>Zajištění</v>
      </c>
      <c r="U313">
        <f>IF(ISNUMBER(SEARCH('1Př1'!$A$33,N313)),MAX($M$2:M312)+1,0)</f>
        <v>311</v>
      </c>
      <c r="V313" s="290" t="s">
        <v>1688</v>
      </c>
      <c r="W313" t="str">
        <f>IFERROR(VLOOKUP(ROWS($W$3:W313),$U$3:$V$718,2,0),"")</f>
        <v>Zajištění</v>
      </c>
      <c r="X313">
        <f>IF(ISNUMBER(SEARCH('1Př1'!$A$34,N313)),MAX($M$2:M312)+1,0)</f>
        <v>311</v>
      </c>
      <c r="Y313" s="290" t="s">
        <v>1688</v>
      </c>
      <c r="Z313" t="str">
        <f>IFERROR(VLOOKUP(ROWS($Z$3:Z313),$X$3:$Y$718,2,0),"")</f>
        <v>Zajištění</v>
      </c>
    </row>
    <row r="314" spans="13:26" ht="25.5">
      <c r="M314" s="289">
        <f>IF(ISNUMBER(SEARCH(ZAKL_DATA!$B$29,N314)),MAX($M$2:M313)+1,0)</f>
        <v>312</v>
      </c>
      <c r="N314" s="482" t="s">
        <v>2114</v>
      </c>
      <c r="O314" s="482" t="s">
        <v>3066</v>
      </c>
      <c r="Q314" s="291" t="str">
        <f>IFERROR(VLOOKUP(ROWS($Q$3:Q314),$M$3:$N$718,2,0),"")</f>
        <v>Pronájem a leasing kancelářských strojů a zařízení, včetně počítačů</v>
      </c>
      <c r="R314">
        <f>IF(ISNUMBER(SEARCH('1Př1'!$A$32,N314)),MAX($M$2:M313)+1,0)</f>
        <v>312</v>
      </c>
      <c r="S314" s="290" t="s">
        <v>1689</v>
      </c>
      <c r="T314" t="str">
        <f>IFERROR(VLOOKUP(ROWS($T$3:T314),$R$3:$S$718,2,0),"")</f>
        <v>Penzijní financování</v>
      </c>
      <c r="U314">
        <f>IF(ISNUMBER(SEARCH('1Př1'!$A$33,N314)),MAX($M$2:M313)+1,0)</f>
        <v>312</v>
      </c>
      <c r="V314" s="290" t="s">
        <v>1689</v>
      </c>
      <c r="W314" t="str">
        <f>IFERROR(VLOOKUP(ROWS($W$3:W314),$U$3:$V$718,2,0),"")</f>
        <v>Penzijní financování</v>
      </c>
      <c r="X314">
        <f>IF(ISNUMBER(SEARCH('1Př1'!$A$34,N314)),MAX($M$2:M313)+1,0)</f>
        <v>312</v>
      </c>
      <c r="Y314" s="290" t="s">
        <v>1689</v>
      </c>
      <c r="Z314" t="str">
        <f>IFERROR(VLOOKUP(ROWS($Z$3:Z314),$X$3:$Y$718,2,0),"")</f>
        <v>Penzijní financování</v>
      </c>
    </row>
    <row r="315" spans="13:26" ht="25.5">
      <c r="M315" s="289">
        <f>IF(ISNUMBER(SEARCH(ZAKL_DATA!$B$29,N315)),MAX($M$2:M314)+1,0)</f>
        <v>313</v>
      </c>
      <c r="N315" s="482" t="s">
        <v>2116</v>
      </c>
      <c r="O315" s="482" t="s">
        <v>3067</v>
      </c>
      <c r="Q315" s="291" t="str">
        <f>IFERROR(VLOOKUP(ROWS($Q$3:Q315),$M$3:$N$718,2,0),"")</f>
        <v>Pronájem a leasing leteckých dopravních prostředků</v>
      </c>
      <c r="R315">
        <f>IF(ISNUMBER(SEARCH('1Př1'!$A$32,N315)),MAX($M$2:M314)+1,0)</f>
        <v>313</v>
      </c>
      <c r="S315" s="290" t="s">
        <v>1690</v>
      </c>
      <c r="T315" t="str">
        <f>IFERROR(VLOOKUP(ROWS($T$3:T315),$R$3:$S$718,2,0),"")</f>
        <v>Pomocné činnosti související s fin.zprostřed.,kromě pojišť.a penzij.fin.</v>
      </c>
      <c r="U315">
        <f>IF(ISNUMBER(SEARCH('1Př1'!$A$33,N315)),MAX($M$2:M314)+1,0)</f>
        <v>313</v>
      </c>
      <c r="V315" s="290" t="s">
        <v>1690</v>
      </c>
      <c r="W315" t="str">
        <f>IFERROR(VLOOKUP(ROWS($W$3:W315),$U$3:$V$718,2,0),"")</f>
        <v>Pomocné činnosti související s fin.zprostřed.,kromě pojišť.a penzij.fin.</v>
      </c>
      <c r="X315">
        <f>IF(ISNUMBER(SEARCH('1Př1'!$A$34,N315)),MAX($M$2:M314)+1,0)</f>
        <v>313</v>
      </c>
      <c r="Y315" s="290" t="s">
        <v>1690</v>
      </c>
      <c r="Z315" t="str">
        <f>IFERROR(VLOOKUP(ROWS($Z$3:Z315),$X$3:$Y$718,2,0),"")</f>
        <v>Pomocné činnosti související s fin.zprostřed.,kromě pojišť.a penzij.fin.</v>
      </c>
    </row>
    <row r="316" spans="13:26" ht="12.75">
      <c r="M316" s="289">
        <f>IF(ISNUMBER(SEARCH(ZAKL_DATA!$B$29,N316)),MAX($M$2:M315)+1,0)</f>
        <v>314</v>
      </c>
      <c r="N316" s="482" t="s">
        <v>2110</v>
      </c>
      <c r="O316" s="482" t="s">
        <v>3068</v>
      </c>
      <c r="Q316" s="291" t="str">
        <f>IFERROR(VLOOKUP(ROWS($Q$3:Q316),$M$3:$N$718,2,0),"")</f>
        <v>Pronájem a leasing nákladních automobilů</v>
      </c>
      <c r="R316">
        <f>IF(ISNUMBER(SEARCH('1Př1'!$A$32,N316)),MAX($M$2:M315)+1,0)</f>
        <v>314</v>
      </c>
      <c r="S316" s="290" t="s">
        <v>1691</v>
      </c>
      <c r="T316" t="str">
        <f>IFERROR(VLOOKUP(ROWS($T$3:T316),$R$3:$S$718,2,0),"")</f>
        <v>Pomocné činnosti související s pojišťovnictvím a penzijním financováním</v>
      </c>
      <c r="U316">
        <f>IF(ISNUMBER(SEARCH('1Př1'!$A$33,N316)),MAX($M$2:M315)+1,0)</f>
        <v>314</v>
      </c>
      <c r="V316" s="290" t="s">
        <v>1691</v>
      </c>
      <c r="W316" t="str">
        <f>IFERROR(VLOOKUP(ROWS($W$3:W316),$U$3:$V$718,2,0),"")</f>
        <v>Pomocné činnosti související s pojišťovnictvím a penzijním financováním</v>
      </c>
      <c r="X316">
        <f>IF(ISNUMBER(SEARCH('1Př1'!$A$34,N316)),MAX($M$2:M315)+1,0)</f>
        <v>314</v>
      </c>
      <c r="Y316" s="290" t="s">
        <v>1691</v>
      </c>
      <c r="Z316" t="str">
        <f>IFERROR(VLOOKUP(ROWS($Z$3:Z316),$X$3:$Y$718,2,0),"")</f>
        <v>Pomocné činnosti související s pojišťovnictvím a penzijním financováním</v>
      </c>
    </row>
    <row r="317" spans="13:26" ht="25.5">
      <c r="M317" s="289">
        <f>IF(ISNUMBER(SEARCH(ZAKL_DATA!$B$29,N317)),MAX($M$2:M316)+1,0)</f>
        <v>315</v>
      </c>
      <c r="N317" s="482" t="s">
        <v>3069</v>
      </c>
      <c r="O317" s="482" t="s">
        <v>3070</v>
      </c>
      <c r="Q317" s="291" t="str">
        <f>IFERROR(VLOOKUP(ROWS($Q$3:Q317),$M$3:$N$718,2,0),"")</f>
        <v>Pronájem a leasing osobních automobilů a lehkých motorových vozidel</v>
      </c>
      <c r="R317">
        <f>IF(ISNUMBER(SEARCH('1Př1'!$A$32,N317)),MAX($M$2:M316)+1,0)</f>
        <v>315</v>
      </c>
      <c r="S317" s="290" t="s">
        <v>1692</v>
      </c>
      <c r="T317" t="str">
        <f>IFERROR(VLOOKUP(ROWS($T$3:T317),$R$3:$S$718,2,0),"")</f>
        <v>Správa fondů</v>
      </c>
      <c r="U317">
        <f>IF(ISNUMBER(SEARCH('1Př1'!$A$33,N317)),MAX($M$2:M316)+1,0)</f>
        <v>315</v>
      </c>
      <c r="V317" s="290" t="s">
        <v>1692</v>
      </c>
      <c r="W317" t="str">
        <f>IFERROR(VLOOKUP(ROWS($W$3:W317),$U$3:$V$718,2,0),"")</f>
        <v>Správa fondů</v>
      </c>
      <c r="X317">
        <f>IF(ISNUMBER(SEARCH('1Př1'!$A$34,N317)),MAX($M$2:M316)+1,0)</f>
        <v>315</v>
      </c>
      <c r="Y317" s="290" t="s">
        <v>1692</v>
      </c>
      <c r="Z317" t="str">
        <f>IFERROR(VLOOKUP(ROWS($Z$3:Z317),$X$3:$Y$718,2,0),"")</f>
        <v>Správa fondů</v>
      </c>
    </row>
    <row r="318" spans="13:26" ht="25.5">
      <c r="M318" s="289">
        <f>IF(ISNUMBER(SEARCH(ZAKL_DATA!$B$29,N318)),MAX($M$2:M317)+1,0)</f>
        <v>316</v>
      </c>
      <c r="N318" s="482" t="s">
        <v>3071</v>
      </c>
      <c r="O318" s="482" t="s">
        <v>3072</v>
      </c>
      <c r="Q318" s="291" t="str">
        <f>IFERROR(VLOOKUP(ROWS($Q$3:Q318),$M$3:$N$718,2,0),"")</f>
        <v>Pronájem a leasing ostatních strojů, zařízení a hmotných statků j. n.</v>
      </c>
      <c r="R318">
        <f>IF(ISNUMBER(SEARCH('1Př1'!$A$32,N318)),MAX($M$2:M317)+1,0)</f>
        <v>316</v>
      </c>
      <c r="S318" s="290" t="s">
        <v>1693</v>
      </c>
      <c r="T318" t="str">
        <f>IFERROR(VLOOKUP(ROWS($T$3:T318),$R$3:$S$718,2,0),"")</f>
        <v>Nákup a následný prodej vlastních nemovitostí</v>
      </c>
      <c r="U318">
        <f>IF(ISNUMBER(SEARCH('1Př1'!$A$33,N318)),MAX($M$2:M317)+1,0)</f>
        <v>316</v>
      </c>
      <c r="V318" s="290" t="s">
        <v>1693</v>
      </c>
      <c r="W318" t="str">
        <f>IFERROR(VLOOKUP(ROWS($W$3:W318),$U$3:$V$718,2,0),"")</f>
        <v>Nákup a následný prodej vlastních nemovitostí</v>
      </c>
      <c r="X318">
        <f>IF(ISNUMBER(SEARCH('1Př1'!$A$34,N318)),MAX($M$2:M317)+1,0)</f>
        <v>316</v>
      </c>
      <c r="Y318" s="290" t="s">
        <v>1693</v>
      </c>
      <c r="Z318" t="str">
        <f>IFERROR(VLOOKUP(ROWS($Z$3:Z318),$X$3:$Y$718,2,0),"")</f>
        <v>Nákup a následný prodej vlastních nemovitostí</v>
      </c>
    </row>
    <row r="319" spans="13:26" ht="25.5">
      <c r="M319" s="289">
        <f>IF(ISNUMBER(SEARCH(ZAKL_DATA!$B$29,N319)),MAX($M$2:M318)+1,0)</f>
        <v>317</v>
      </c>
      <c r="N319" s="482" t="s">
        <v>3073</v>
      </c>
      <c r="O319" s="482" t="s">
        <v>3074</v>
      </c>
      <c r="Q319" s="291" t="str">
        <f>IFERROR(VLOOKUP(ROWS($Q$3:Q319),$M$3:$N$718,2,0),"")</f>
        <v>Pronájem a leasing ostatních výrobků pro osobní potřebu a převážně pro domácnost</v>
      </c>
      <c r="R319">
        <f>IF(ISNUMBER(SEARCH('1Př1'!$A$32,N319)),MAX($M$2:M318)+1,0)</f>
        <v>317</v>
      </c>
      <c r="S319" s="290" t="s">
        <v>1694</v>
      </c>
      <c r="T319" t="str">
        <f>IFERROR(VLOOKUP(ROWS($T$3:T319),$R$3:$S$718,2,0),"")</f>
        <v>Pronájem a správa vlastních nebo pronajatých nemovitostí</v>
      </c>
      <c r="U319">
        <f>IF(ISNUMBER(SEARCH('1Př1'!$A$33,N319)),MAX($M$2:M318)+1,0)</f>
        <v>317</v>
      </c>
      <c r="V319" s="290" t="s">
        <v>1694</v>
      </c>
      <c r="W319" t="str">
        <f>IFERROR(VLOOKUP(ROWS($W$3:W319),$U$3:$V$718,2,0),"")</f>
        <v>Pronájem a správa vlastních nebo pronajatých nemovitostí</v>
      </c>
      <c r="X319">
        <f>IF(ISNUMBER(SEARCH('1Př1'!$A$34,N319)),MAX($M$2:M318)+1,0)</f>
        <v>317</v>
      </c>
      <c r="Y319" s="290" t="s">
        <v>1694</v>
      </c>
      <c r="Z319" t="str">
        <f>IFERROR(VLOOKUP(ROWS($Z$3:Z319),$X$3:$Y$718,2,0),"")</f>
        <v>Pronájem a správa vlastních nebo pronajatých nemovitostí</v>
      </c>
    </row>
    <row r="320" spans="13:26" ht="25.5">
      <c r="M320" s="289">
        <f>IF(ISNUMBER(SEARCH(ZAKL_DATA!$B$29,N320)),MAX($M$2:M319)+1,0)</f>
        <v>318</v>
      </c>
      <c r="N320" s="482" t="s">
        <v>2111</v>
      </c>
      <c r="O320" s="482" t="s">
        <v>3075</v>
      </c>
      <c r="Q320" s="291" t="str">
        <f>IFERROR(VLOOKUP(ROWS($Q$3:Q320),$M$3:$N$718,2,0),"")</f>
        <v>Pronájem a leasing rekreačních a sportovních potřeb</v>
      </c>
      <c r="R320">
        <f>IF(ISNUMBER(SEARCH('1Př1'!$A$32,N320)),MAX($M$2:M319)+1,0)</f>
        <v>318</v>
      </c>
      <c r="S320" s="290" t="s">
        <v>1695</v>
      </c>
      <c r="T320" t="str">
        <f>IFERROR(VLOOKUP(ROWS($T$3:T320),$R$3:$S$718,2,0),"")</f>
        <v>Činnosti v oblasti nemovitostí na základě smlouvy nebo dohody</v>
      </c>
      <c r="U320">
        <f>IF(ISNUMBER(SEARCH('1Př1'!$A$33,N320)),MAX($M$2:M319)+1,0)</f>
        <v>318</v>
      </c>
      <c r="V320" s="290" t="s">
        <v>1695</v>
      </c>
      <c r="W320" t="str">
        <f>IFERROR(VLOOKUP(ROWS($W$3:W320),$U$3:$V$718,2,0),"")</f>
        <v>Činnosti v oblasti nemovitostí na základě smlouvy nebo dohody</v>
      </c>
      <c r="X320">
        <f>IF(ISNUMBER(SEARCH('1Př1'!$A$34,N320)),MAX($M$2:M319)+1,0)</f>
        <v>318</v>
      </c>
      <c r="Y320" s="290" t="s">
        <v>1695</v>
      </c>
      <c r="Z320" t="str">
        <f>IFERROR(VLOOKUP(ROWS($Z$3:Z320),$X$3:$Y$718,2,0),"")</f>
        <v>Činnosti v oblasti nemovitostí na základě smlouvy nebo dohody</v>
      </c>
    </row>
    <row r="321" spans="13:26" ht="12.75">
      <c r="M321" s="289">
        <f>IF(ISNUMBER(SEARCH(ZAKL_DATA!$B$29,N321)),MAX($M$2:M320)+1,0)</f>
        <v>319</v>
      </c>
      <c r="N321" s="482" t="s">
        <v>2113</v>
      </c>
      <c r="O321" s="482" t="s">
        <v>3076</v>
      </c>
      <c r="Q321" s="291" t="str">
        <f>IFERROR(VLOOKUP(ROWS($Q$3:Q321),$M$3:$N$718,2,0),"")</f>
        <v>Pronájem a leasing stavebních strojů a zařízení</v>
      </c>
      <c r="R321">
        <f>IF(ISNUMBER(SEARCH('1Př1'!$A$32,N321)),MAX($M$2:M320)+1,0)</f>
        <v>319</v>
      </c>
      <c r="S321" s="290" t="s">
        <v>1696</v>
      </c>
      <c r="T321" t="str">
        <f>IFERROR(VLOOKUP(ROWS($T$3:T321),$R$3:$S$718,2,0),"")</f>
        <v>Právní činnosti</v>
      </c>
      <c r="U321">
        <f>IF(ISNUMBER(SEARCH('1Př1'!$A$33,N321)),MAX($M$2:M320)+1,0)</f>
        <v>319</v>
      </c>
      <c r="V321" s="290" t="s">
        <v>1696</v>
      </c>
      <c r="W321" t="str">
        <f>IFERROR(VLOOKUP(ROWS($W$3:W321),$U$3:$V$718,2,0),"")</f>
        <v>Právní činnosti</v>
      </c>
      <c r="X321">
        <f>IF(ISNUMBER(SEARCH('1Př1'!$A$34,N321)),MAX($M$2:M320)+1,0)</f>
        <v>319</v>
      </c>
      <c r="Y321" s="290" t="s">
        <v>1696</v>
      </c>
      <c r="Z321" t="str">
        <f>IFERROR(VLOOKUP(ROWS($Z$3:Z321),$X$3:$Y$718,2,0),"")</f>
        <v>Právní činnosti</v>
      </c>
    </row>
    <row r="322" spans="13:26" ht="12.75">
      <c r="M322" s="289">
        <f>IF(ISNUMBER(SEARCH(ZAKL_DATA!$B$29,N322)),MAX($M$2:M321)+1,0)</f>
        <v>320</v>
      </c>
      <c r="N322" s="482" t="s">
        <v>2115</v>
      </c>
      <c r="O322" s="482" t="s">
        <v>3077</v>
      </c>
      <c r="Q322" s="291" t="str">
        <f>IFERROR(VLOOKUP(ROWS($Q$3:Q322),$M$3:$N$718,2,0),"")</f>
        <v>Pronájem a leasing vodních dopravních prostředků</v>
      </c>
      <c r="R322">
        <f>IF(ISNUMBER(SEARCH('1Př1'!$A$32,N322)),MAX($M$2:M321)+1,0)</f>
        <v>320</v>
      </c>
      <c r="S322" s="290" t="s">
        <v>1697</v>
      </c>
      <c r="T322" t="str">
        <f>IFERROR(VLOOKUP(ROWS($T$3:T322),$R$3:$S$718,2,0),"")</f>
        <v>Účetnické a auditorské činnosti; daňové poradenství</v>
      </c>
      <c r="U322">
        <f>IF(ISNUMBER(SEARCH('1Př1'!$A$33,N322)),MAX($M$2:M321)+1,0)</f>
        <v>320</v>
      </c>
      <c r="V322" s="290" t="s">
        <v>1697</v>
      </c>
      <c r="W322" t="str">
        <f>IFERROR(VLOOKUP(ROWS($W$3:W322),$U$3:$V$718,2,0),"")</f>
        <v>Účetnické a auditorské činnosti; daňové poradenství</v>
      </c>
      <c r="X322">
        <f>IF(ISNUMBER(SEARCH('1Př1'!$A$34,N322)),MAX($M$2:M321)+1,0)</f>
        <v>320</v>
      </c>
      <c r="Y322" s="290" t="s">
        <v>1697</v>
      </c>
      <c r="Z322" t="str">
        <f>IFERROR(VLOOKUP(ROWS($Z$3:Z322),$X$3:$Y$718,2,0),"")</f>
        <v>Účetnické a auditorské činnosti; daňové poradenství</v>
      </c>
    </row>
    <row r="323" spans="13:26" ht="12.75">
      <c r="M323" s="289">
        <f>IF(ISNUMBER(SEARCH(ZAKL_DATA!$B$29,N323)),MAX($M$2:M322)+1,0)</f>
        <v>321</v>
      </c>
      <c r="N323" s="482" t="s">
        <v>2112</v>
      </c>
      <c r="O323" s="482" t="s">
        <v>3078</v>
      </c>
      <c r="Q323" s="291" t="str">
        <f>IFERROR(VLOOKUP(ROWS($Q$3:Q323),$M$3:$N$718,2,0),"")</f>
        <v>Pronájem a leasing zemědělských strojů a zařízení</v>
      </c>
      <c r="R323">
        <f>IF(ISNUMBER(SEARCH('1Př1'!$A$32,N323)),MAX($M$2:M322)+1,0)</f>
        <v>321</v>
      </c>
      <c r="S323" s="290" t="s">
        <v>1698</v>
      </c>
      <c r="T323" t="str">
        <f>IFERROR(VLOOKUP(ROWS($T$3:T323),$R$3:$S$718,2,0),"")</f>
        <v>Činnosti vedení podniků</v>
      </c>
      <c r="U323">
        <f>IF(ISNUMBER(SEARCH('1Př1'!$A$33,N323)),MAX($M$2:M322)+1,0)</f>
        <v>321</v>
      </c>
      <c r="V323" s="290" t="s">
        <v>1698</v>
      </c>
      <c r="W323" t="str">
        <f>IFERROR(VLOOKUP(ROWS($W$3:W323),$U$3:$V$718,2,0),"")</f>
        <v>Činnosti vedení podniků</v>
      </c>
      <c r="X323">
        <f>IF(ISNUMBER(SEARCH('1Př1'!$A$34,N323)),MAX($M$2:M322)+1,0)</f>
        <v>321</v>
      </c>
      <c r="Y323" s="290" t="s">
        <v>1698</v>
      </c>
      <c r="Z323" t="str">
        <f>IFERROR(VLOOKUP(ROWS($Z$3:Z323),$X$3:$Y$718,2,0),"")</f>
        <v>Činnosti vedení podniků</v>
      </c>
    </row>
    <row r="324" spans="13:26" ht="25.5">
      <c r="M324" s="289">
        <f>IF(ISNUMBER(SEARCH(ZAKL_DATA!$B$29,N324)),MAX($M$2:M323)+1,0)</f>
        <v>322</v>
      </c>
      <c r="N324" s="482" t="s">
        <v>1694</v>
      </c>
      <c r="O324" s="482" t="s">
        <v>3079</v>
      </c>
      <c r="Q324" s="291" t="str">
        <f>IFERROR(VLOOKUP(ROWS($Q$3:Q324),$M$3:$N$718,2,0),"")</f>
        <v>Pronájem a správa vlastních nebo pronajatých nemovitostí</v>
      </c>
      <c r="R324">
        <f>IF(ISNUMBER(SEARCH('1Př1'!$A$32,N324)),MAX($M$2:M323)+1,0)</f>
        <v>322</v>
      </c>
      <c r="S324" s="290" t="s">
        <v>1699</v>
      </c>
      <c r="T324" t="str">
        <f>IFERROR(VLOOKUP(ROWS($T$3:T324),$R$3:$S$718,2,0),"")</f>
        <v>Poradenství v oblasti řízení</v>
      </c>
      <c r="U324">
        <f>IF(ISNUMBER(SEARCH('1Př1'!$A$33,N324)),MAX($M$2:M323)+1,0)</f>
        <v>322</v>
      </c>
      <c r="V324" s="290" t="s">
        <v>1699</v>
      </c>
      <c r="W324" t="str">
        <f>IFERROR(VLOOKUP(ROWS($W$3:W324),$U$3:$V$718,2,0),"")</f>
        <v>Poradenství v oblasti řízení</v>
      </c>
      <c r="X324">
        <f>IF(ISNUMBER(SEARCH('1Př1'!$A$34,N324)),MAX($M$2:M323)+1,0)</f>
        <v>322</v>
      </c>
      <c r="Y324" s="290" t="s">
        <v>1699</v>
      </c>
      <c r="Z324" t="str">
        <f>IFERROR(VLOOKUP(ROWS($Z$3:Z324),$X$3:$Y$718,2,0),"")</f>
        <v>Poradenství v oblasti řízení</v>
      </c>
    </row>
    <row r="325" spans="13:26" ht="25.5">
      <c r="M325" s="289">
        <f>IF(ISNUMBER(SEARCH(ZAKL_DATA!$B$29,N325)),MAX($M$2:M324)+1,0)</f>
        <v>323</v>
      </c>
      <c r="N325" s="482" t="s">
        <v>3080</v>
      </c>
      <c r="O325" s="482" t="s">
        <v>3081</v>
      </c>
      <c r="Q325" s="291" t="str">
        <f>IFERROR(VLOOKUP(ROWS($Q$3:Q325),$M$3:$N$718,2,0),"")</f>
        <v>Provoz pískoven a štěrkopískoven a těžba jílů a kaolinu</v>
      </c>
      <c r="R325">
        <f>IF(ISNUMBER(SEARCH('1Př1'!$A$32,N325)),MAX($M$2:M324)+1,0)</f>
        <v>323</v>
      </c>
      <c r="S325" s="290" t="s">
        <v>1700</v>
      </c>
      <c r="T325" t="str">
        <f>IFERROR(VLOOKUP(ROWS($T$3:T325),$R$3:$S$718,2,0),"")</f>
        <v>Architektonické a inženýrské činnosti a související technické poradenství</v>
      </c>
      <c r="U325">
        <f>IF(ISNUMBER(SEARCH('1Př1'!$A$33,N325)),MAX($M$2:M324)+1,0)</f>
        <v>323</v>
      </c>
      <c r="V325" s="290" t="s">
        <v>1700</v>
      </c>
      <c r="W325" t="str">
        <f>IFERROR(VLOOKUP(ROWS($W$3:W325),$U$3:$V$718,2,0),"")</f>
        <v>Architektonické a inženýrské činnosti a související technické poradenství</v>
      </c>
      <c r="X325">
        <f>IF(ISNUMBER(SEARCH('1Př1'!$A$34,N325)),MAX($M$2:M324)+1,0)</f>
        <v>323</v>
      </c>
      <c r="Y325" s="290" t="s">
        <v>1700</v>
      </c>
      <c r="Z325" t="str">
        <f>IFERROR(VLOOKUP(ROWS($Z$3:Z325),$X$3:$Y$718,2,0),"")</f>
        <v>Architektonické a inženýrské činnosti a související technické poradenství</v>
      </c>
    </row>
    <row r="326" spans="13:26" ht="12.75">
      <c r="M326" s="289">
        <f>IF(ISNUMBER(SEARCH(ZAKL_DATA!$B$29,N326)),MAX($M$2:M325)+1,0)</f>
        <v>324</v>
      </c>
      <c r="N326" s="482" t="s">
        <v>3082</v>
      </c>
      <c r="O326" s="482" t="s">
        <v>3083</v>
      </c>
      <c r="Q326" s="291" t="str">
        <f>IFERROR(VLOOKUP(ROWS($Q$3:Q326),$M$3:$N$718,2,0),"")</f>
        <v>Provozování historických a kulturních památek</v>
      </c>
      <c r="R326">
        <f>IF(ISNUMBER(SEARCH('1Př1'!$A$32,N326)),MAX($M$2:M325)+1,0)</f>
        <v>324</v>
      </c>
      <c r="S326" s="290" t="s">
        <v>1701</v>
      </c>
      <c r="T326" t="str">
        <f>IFERROR(VLOOKUP(ROWS($T$3:T326),$R$3:$S$718,2,0),"")</f>
        <v>Technické zkoušky a analýzy</v>
      </c>
      <c r="U326">
        <f>IF(ISNUMBER(SEARCH('1Př1'!$A$33,N326)),MAX($M$2:M325)+1,0)</f>
        <v>324</v>
      </c>
      <c r="V326" s="290" t="s">
        <v>1701</v>
      </c>
      <c r="W326" t="str">
        <f>IFERROR(VLOOKUP(ROWS($W$3:W326),$U$3:$V$718,2,0),"")</f>
        <v>Technické zkoušky a analýzy</v>
      </c>
      <c r="X326">
        <f>IF(ISNUMBER(SEARCH('1Př1'!$A$34,N326)),MAX($M$2:M325)+1,0)</f>
        <v>324</v>
      </c>
      <c r="Y326" s="290" t="s">
        <v>1701</v>
      </c>
      <c r="Z326" t="str">
        <f>IFERROR(VLOOKUP(ROWS($Z$3:Z326),$X$3:$Y$718,2,0),"")</f>
        <v>Technické zkoušky a analýzy</v>
      </c>
    </row>
    <row r="327" spans="13:26" ht="12.75">
      <c r="M327" s="289">
        <f>IF(ISNUMBER(SEARCH(ZAKL_DATA!$B$29,N327)),MAX($M$2:M326)+1,0)</f>
        <v>325</v>
      </c>
      <c r="N327" s="482" t="s">
        <v>3084</v>
      </c>
      <c r="O327" s="482" t="s">
        <v>3085</v>
      </c>
      <c r="Q327" s="291" t="str">
        <f>IFERROR(VLOOKUP(ROWS($Q$3:Q327),$M$3:$N$718,2,0),"")</f>
        <v>Provozování kulturních zařízení a areálů</v>
      </c>
      <c r="R327">
        <f>IF(ISNUMBER(SEARCH('1Př1'!$A$32,N327)),MAX($M$2:M326)+1,0)</f>
        <v>325</v>
      </c>
      <c r="S327" s="290" t="s">
        <v>1702</v>
      </c>
      <c r="T327" t="str">
        <f>IFERROR(VLOOKUP(ROWS($T$3:T327),$R$3:$S$718,2,0),"")</f>
        <v>Výzkum a vývoj v oblasti přírodních a technických věd</v>
      </c>
      <c r="U327">
        <f>IF(ISNUMBER(SEARCH('1Př1'!$A$33,N327)),MAX($M$2:M326)+1,0)</f>
        <v>325</v>
      </c>
      <c r="V327" s="290" t="s">
        <v>1702</v>
      </c>
      <c r="W327" t="str">
        <f>IFERROR(VLOOKUP(ROWS($W$3:W327),$U$3:$V$718,2,0),"")</f>
        <v>Výzkum a vývoj v oblasti přírodních a technických věd</v>
      </c>
      <c r="X327">
        <f>IF(ISNUMBER(SEARCH('1Př1'!$A$34,N327)),MAX($M$2:M326)+1,0)</f>
        <v>325</v>
      </c>
      <c r="Y327" s="290" t="s">
        <v>1702</v>
      </c>
      <c r="Z327" t="str">
        <f>IFERROR(VLOOKUP(ROWS($Z$3:Z327),$X$3:$Y$718,2,0),"")</f>
        <v>Výzkum a vývoj v oblasti přírodních a technických věd</v>
      </c>
    </row>
    <row r="328" spans="13:26" ht="12.75">
      <c r="M328" s="289">
        <f>IF(ISNUMBER(SEARCH(ZAKL_DATA!$B$29,N328)),MAX($M$2:M327)+1,0)</f>
        <v>326</v>
      </c>
      <c r="N328" s="482" t="s">
        <v>2137</v>
      </c>
      <c r="O328" s="482" t="s">
        <v>3086</v>
      </c>
      <c r="Q328" s="291" t="str">
        <f>IFERROR(VLOOKUP(ROWS($Q$3:Q328),$M$3:$N$718,2,0),"")</f>
        <v>Provozování sportovních zařízení</v>
      </c>
      <c r="R328">
        <f>IF(ISNUMBER(SEARCH('1Př1'!$A$32,N328)),MAX($M$2:M327)+1,0)</f>
        <v>326</v>
      </c>
      <c r="S328" s="290" t="s">
        <v>1703</v>
      </c>
      <c r="T328" t="str">
        <f>IFERROR(VLOOKUP(ROWS($T$3:T328),$R$3:$S$718,2,0),"")</f>
        <v>Těžba a úprava uranových a thoriových rud</v>
      </c>
      <c r="U328">
        <f>IF(ISNUMBER(SEARCH('1Př1'!$A$33,N328)),MAX($M$2:M327)+1,0)</f>
        <v>326</v>
      </c>
      <c r="V328" s="290" t="s">
        <v>1703</v>
      </c>
      <c r="W328" t="str">
        <f>IFERROR(VLOOKUP(ROWS($W$3:W328),$U$3:$V$718,2,0),"")</f>
        <v>Těžba a úprava uranových a thoriových rud</v>
      </c>
      <c r="X328">
        <f>IF(ISNUMBER(SEARCH('1Př1'!$A$34,N328)),MAX($M$2:M327)+1,0)</f>
        <v>326</v>
      </c>
      <c r="Y328" s="290" t="s">
        <v>1703</v>
      </c>
      <c r="Z328" t="str">
        <f>IFERROR(VLOOKUP(ROWS($Z$3:Z328),$X$3:$Y$718,2,0),"")</f>
        <v>Těžba a úprava uranových a thoriových rud</v>
      </c>
    </row>
    <row r="329" spans="13:26" ht="12.75">
      <c r="M329" s="289">
        <f>IF(ISNUMBER(SEARCH(ZAKL_DATA!$B$29,N329)),MAX($M$2:M328)+1,0)</f>
        <v>327</v>
      </c>
      <c r="N329" s="482" t="s">
        <v>1707</v>
      </c>
      <c r="O329" s="482" t="s">
        <v>3087</v>
      </c>
      <c r="Q329" s="291" t="str">
        <f>IFERROR(VLOOKUP(ROWS($Q$3:Q329),$M$3:$N$718,2,0),"")</f>
        <v>Průzkum trhu a veřejného mínění</v>
      </c>
      <c r="R329">
        <f>IF(ISNUMBER(SEARCH('1Př1'!$A$32,N329)),MAX($M$2:M328)+1,0)</f>
        <v>327</v>
      </c>
      <c r="S329" s="290" t="s">
        <v>1704</v>
      </c>
      <c r="T329" t="str">
        <f>IFERROR(VLOOKUP(ROWS($T$3:T329),$R$3:$S$718,2,0),"")</f>
        <v>Výzkum a vývoj v oblasti společenských a humanitních věd</v>
      </c>
      <c r="U329">
        <f>IF(ISNUMBER(SEARCH('1Př1'!$A$33,N329)),MAX($M$2:M328)+1,0)</f>
        <v>327</v>
      </c>
      <c r="V329" s="290" t="s">
        <v>1704</v>
      </c>
      <c r="W329" t="str">
        <f>IFERROR(VLOOKUP(ROWS($W$3:W329),$U$3:$V$718,2,0),"")</f>
        <v>Výzkum a vývoj v oblasti společenských a humanitních věd</v>
      </c>
      <c r="X329">
        <f>IF(ISNUMBER(SEARCH('1Př1'!$A$34,N329)),MAX($M$2:M328)+1,0)</f>
        <v>327</v>
      </c>
      <c r="Y329" s="290" t="s">
        <v>1704</v>
      </c>
      <c r="Z329" t="str">
        <f>IFERROR(VLOOKUP(ROWS($Z$3:Z329),$X$3:$Y$718,2,0),"")</f>
        <v>Výzkum a vývoj v oblasti společenských a humanitních věd</v>
      </c>
    </row>
    <row r="330" spans="13:26" ht="12.75">
      <c r="M330" s="289">
        <f>IF(ISNUMBER(SEARCH(ZAKL_DATA!$B$29,N330)),MAX($M$2:M329)+1,0)</f>
        <v>328</v>
      </c>
      <c r="N330" s="482" t="s">
        <v>1979</v>
      </c>
      <c r="O330" s="482" t="s">
        <v>3088</v>
      </c>
      <c r="Q330" s="291" t="str">
        <f>IFERROR(VLOOKUP(ROWS($Q$3:Q330),$M$3:$N$718,2,0),"")</f>
        <v>Průzkumné vrtné práce</v>
      </c>
      <c r="R330">
        <f>IF(ISNUMBER(SEARCH('1Př1'!$A$32,N330)),MAX($M$2:M329)+1,0)</f>
        <v>328</v>
      </c>
      <c r="S330" s="290" t="s">
        <v>1705</v>
      </c>
      <c r="T330" t="str">
        <f>IFERROR(VLOOKUP(ROWS($T$3:T330),$R$3:$S$718,2,0),"")</f>
        <v>Těžba a úprava ostatních neželezných rud</v>
      </c>
      <c r="U330">
        <f>IF(ISNUMBER(SEARCH('1Př1'!$A$33,N330)),MAX($M$2:M329)+1,0)</f>
        <v>328</v>
      </c>
      <c r="V330" s="290" t="s">
        <v>1705</v>
      </c>
      <c r="W330" t="str">
        <f>IFERROR(VLOOKUP(ROWS($W$3:W330),$U$3:$V$718,2,0),"")</f>
        <v>Těžba a úprava ostatních neželezných rud</v>
      </c>
      <c r="X330">
        <f>IF(ISNUMBER(SEARCH('1Př1'!$A$34,N330)),MAX($M$2:M329)+1,0)</f>
        <v>328</v>
      </c>
      <c r="Y330" s="290" t="s">
        <v>1705</v>
      </c>
      <c r="Z330" t="str">
        <f>IFERROR(VLOOKUP(ROWS($Z$3:Z330),$X$3:$Y$718,2,0),"")</f>
        <v>Těžba a úprava ostatních neželezných rud</v>
      </c>
    </row>
    <row r="331" spans="13:26" ht="12.75">
      <c r="M331" s="289">
        <f>IF(ISNUMBER(SEARCH(ZAKL_DATA!$B$29,N331)),MAX($M$2:M330)+1,0)</f>
        <v>329</v>
      </c>
      <c r="N331" s="482" t="s">
        <v>1710</v>
      </c>
      <c r="O331" s="482" t="s">
        <v>3089</v>
      </c>
      <c r="Q331" s="291" t="str">
        <f>IFERROR(VLOOKUP(ROWS($Q$3:Q331),$M$3:$N$718,2,0),"")</f>
        <v>Překladatelské a tlumočnické činnosti</v>
      </c>
      <c r="R331">
        <f>IF(ISNUMBER(SEARCH('1Př1'!$A$32,N331)),MAX($M$2:M330)+1,0)</f>
        <v>329</v>
      </c>
      <c r="S331" s="290" t="s">
        <v>1706</v>
      </c>
      <c r="T331" t="str">
        <f>IFERROR(VLOOKUP(ROWS($T$3:T331),$R$3:$S$718,2,0),"")</f>
        <v>Reklamní činnosti</v>
      </c>
      <c r="U331">
        <f>IF(ISNUMBER(SEARCH('1Př1'!$A$33,N331)),MAX($M$2:M330)+1,0)</f>
        <v>329</v>
      </c>
      <c r="V331" s="290" t="s">
        <v>1706</v>
      </c>
      <c r="W331" t="str">
        <f>IFERROR(VLOOKUP(ROWS($W$3:W331),$U$3:$V$718,2,0),"")</f>
        <v>Reklamní činnosti</v>
      </c>
      <c r="X331">
        <f>IF(ISNUMBER(SEARCH('1Př1'!$A$34,N331)),MAX($M$2:M330)+1,0)</f>
        <v>329</v>
      </c>
      <c r="Y331" s="290" t="s">
        <v>1706</v>
      </c>
      <c r="Z331" t="str">
        <f>IFERROR(VLOOKUP(ROWS($Z$3:Z331),$X$3:$Y$718,2,0),"")</f>
        <v>Reklamní činnosti</v>
      </c>
    </row>
    <row r="332" spans="13:26" ht="12.75">
      <c r="M332" s="289">
        <f>IF(ISNUMBER(SEARCH(ZAKL_DATA!$B$29,N332)),MAX($M$2:M331)+1,0)</f>
        <v>330</v>
      </c>
      <c r="N332" s="482" t="s">
        <v>1957</v>
      </c>
      <c r="O332" s="482" t="s">
        <v>3090</v>
      </c>
      <c r="Q332" s="291" t="str">
        <f>IFERROR(VLOOKUP(ROWS($Q$3:Q332),$M$3:$N$718,2,0),"")</f>
        <v>Přenos elektřiny</v>
      </c>
      <c r="R332">
        <f>IF(ISNUMBER(SEARCH('1Př1'!$A$32,N332)),MAX($M$2:M331)+1,0)</f>
        <v>330</v>
      </c>
      <c r="S332" s="290" t="s">
        <v>1707</v>
      </c>
      <c r="T332" t="str">
        <f>IFERROR(VLOOKUP(ROWS($T$3:T332),$R$3:$S$718,2,0),"")</f>
        <v>Průzkum trhu a veřejného mínění</v>
      </c>
      <c r="U332">
        <f>IF(ISNUMBER(SEARCH('1Př1'!$A$33,N332)),MAX($M$2:M331)+1,0)</f>
        <v>330</v>
      </c>
      <c r="V332" s="290" t="s">
        <v>1707</v>
      </c>
      <c r="W332" t="str">
        <f>IFERROR(VLOOKUP(ROWS($W$3:W332),$U$3:$V$718,2,0),"")</f>
        <v>Průzkum trhu a veřejného mínění</v>
      </c>
      <c r="X332">
        <f>IF(ISNUMBER(SEARCH('1Př1'!$A$34,N332)),MAX($M$2:M331)+1,0)</f>
        <v>330</v>
      </c>
      <c r="Y332" s="290" t="s">
        <v>1707</v>
      </c>
      <c r="Z332" t="str">
        <f>IFERROR(VLOOKUP(ROWS($Z$3:Z332),$X$3:$Y$718,2,0),"")</f>
        <v>Průzkum trhu a veřejného mínění</v>
      </c>
    </row>
    <row r="333" spans="13:26" ht="25.5">
      <c r="M333" s="289">
        <f>IF(ISNUMBER(SEARCH(ZAKL_DATA!$B$29,N333)),MAX($M$2:M332)+1,0)</f>
        <v>331</v>
      </c>
      <c r="N333" s="482" t="s">
        <v>3091</v>
      </c>
      <c r="O333" s="482" t="s">
        <v>3092</v>
      </c>
      <c r="Q333" s="291" t="str">
        <f>IFERROR(VLOOKUP(ROWS($Q$3:Q333),$M$3:$N$718,2,0),"")</f>
        <v>Přeprava pacientů vozidly zdravotnické dopravní služby</v>
      </c>
      <c r="R333">
        <f>IF(ISNUMBER(SEARCH('1Př1'!$A$32,N333)),MAX($M$2:M332)+1,0)</f>
        <v>331</v>
      </c>
      <c r="S333" s="290" t="s">
        <v>1708</v>
      </c>
      <c r="T333" t="str">
        <f>IFERROR(VLOOKUP(ROWS($T$3:T333),$R$3:$S$718,2,0),"")</f>
        <v>Specializované návrhářské činnosti</v>
      </c>
      <c r="U333">
        <f>IF(ISNUMBER(SEARCH('1Př1'!$A$33,N333)),MAX($M$2:M332)+1,0)</f>
        <v>331</v>
      </c>
      <c r="V333" s="290" t="s">
        <v>1708</v>
      </c>
      <c r="W333" t="str">
        <f>IFERROR(VLOOKUP(ROWS($W$3:W333),$U$3:$V$718,2,0),"")</f>
        <v>Specializované návrhářské činnosti</v>
      </c>
      <c r="X333">
        <f>IF(ISNUMBER(SEARCH('1Př1'!$A$34,N333)),MAX($M$2:M332)+1,0)</f>
        <v>331</v>
      </c>
      <c r="Y333" s="290" t="s">
        <v>1708</v>
      </c>
      <c r="Z333" t="str">
        <f>IFERROR(VLOOKUP(ROWS($Z$3:Z333),$X$3:$Y$718,2,0),"")</f>
        <v>Specializované návrhářské činnosti</v>
      </c>
    </row>
    <row r="334" spans="13:26" ht="12.75">
      <c r="M334" s="289">
        <f>IF(ISNUMBER(SEARCH(ZAKL_DATA!$B$29,N334)),MAX($M$2:M333)+1,0)</f>
        <v>332</v>
      </c>
      <c r="N334" s="482" t="s">
        <v>1978</v>
      </c>
      <c r="O334" s="482" t="s">
        <v>3093</v>
      </c>
      <c r="Q334" s="291" t="str">
        <f>IFERROR(VLOOKUP(ROWS($Q$3:Q334),$M$3:$N$718,2,0),"")</f>
        <v>Příprava staveniště</v>
      </c>
      <c r="R334">
        <f>IF(ISNUMBER(SEARCH('1Př1'!$A$32,N334)),MAX($M$2:M333)+1,0)</f>
        <v>332</v>
      </c>
      <c r="S334" s="290" t="s">
        <v>1709</v>
      </c>
      <c r="T334" t="str">
        <f>IFERROR(VLOOKUP(ROWS($T$3:T334),$R$3:$S$718,2,0),"")</f>
        <v>Fotografické činnosti</v>
      </c>
      <c r="U334">
        <f>IF(ISNUMBER(SEARCH('1Př1'!$A$33,N334)),MAX($M$2:M333)+1,0)</f>
        <v>332</v>
      </c>
      <c r="V334" s="290" t="s">
        <v>1709</v>
      </c>
      <c r="W334" t="str">
        <f>IFERROR(VLOOKUP(ROWS($W$3:W334),$U$3:$V$718,2,0),"")</f>
        <v>Fotografické činnosti</v>
      </c>
      <c r="X334">
        <f>IF(ISNUMBER(SEARCH('1Př1'!$A$34,N334)),MAX($M$2:M333)+1,0)</f>
        <v>332</v>
      </c>
      <c r="Y334" s="290" t="s">
        <v>1709</v>
      </c>
      <c r="Z334" t="str">
        <f>IFERROR(VLOOKUP(ROWS($Z$3:Z334),$X$3:$Y$718,2,0),"")</f>
        <v>Fotografické činnosti</v>
      </c>
    </row>
    <row r="335" spans="13:26" ht="12.75">
      <c r="M335" s="289">
        <f>IF(ISNUMBER(SEARCH(ZAKL_DATA!$B$29,N335)),MAX($M$2:M334)+1,0)</f>
        <v>333</v>
      </c>
      <c r="N335" s="482" t="s">
        <v>1830</v>
      </c>
      <c r="O335" s="482" t="s">
        <v>3094</v>
      </c>
      <c r="Q335" s="291" t="str">
        <f>IFERROR(VLOOKUP(ROWS($Q$3:Q335),$M$3:$N$718,2,0),"")</f>
        <v>Příprava tisku a digitálních dat</v>
      </c>
      <c r="R335">
        <f>IF(ISNUMBER(SEARCH('1Př1'!$A$32,N335)),MAX($M$2:M334)+1,0)</f>
        <v>333</v>
      </c>
      <c r="S335" s="290" t="s">
        <v>1710</v>
      </c>
      <c r="T335" t="str">
        <f>IFERROR(VLOOKUP(ROWS($T$3:T335),$R$3:$S$718,2,0),"")</f>
        <v>Překladatelské a tlumočnické činnosti</v>
      </c>
      <c r="U335">
        <f>IF(ISNUMBER(SEARCH('1Př1'!$A$33,N335)),MAX($M$2:M334)+1,0)</f>
        <v>333</v>
      </c>
      <c r="V335" s="290" t="s">
        <v>1710</v>
      </c>
      <c r="W335" t="str">
        <f>IFERROR(VLOOKUP(ROWS($W$3:W335),$U$3:$V$718,2,0),"")</f>
        <v>Překladatelské a tlumočnické činnosti</v>
      </c>
      <c r="X335">
        <f>IF(ISNUMBER(SEARCH('1Př1'!$A$34,N335)),MAX($M$2:M334)+1,0)</f>
        <v>333</v>
      </c>
      <c r="Y335" s="290" t="s">
        <v>1710</v>
      </c>
      <c r="Z335" t="str">
        <f>IFERROR(VLOOKUP(ROWS($Z$3:Z335),$X$3:$Y$718,2,0),"")</f>
        <v>Překladatelské a tlumočnické činnosti</v>
      </c>
    </row>
    <row r="336" spans="13:26" ht="12.75">
      <c r="M336" s="289">
        <f>IF(ISNUMBER(SEARCH(ZAKL_DATA!$B$29,N336)),MAX($M$2:M335)+1,0)</f>
        <v>334</v>
      </c>
      <c r="N336" s="482" t="s">
        <v>1943</v>
      </c>
      <c r="O336" s="482" t="s">
        <v>3095</v>
      </c>
      <c r="Q336" s="291" t="str">
        <f>IFERROR(VLOOKUP(ROWS($Q$3:Q336),$M$3:$N$718,2,0),"")</f>
        <v>Ražení mincí</v>
      </c>
      <c r="R336">
        <f>IF(ISNUMBER(SEARCH('1Př1'!$A$32,N336)),MAX($M$2:M335)+1,0)</f>
        <v>334</v>
      </c>
      <c r="S336" s="290" t="s">
        <v>1711</v>
      </c>
      <c r="T336" t="str">
        <f>IFERROR(VLOOKUP(ROWS($T$3:T336),$R$3:$S$718,2,0),"")</f>
        <v>Ostatní profesní, vědecké a technické činnosti j. n.</v>
      </c>
      <c r="U336">
        <f>IF(ISNUMBER(SEARCH('1Př1'!$A$33,N336)),MAX($M$2:M335)+1,0)</f>
        <v>334</v>
      </c>
      <c r="V336" s="290" t="s">
        <v>1711</v>
      </c>
      <c r="W336" t="str">
        <f>IFERROR(VLOOKUP(ROWS($W$3:W336),$U$3:$V$718,2,0),"")</f>
        <v>Ostatní profesní, vědecké a technické činnosti j. n.</v>
      </c>
      <c r="X336">
        <f>IF(ISNUMBER(SEARCH('1Př1'!$A$34,N336)),MAX($M$2:M335)+1,0)</f>
        <v>334</v>
      </c>
      <c r="Y336" s="290" t="s">
        <v>1711</v>
      </c>
      <c r="Z336" t="str">
        <f>IFERROR(VLOOKUP(ROWS($Z$3:Z336),$X$3:$Y$718,2,0),"")</f>
        <v>Ostatní profesní, vědecké a technické činnosti j. n.</v>
      </c>
    </row>
    <row r="337" spans="13:26" ht="12.75">
      <c r="M337" s="289">
        <f>IF(ISNUMBER(SEARCH(ZAKL_DATA!$B$29,N337)),MAX($M$2:M336)+1,0)</f>
        <v>335</v>
      </c>
      <c r="N337" s="482" t="s">
        <v>2126</v>
      </c>
      <c r="O337" s="482" t="s">
        <v>3096</v>
      </c>
      <c r="Q337" s="291" t="str">
        <f>IFERROR(VLOOKUP(ROWS($Q$3:Q337),$M$3:$N$718,2,0),"")</f>
        <v>Regulace a podpora podnikatelského prostředí</v>
      </c>
      <c r="R337">
        <f>IF(ISNUMBER(SEARCH('1Př1'!$A$32,N337)),MAX($M$2:M336)+1,0)</f>
        <v>335</v>
      </c>
      <c r="S337" s="290" t="s">
        <v>1712</v>
      </c>
      <c r="T337" t="str">
        <f>IFERROR(VLOOKUP(ROWS($T$3:T337),$R$3:$S$718,2,0),"")</f>
        <v>Pronájem a leasing motorových vozidel, kromě motocyklů</v>
      </c>
      <c r="U337">
        <f>IF(ISNUMBER(SEARCH('1Př1'!$A$33,N337)),MAX($M$2:M336)+1,0)</f>
        <v>335</v>
      </c>
      <c r="V337" s="290" t="s">
        <v>1712</v>
      </c>
      <c r="W337" t="str">
        <f>IFERROR(VLOOKUP(ROWS($W$3:W337),$U$3:$V$718,2,0),"")</f>
        <v>Pronájem a leasing motorových vozidel, kromě motocyklů</v>
      </c>
      <c r="X337">
        <f>IF(ISNUMBER(SEARCH('1Př1'!$A$34,N337)),MAX($M$2:M336)+1,0)</f>
        <v>335</v>
      </c>
      <c r="Y337" s="290" t="s">
        <v>1712</v>
      </c>
      <c r="Z337" t="str">
        <f>IFERROR(VLOOKUP(ROWS($Z$3:Z337),$X$3:$Y$718,2,0),"")</f>
        <v>Pronájem a leasing motorových vozidel, kromě motocyklů</v>
      </c>
    </row>
    <row r="338" spans="13:26" ht="12.75">
      <c r="M338" s="289">
        <f>IF(ISNUMBER(SEARCH(ZAKL_DATA!$B$29,N338)),MAX($M$2:M337)+1,0)</f>
        <v>336</v>
      </c>
      <c r="N338" s="482" t="s">
        <v>3097</v>
      </c>
      <c r="O338" s="482" t="s">
        <v>3098</v>
      </c>
      <c r="Q338" s="291" t="str">
        <f>IFERROR(VLOOKUP(ROWS($Q$3:Q338),$M$3:$N$718,2,0),"")</f>
        <v>Regulace činností souvisejících s kulturou</v>
      </c>
      <c r="R338">
        <f>IF(ISNUMBER(SEARCH('1Př1'!$A$32,N338)),MAX($M$2:M337)+1,0)</f>
        <v>336</v>
      </c>
      <c r="S338" s="290" t="s">
        <v>1713</v>
      </c>
      <c r="T338" t="str">
        <f>IFERROR(VLOOKUP(ROWS($T$3:T338),$R$3:$S$718,2,0),"")</f>
        <v>Pronájem a leasing výrobků pro osobní potřebu a převážně pro domácnost</v>
      </c>
      <c r="U338">
        <f>IF(ISNUMBER(SEARCH('1Př1'!$A$33,N338)),MAX($M$2:M337)+1,0)</f>
        <v>336</v>
      </c>
      <c r="V338" s="290" t="s">
        <v>1713</v>
      </c>
      <c r="W338" t="str">
        <f>IFERROR(VLOOKUP(ROWS($W$3:W338),$U$3:$V$718,2,0),"")</f>
        <v>Pronájem a leasing výrobků pro osobní potřebu a převážně pro domácnost</v>
      </c>
      <c r="X338">
        <f>IF(ISNUMBER(SEARCH('1Př1'!$A$34,N338)),MAX($M$2:M337)+1,0)</f>
        <v>336</v>
      </c>
      <c r="Y338" s="290" t="s">
        <v>1713</v>
      </c>
      <c r="Z338" t="str">
        <f>IFERROR(VLOOKUP(ROWS($Z$3:Z338),$X$3:$Y$718,2,0),"")</f>
        <v>Pronájem a leasing výrobků pro osobní potřebu a převážně pro domácnost</v>
      </c>
    </row>
    <row r="339" spans="13:26" ht="25.5">
      <c r="M339" s="289">
        <f>IF(ISNUMBER(SEARCH(ZAKL_DATA!$B$29,N339)),MAX($M$2:M338)+1,0)</f>
        <v>337</v>
      </c>
      <c r="N339" s="482" t="s">
        <v>3099</v>
      </c>
      <c r="O339" s="482" t="s">
        <v>3100</v>
      </c>
      <c r="Q339" s="291" t="str">
        <f>IFERROR(VLOOKUP(ROWS($Q$3:Q339),$M$3:$N$718,2,0),"")</f>
        <v>Regulace činností souvisejících s poskytováním ostatních služeb pro společnost j. n.</v>
      </c>
      <c r="R339">
        <f>IF(ISNUMBER(SEARCH('1Př1'!$A$32,N339)),MAX($M$2:M338)+1,0)</f>
        <v>337</v>
      </c>
      <c r="S339" s="290" t="s">
        <v>1714</v>
      </c>
      <c r="T339" t="str">
        <f>IFERROR(VLOOKUP(ROWS($T$3:T339),$R$3:$S$718,2,0),"")</f>
        <v>Pronájem a leasing ostatních strojů, zařízení a výrobků</v>
      </c>
      <c r="U339">
        <f>IF(ISNUMBER(SEARCH('1Př1'!$A$33,N339)),MAX($M$2:M338)+1,0)</f>
        <v>337</v>
      </c>
      <c r="V339" s="290" t="s">
        <v>1714</v>
      </c>
      <c r="W339" t="str">
        <f>IFERROR(VLOOKUP(ROWS($W$3:W339),$U$3:$V$718,2,0),"")</f>
        <v>Pronájem a leasing ostatních strojů, zařízení a výrobků</v>
      </c>
      <c r="X339">
        <f>IF(ISNUMBER(SEARCH('1Př1'!$A$34,N339)),MAX($M$2:M338)+1,0)</f>
        <v>337</v>
      </c>
      <c r="Y339" s="290" t="s">
        <v>1714</v>
      </c>
      <c r="Z339" t="str">
        <f>IFERROR(VLOOKUP(ROWS($Z$3:Z339),$X$3:$Y$718,2,0),"")</f>
        <v>Pronájem a leasing ostatních strojů, zařízení a výrobků</v>
      </c>
    </row>
    <row r="340" spans="13:26" ht="38.25">
      <c r="M340" s="289">
        <f>IF(ISNUMBER(SEARCH(ZAKL_DATA!$B$29,N340)),MAX($M$2:M339)+1,0)</f>
        <v>338</v>
      </c>
      <c r="N340" s="482" t="s">
        <v>3101</v>
      </c>
      <c r="O340" s="482" t="s">
        <v>3102</v>
      </c>
      <c r="Q340" s="291" t="str">
        <f>IFERROR(VLOOKUP(ROWS($Q$3:Q340),$M$3:$N$718,2,0),"")</f>
        <v>Regulace činností souvisejících s poskytováním sociální péče, kromě povinného sociálního zabezpečení</v>
      </c>
      <c r="R340">
        <f>IF(ISNUMBER(SEARCH('1Př1'!$A$32,N340)),MAX($M$2:M339)+1,0)</f>
        <v>338</v>
      </c>
      <c r="S340" s="290" t="s">
        <v>1715</v>
      </c>
      <c r="T340" t="str">
        <f>IFERROR(VLOOKUP(ROWS($T$3:T340),$R$3:$S$718,2,0),"")</f>
        <v>Leasing duševního vlast.a podobných produktů,kromě děl chrán.autor.právem</v>
      </c>
      <c r="U340">
        <f>IF(ISNUMBER(SEARCH('1Př1'!$A$33,N340)),MAX($M$2:M339)+1,0)</f>
        <v>338</v>
      </c>
      <c r="V340" s="290" t="s">
        <v>1715</v>
      </c>
      <c r="W340" t="str">
        <f>IFERROR(VLOOKUP(ROWS($W$3:W340),$U$3:$V$718,2,0),"")</f>
        <v>Leasing duševního vlast.a podobných produktů,kromě děl chrán.autor.právem</v>
      </c>
      <c r="X340">
        <f>IF(ISNUMBER(SEARCH('1Př1'!$A$34,N340)),MAX($M$2:M339)+1,0)</f>
        <v>338</v>
      </c>
      <c r="Y340" s="290" t="s">
        <v>1715</v>
      </c>
      <c r="Z340" t="str">
        <f>IFERROR(VLOOKUP(ROWS($Z$3:Z340),$X$3:$Y$718,2,0),"")</f>
        <v>Leasing duševního vlast.a podobných produktů,kromě děl chrán.autor.právem</v>
      </c>
    </row>
    <row r="341" spans="13:26" ht="30">
      <c r="M341" s="289">
        <f>IF(ISNUMBER(SEARCH(ZAKL_DATA!$B$29,N341)),MAX($M$2:M340)+1,0)</f>
        <v>339</v>
      </c>
      <c r="N341" s="483" t="s">
        <v>3103</v>
      </c>
      <c r="O341" s="482" t="s">
        <v>3104</v>
      </c>
      <c r="Q341" s="291" t="str">
        <f>IFERROR(VLOOKUP(ROWS($Q$3:Q341),$M$3:$N$718,2,0),"")</f>
        <v>Regulace činností souvisejících s poskytováním zdravotní péče</v>
      </c>
      <c r="R341">
        <f>IF(ISNUMBER(SEARCH('1Př1'!$A$32,N341)),MAX($M$2:M340)+1,0)</f>
        <v>339</v>
      </c>
      <c r="S341" s="290" t="s">
        <v>1716</v>
      </c>
      <c r="T341" t="str">
        <f>IFERROR(VLOOKUP(ROWS($T$3:T341),$R$3:$S$718,2,0),"")</f>
        <v>Činnosti agentur zprostředkujících zaměstnání</v>
      </c>
      <c r="U341">
        <f>IF(ISNUMBER(SEARCH('1Př1'!$A$33,N341)),MAX($M$2:M340)+1,0)</f>
        <v>339</v>
      </c>
      <c r="V341" s="290" t="s">
        <v>1716</v>
      </c>
      <c r="W341" t="str">
        <f>IFERROR(VLOOKUP(ROWS($W$3:W341),$U$3:$V$718,2,0),"")</f>
        <v>Činnosti agentur zprostředkujících zaměstnání</v>
      </c>
      <c r="X341">
        <f>IF(ISNUMBER(SEARCH('1Př1'!$A$34,N341)),MAX($M$2:M340)+1,0)</f>
        <v>339</v>
      </c>
      <c r="Y341" s="290" t="s">
        <v>1716</v>
      </c>
      <c r="Z341" t="str">
        <f>IFERROR(VLOOKUP(ROWS($Z$3:Z341),$X$3:$Y$718,2,0),"")</f>
        <v>Činnosti agentur zprostředkujících zaměstnání</v>
      </c>
    </row>
    <row r="342" spans="13:26" ht="12.75">
      <c r="M342" s="289">
        <f>IF(ISNUMBER(SEARCH(ZAKL_DATA!$B$29,N342)),MAX($M$2:M341)+1,0)</f>
        <v>340</v>
      </c>
      <c r="N342" s="482" t="s">
        <v>3105</v>
      </c>
      <c r="O342" s="482" t="s">
        <v>3106</v>
      </c>
      <c r="Q342" s="291" t="str">
        <f>IFERROR(VLOOKUP(ROWS($Q$3:Q342),$M$3:$N$718,2,0),"")</f>
        <v>Regulace činností souvisejících se sportem</v>
      </c>
      <c r="R342">
        <f>IF(ISNUMBER(SEARCH('1Př1'!$A$32,N342)),MAX($M$2:M341)+1,0)</f>
        <v>340</v>
      </c>
      <c r="S342" s="290" t="s">
        <v>1717</v>
      </c>
      <c r="T342" t="str">
        <f>IFERROR(VLOOKUP(ROWS($T$3:T342),$R$3:$S$718,2,0),"")</f>
        <v>Činnosti agentur zprostředkujících práci na přechodnou dobu</v>
      </c>
      <c r="U342">
        <f>IF(ISNUMBER(SEARCH('1Př1'!$A$33,N342)),MAX($M$2:M341)+1,0)</f>
        <v>340</v>
      </c>
      <c r="V342" s="290" t="s">
        <v>1717</v>
      </c>
      <c r="W342" t="str">
        <f>IFERROR(VLOOKUP(ROWS($W$3:W342),$U$3:$V$718,2,0),"")</f>
        <v>Činnosti agentur zprostředkujících práci na přechodnou dobu</v>
      </c>
      <c r="X342">
        <f>IF(ISNUMBER(SEARCH('1Př1'!$A$34,N342)),MAX($M$2:M341)+1,0)</f>
        <v>340</v>
      </c>
      <c r="Y342" s="290" t="s">
        <v>1717</v>
      </c>
      <c r="Z342" t="str">
        <f>IFERROR(VLOOKUP(ROWS($Z$3:Z342),$X$3:$Y$718,2,0),"")</f>
        <v>Činnosti agentur zprostředkujících práci na přechodnou dobu</v>
      </c>
    </row>
    <row r="343" spans="13:26" ht="12.75">
      <c r="M343" s="289">
        <f>IF(ISNUMBER(SEARCH(ZAKL_DATA!$B$29,N343)),MAX($M$2:M342)+1,0)</f>
        <v>341</v>
      </c>
      <c r="N343" s="482" t="s">
        <v>3107</v>
      </c>
      <c r="O343" s="482" t="s">
        <v>3108</v>
      </c>
      <c r="Q343" s="291" t="str">
        <f>IFERROR(VLOOKUP(ROWS($Q$3:Q343),$M$3:$N$718,2,0),"")</f>
        <v>Regulace činností souvisejících se vzděláváním</v>
      </c>
      <c r="R343">
        <f>IF(ISNUMBER(SEARCH('1Př1'!$A$32,N343)),MAX($M$2:M342)+1,0)</f>
        <v>341</v>
      </c>
      <c r="S343" s="290" t="s">
        <v>1718</v>
      </c>
      <c r="T343" t="str">
        <f>IFERROR(VLOOKUP(ROWS($T$3:T343),$R$3:$S$718,2,0),"")</f>
        <v>Ostatní poskytování lidských zdrojů</v>
      </c>
      <c r="U343">
        <f>IF(ISNUMBER(SEARCH('1Př1'!$A$33,N343)),MAX($M$2:M342)+1,0)</f>
        <v>341</v>
      </c>
      <c r="V343" s="290" t="s">
        <v>1718</v>
      </c>
      <c r="W343" t="str">
        <f>IFERROR(VLOOKUP(ROWS($W$3:W343),$U$3:$V$718,2,0),"")</f>
        <v>Ostatní poskytování lidských zdrojů</v>
      </c>
      <c r="X343">
        <f>IF(ISNUMBER(SEARCH('1Př1'!$A$34,N343)),MAX($M$2:M342)+1,0)</f>
        <v>341</v>
      </c>
      <c r="Y343" s="290" t="s">
        <v>1718</v>
      </c>
      <c r="Z343" t="str">
        <f>IFERROR(VLOOKUP(ROWS($Z$3:Z343),$X$3:$Y$718,2,0),"")</f>
        <v>Ostatní poskytování lidských zdrojů</v>
      </c>
    </row>
    <row r="344" spans="13:26" ht="12.75">
      <c r="M344" s="289">
        <f>IF(ISNUMBER(SEARCH(ZAKL_DATA!$B$29,N344)),MAX($M$2:M343)+1,0)</f>
        <v>342</v>
      </c>
      <c r="N344" s="482" t="s">
        <v>1666</v>
      </c>
      <c r="O344" s="482" t="s">
        <v>3109</v>
      </c>
      <c r="Q344" s="291" t="str">
        <f>IFERROR(VLOOKUP(ROWS($Q$3:Q344),$M$3:$N$718,2,0),"")</f>
        <v>Rekreační a ostatní krátkodobé ubytování</v>
      </c>
      <c r="R344">
        <f>IF(ISNUMBER(SEARCH('1Př1'!$A$32,N344)),MAX($M$2:M343)+1,0)</f>
        <v>342</v>
      </c>
      <c r="S344" s="290" t="s">
        <v>1719</v>
      </c>
      <c r="T344" t="str">
        <f>IFERROR(VLOOKUP(ROWS($T$3:T344),$R$3:$S$718,2,0),"")</f>
        <v>Činnosti cestovních agentur a cestovních kanceláří</v>
      </c>
      <c r="U344">
        <f>IF(ISNUMBER(SEARCH('1Př1'!$A$33,N344)),MAX($M$2:M343)+1,0)</f>
        <v>342</v>
      </c>
      <c r="V344" s="290" t="s">
        <v>1719</v>
      </c>
      <c r="W344" t="str">
        <f>IFERROR(VLOOKUP(ROWS($W$3:W344),$U$3:$V$718,2,0),"")</f>
        <v>Činnosti cestovních agentur a cestovních kanceláří</v>
      </c>
      <c r="X344">
        <f>IF(ISNUMBER(SEARCH('1Př1'!$A$34,N344)),MAX($M$2:M343)+1,0)</f>
        <v>342</v>
      </c>
      <c r="Y344" s="290" t="s">
        <v>1719</v>
      </c>
      <c r="Z344" t="str">
        <f>IFERROR(VLOOKUP(ROWS($Z$3:Z344),$X$3:$Y$718,2,0),"")</f>
        <v>Činnosti cestovních agentur a cestovních kanceláří</v>
      </c>
    </row>
    <row r="345" spans="13:26" ht="12.75">
      <c r="M345" s="289">
        <f>IF(ISNUMBER(SEARCH(ZAKL_DATA!$B$29,N345)),MAX($M$2:M344)+1,0)</f>
        <v>343</v>
      </c>
      <c r="N345" s="482" t="s">
        <v>1676</v>
      </c>
      <c r="O345" s="482" t="s">
        <v>3110</v>
      </c>
      <c r="Q345" s="291" t="str">
        <f>IFERROR(VLOOKUP(ROWS($Q$3:Q345),$M$3:$N$718,2,0),"")</f>
        <v>Rozhlasové vysílání</v>
      </c>
      <c r="R345">
        <f>IF(ISNUMBER(SEARCH('1Př1'!$A$32,N345)),MAX($M$2:M344)+1,0)</f>
        <v>343</v>
      </c>
      <c r="S345" s="290" t="s">
        <v>1720</v>
      </c>
      <c r="T345" t="str">
        <f>IFERROR(VLOOKUP(ROWS($T$3:T345),$R$3:$S$718,2,0),"")</f>
        <v>Ostatní rezervační a související činnosti</v>
      </c>
      <c r="U345">
        <f>IF(ISNUMBER(SEARCH('1Př1'!$A$33,N345)),MAX($M$2:M344)+1,0)</f>
        <v>343</v>
      </c>
      <c r="V345" s="290" t="s">
        <v>1720</v>
      </c>
      <c r="W345" t="str">
        <f>IFERROR(VLOOKUP(ROWS($W$3:W345),$U$3:$V$718,2,0),"")</f>
        <v>Ostatní rezervační a související činnosti</v>
      </c>
      <c r="X345">
        <f>IF(ISNUMBER(SEARCH('1Př1'!$A$34,N345)),MAX($M$2:M344)+1,0)</f>
        <v>343</v>
      </c>
      <c r="Y345" s="290" t="s">
        <v>1720</v>
      </c>
      <c r="Z345" t="str">
        <f>IFERROR(VLOOKUP(ROWS($Z$3:Z345),$X$3:$Y$718,2,0),"")</f>
        <v>Ostatní rezervační a související činnosti</v>
      </c>
    </row>
    <row r="346" spans="13:26" ht="12.75">
      <c r="M346" s="289">
        <f>IF(ISNUMBER(SEARCH(ZAKL_DATA!$B$29,N346)),MAX($M$2:M345)+1,0)</f>
        <v>344</v>
      </c>
      <c r="N346" s="482" t="s">
        <v>1327</v>
      </c>
      <c r="O346" s="482" t="s">
        <v>3111</v>
      </c>
      <c r="Q346" s="291" t="str">
        <f>IFERROR(VLOOKUP(ROWS($Q$3:Q346),$M$3:$N$718,2,0),"")</f>
        <v>Rozmnožování nahraných nosičů</v>
      </c>
      <c r="R346">
        <f>IF(ISNUMBER(SEARCH('1Př1'!$A$32,N346)),MAX($M$2:M345)+1,0)</f>
        <v>344</v>
      </c>
      <c r="S346" s="290" t="s">
        <v>1721</v>
      </c>
      <c r="T346" t="str">
        <f>IFERROR(VLOOKUP(ROWS($T$3:T346),$R$3:$S$718,2,0),"")</f>
        <v>Činnosti soukromých bezpečnostních agentur</v>
      </c>
      <c r="U346">
        <f>IF(ISNUMBER(SEARCH('1Př1'!$A$33,N346)),MAX($M$2:M345)+1,0)</f>
        <v>344</v>
      </c>
      <c r="V346" s="290" t="s">
        <v>1721</v>
      </c>
      <c r="W346" t="str">
        <f>IFERROR(VLOOKUP(ROWS($W$3:W346),$U$3:$V$718,2,0),"")</f>
        <v>Činnosti soukromých bezpečnostních agentur</v>
      </c>
      <c r="X346">
        <f>IF(ISNUMBER(SEARCH('1Př1'!$A$34,N346)),MAX($M$2:M345)+1,0)</f>
        <v>344</v>
      </c>
      <c r="Y346" s="290" t="s">
        <v>1721</v>
      </c>
      <c r="Z346" t="str">
        <f>IFERROR(VLOOKUP(ROWS($Z$3:Z346),$X$3:$Y$718,2,0),"")</f>
        <v>Činnosti soukromých bezpečnostních agentur</v>
      </c>
    </row>
    <row r="347" spans="13:26" ht="12.75">
      <c r="M347" s="289">
        <f>IF(ISNUMBER(SEARCH(ZAKL_DATA!$B$29,N347)),MAX($M$2:M346)+1,0)</f>
        <v>345</v>
      </c>
      <c r="N347" s="482" t="s">
        <v>1403</v>
      </c>
      <c r="O347" s="482" t="s">
        <v>3112</v>
      </c>
      <c r="Q347" s="291" t="str">
        <f>IFERROR(VLOOKUP(ROWS($Q$3:Q347),$M$3:$N$718,2,0),"")</f>
        <v>Řezání, tvarování a konečná úprava kamenů</v>
      </c>
      <c r="R347">
        <f>IF(ISNUMBER(SEARCH('1Př1'!$A$32,N347)),MAX($M$2:M346)+1,0)</f>
        <v>345</v>
      </c>
      <c r="S347" s="290" t="s">
        <v>1722</v>
      </c>
      <c r="T347" t="str">
        <f>IFERROR(VLOOKUP(ROWS($T$3:T347),$R$3:$S$718,2,0),"")</f>
        <v>Činnosti související s provozem bezpečnostních systémů</v>
      </c>
      <c r="U347">
        <f>IF(ISNUMBER(SEARCH('1Př1'!$A$33,N347)),MAX($M$2:M346)+1,0)</f>
        <v>345</v>
      </c>
      <c r="V347" s="290" t="s">
        <v>1722</v>
      </c>
      <c r="W347" t="str">
        <f>IFERROR(VLOOKUP(ROWS($W$3:W347),$U$3:$V$718,2,0),"")</f>
        <v>Činnosti související s provozem bezpečnostních systémů</v>
      </c>
      <c r="X347">
        <f>IF(ISNUMBER(SEARCH('1Př1'!$A$34,N347)),MAX($M$2:M346)+1,0)</f>
        <v>345</v>
      </c>
      <c r="Y347" s="290" t="s">
        <v>1722</v>
      </c>
      <c r="Z347" t="str">
        <f>IFERROR(VLOOKUP(ROWS($Z$3:Z347),$X$3:$Y$718,2,0),"")</f>
        <v>Činnosti související s provozem bezpečnostních systémů</v>
      </c>
    </row>
    <row r="348" spans="13:26" ht="12.75">
      <c r="M348" s="289">
        <f>IF(ISNUMBER(SEARCH(ZAKL_DATA!$B$29,N348)),MAX($M$2:M347)+1,0)</f>
        <v>346</v>
      </c>
      <c r="N348" s="482" t="s">
        <v>2100</v>
      </c>
      <c r="O348" s="482" t="s">
        <v>3113</v>
      </c>
      <c r="Q348" s="291" t="str">
        <f>IFERROR(VLOOKUP(ROWS($Q$3:Q348),$M$3:$N$718,2,0),"")</f>
        <v>Řízení a správa finančních trhů</v>
      </c>
      <c r="R348">
        <f>IF(ISNUMBER(SEARCH('1Př1'!$A$32,N348)),MAX($M$2:M347)+1,0)</f>
        <v>346</v>
      </c>
      <c r="S348" s="290" t="s">
        <v>1723</v>
      </c>
      <c r="T348" t="str">
        <f>IFERROR(VLOOKUP(ROWS($T$3:T348),$R$3:$S$718,2,0),"")</f>
        <v>Pátrací činnosti</v>
      </c>
      <c r="U348">
        <f>IF(ISNUMBER(SEARCH('1Př1'!$A$33,N348)),MAX($M$2:M347)+1,0)</f>
        <v>346</v>
      </c>
      <c r="V348" s="290" t="s">
        <v>1723</v>
      </c>
      <c r="W348" t="str">
        <f>IFERROR(VLOOKUP(ROWS($W$3:W348),$U$3:$V$718,2,0),"")</f>
        <v>Pátrací činnosti</v>
      </c>
      <c r="X348">
        <f>IF(ISNUMBER(SEARCH('1Př1'!$A$34,N348)),MAX($M$2:M347)+1,0)</f>
        <v>346</v>
      </c>
      <c r="Y348" s="290" t="s">
        <v>1723</v>
      </c>
      <c r="Z348" t="str">
        <f>IFERROR(VLOOKUP(ROWS($Z$3:Z348),$X$3:$Y$718,2,0),"")</f>
        <v>Pátrací činnosti</v>
      </c>
    </row>
    <row r="349" spans="13:26" ht="12.75">
      <c r="M349" s="289">
        <f>IF(ISNUMBER(SEARCH(ZAKL_DATA!$B$29,N349)),MAX($M$2:M348)+1,0)</f>
        <v>347</v>
      </c>
      <c r="N349" s="482" t="s">
        <v>876</v>
      </c>
      <c r="O349" s="482" t="s">
        <v>3114</v>
      </c>
      <c r="Q349" s="291" t="str">
        <f>IFERROR(VLOOKUP(ROWS($Q$3:Q349),$M$3:$N$718,2,0),"")</f>
        <v>Sanace a jiné činnosti související s odpady</v>
      </c>
      <c r="R349">
        <f>IF(ISNUMBER(SEARCH('1Př1'!$A$32,N349)),MAX($M$2:M348)+1,0)</f>
        <v>347</v>
      </c>
      <c r="S349" s="290" t="s">
        <v>1724</v>
      </c>
      <c r="T349" t="str">
        <f>IFERROR(VLOOKUP(ROWS($T$3:T349),$R$3:$S$718,2,0),"")</f>
        <v>Kombinované pomocné činnosti</v>
      </c>
      <c r="U349">
        <f>IF(ISNUMBER(SEARCH('1Př1'!$A$33,N349)),MAX($M$2:M348)+1,0)</f>
        <v>347</v>
      </c>
      <c r="V349" s="290" t="s">
        <v>1724</v>
      </c>
      <c r="W349" t="str">
        <f>IFERROR(VLOOKUP(ROWS($W$3:W349),$U$3:$V$718,2,0),"")</f>
        <v>Kombinované pomocné činnosti</v>
      </c>
      <c r="X349">
        <f>IF(ISNUMBER(SEARCH('1Př1'!$A$34,N349)),MAX($M$2:M348)+1,0)</f>
        <v>347</v>
      </c>
      <c r="Y349" s="290" t="s">
        <v>1724</v>
      </c>
      <c r="Z349" t="str">
        <f>IFERROR(VLOOKUP(ROWS($Z$3:Z349),$X$3:$Y$718,2,0),"")</f>
        <v>Kombinované pomocné činnosti</v>
      </c>
    </row>
    <row r="350" spans="13:26" ht="25.5">
      <c r="M350" s="289">
        <f>IF(ISNUMBER(SEARCH(ZAKL_DATA!$B$29,N350)),MAX($M$2:M349)+1,0)</f>
        <v>348</v>
      </c>
      <c r="N350" s="482" t="s">
        <v>805</v>
      </c>
      <c r="O350" s="482" t="s">
        <v>3115</v>
      </c>
      <c r="Q350" s="291" t="str">
        <f>IFERROR(VLOOKUP(ROWS($Q$3:Q350),$M$3:$N$718,2,0),"")</f>
        <v>Sběr a získávání volně rostoucích plodů a materiálů, kromě dřeva</v>
      </c>
      <c r="R350">
        <f>IF(ISNUMBER(SEARCH('1Př1'!$A$32,N350)),MAX($M$2:M349)+1,0)</f>
        <v>348</v>
      </c>
      <c r="S350" s="290" t="s">
        <v>1725</v>
      </c>
      <c r="T350" t="str">
        <f>IFERROR(VLOOKUP(ROWS($T$3:T350),$R$3:$S$718,2,0),"")</f>
        <v>Dobývání kamene pro výtv.nebo stav.účely,vápence,sádrovce,křídy,břidl.</v>
      </c>
      <c r="U350">
        <f>IF(ISNUMBER(SEARCH('1Př1'!$A$33,N350)),MAX($M$2:M349)+1,0)</f>
        <v>348</v>
      </c>
      <c r="V350" s="290" t="s">
        <v>1725</v>
      </c>
      <c r="W350" t="str">
        <f>IFERROR(VLOOKUP(ROWS($W$3:W350),$U$3:$V$718,2,0),"")</f>
        <v>Dobývání kamene pro výtv.nebo stav.účely,vápence,sádrovce,křídy,břidl.</v>
      </c>
      <c r="X350">
        <f>IF(ISNUMBER(SEARCH('1Př1'!$A$34,N350)),MAX($M$2:M349)+1,0)</f>
        <v>348</v>
      </c>
      <c r="Y350" s="290" t="s">
        <v>1725</v>
      </c>
      <c r="Z350" t="str">
        <f>IFERROR(VLOOKUP(ROWS($Z$3:Z350),$X$3:$Y$718,2,0),"")</f>
        <v>Dobývání kamene pro výtv.nebo stav.účely,vápence,sádrovce,křídy,břidl.</v>
      </c>
    </row>
    <row r="351" spans="13:26" ht="12.75">
      <c r="M351" s="289">
        <f>IF(ISNUMBER(SEARCH(ZAKL_DATA!$B$29,N351)),MAX($M$2:M350)+1,0)</f>
        <v>349</v>
      </c>
      <c r="N351" s="482" t="s">
        <v>3116</v>
      </c>
      <c r="O351" s="482" t="s">
        <v>3117</v>
      </c>
      <c r="Q351" s="291" t="str">
        <f>IFERROR(VLOOKUP(ROWS($Q$3:Q351),$M$3:$N$718,2,0),"")</f>
        <v>Sběr nebezpečných odpadů</v>
      </c>
      <c r="R351">
        <f>IF(ISNUMBER(SEARCH('1Př1'!$A$32,N351)),MAX($M$2:M350)+1,0)</f>
        <v>349</v>
      </c>
      <c r="S351" s="290" t="s">
        <v>1726</v>
      </c>
      <c r="T351" t="str">
        <f>IFERROR(VLOOKUP(ROWS($T$3:T351),$R$3:$S$718,2,0),"")</f>
        <v>Úklidové činnosti</v>
      </c>
      <c r="U351">
        <f>IF(ISNUMBER(SEARCH('1Př1'!$A$33,N351)),MAX($M$2:M350)+1,0)</f>
        <v>349</v>
      </c>
      <c r="V351" s="290" t="s">
        <v>1726</v>
      </c>
      <c r="W351" t="str">
        <f>IFERROR(VLOOKUP(ROWS($W$3:W351),$U$3:$V$718,2,0),"")</f>
        <v>Úklidové činnosti</v>
      </c>
      <c r="X351">
        <f>IF(ISNUMBER(SEARCH('1Př1'!$A$34,N351)),MAX($M$2:M350)+1,0)</f>
        <v>349</v>
      </c>
      <c r="Y351" s="290" t="s">
        <v>1726</v>
      </c>
      <c r="Z351" t="str">
        <f>IFERROR(VLOOKUP(ROWS($Z$3:Z351),$X$3:$Y$718,2,0),"")</f>
        <v>Úklidové činnosti</v>
      </c>
    </row>
    <row r="352" spans="13:26" ht="12.75">
      <c r="M352" s="289">
        <f>IF(ISNUMBER(SEARCH(ZAKL_DATA!$B$29,N352)),MAX($M$2:M351)+1,0)</f>
        <v>350</v>
      </c>
      <c r="N352" s="482" t="s">
        <v>3118</v>
      </c>
      <c r="O352" s="482" t="s">
        <v>3119</v>
      </c>
      <c r="Q352" s="291" t="str">
        <f>IFERROR(VLOOKUP(ROWS($Q$3:Q352),$M$3:$N$718,2,0),"")</f>
        <v>Sběr odpadů, kromě nebezpečných</v>
      </c>
      <c r="R352">
        <f>IF(ISNUMBER(SEARCH('1Př1'!$A$32,N352)),MAX($M$2:M351)+1,0)</f>
        <v>350</v>
      </c>
      <c r="S352" s="290" t="s">
        <v>1727</v>
      </c>
      <c r="T352" t="str">
        <f>IFERROR(VLOOKUP(ROWS($T$3:T352),$R$3:$S$718,2,0),"")</f>
        <v>Provoz pískoven a štěrkopískoven; těžba jílů a kaolinu</v>
      </c>
      <c r="U352">
        <f>IF(ISNUMBER(SEARCH('1Př1'!$A$33,N352)),MAX($M$2:M351)+1,0)</f>
        <v>350</v>
      </c>
      <c r="V352" s="290" t="s">
        <v>1727</v>
      </c>
      <c r="W352" t="str">
        <f>IFERROR(VLOOKUP(ROWS($W$3:W352),$U$3:$V$718,2,0),"")</f>
        <v>Provoz pískoven a štěrkopískoven; těžba jílů a kaolinu</v>
      </c>
      <c r="X352">
        <f>IF(ISNUMBER(SEARCH('1Př1'!$A$34,N352)),MAX($M$2:M351)+1,0)</f>
        <v>350</v>
      </c>
      <c r="Y352" s="290" t="s">
        <v>1727</v>
      </c>
      <c r="Z352" t="str">
        <f>IFERROR(VLOOKUP(ROWS($Z$3:Z352),$X$3:$Y$718,2,0),"")</f>
        <v>Provoz pískoven a štěrkopískoven; těžba jílů a kaolinu</v>
      </c>
    </row>
    <row r="353" spans="13:26" ht="25.5">
      <c r="M353" s="289">
        <f>IF(ISNUMBER(SEARCH(ZAKL_DATA!$B$29,N353)),MAX($M$2:M352)+1,0)</f>
        <v>351</v>
      </c>
      <c r="N353" s="482" t="s">
        <v>3120</v>
      </c>
      <c r="O353" s="482" t="s">
        <v>3121</v>
      </c>
      <c r="Q353" s="291" t="str">
        <f>IFERROR(VLOOKUP(ROWS($Q$3:Q353),$M$3:$N$718,2,0),"")</f>
        <v>Sekundární odborné vzdělávání bez maturitní zkoušky v jiných než uměleckých oborech</v>
      </c>
      <c r="R353">
        <f>IF(ISNUMBER(SEARCH('1Př1'!$A$32,N353)),MAX($M$2:M352)+1,0)</f>
        <v>351</v>
      </c>
      <c r="S353" s="290" t="s">
        <v>1728</v>
      </c>
      <c r="T353" t="str">
        <f>IFERROR(VLOOKUP(ROWS($T$3:T353),$R$3:$S$718,2,0),"")</f>
        <v>Činnosti související s úpravou krajiny</v>
      </c>
      <c r="U353">
        <f>IF(ISNUMBER(SEARCH('1Př1'!$A$33,N353)),MAX($M$2:M352)+1,0)</f>
        <v>351</v>
      </c>
      <c r="V353" s="290" t="s">
        <v>1728</v>
      </c>
      <c r="W353" t="str">
        <f>IFERROR(VLOOKUP(ROWS($W$3:W353),$U$3:$V$718,2,0),"")</f>
        <v>Činnosti související s úpravou krajiny</v>
      </c>
      <c r="X353">
        <f>IF(ISNUMBER(SEARCH('1Př1'!$A$34,N353)),MAX($M$2:M352)+1,0)</f>
        <v>351</v>
      </c>
      <c r="Y353" s="290" t="s">
        <v>1728</v>
      </c>
      <c r="Z353" t="str">
        <f>IFERROR(VLOOKUP(ROWS($Z$3:Z353),$X$3:$Y$718,2,0),"")</f>
        <v>Činnosti související s úpravou krajiny</v>
      </c>
    </row>
    <row r="354" spans="13:26" ht="25.5">
      <c r="M354" s="289">
        <f>IF(ISNUMBER(SEARCH(ZAKL_DATA!$B$29,N354)),MAX($M$2:M353)+1,0)</f>
        <v>352</v>
      </c>
      <c r="N354" s="482" t="s">
        <v>3122</v>
      </c>
      <c r="O354" s="482" t="s">
        <v>3123</v>
      </c>
      <c r="Q354" s="291" t="str">
        <f>IFERROR(VLOOKUP(ROWS($Q$3:Q354),$M$3:$N$718,2,0),"")</f>
        <v>Sekundární odborné vzdělávání s maturitní zkouškou v jiných než uměleckých oborech</v>
      </c>
      <c r="R354">
        <f>IF(ISNUMBER(SEARCH('1Př1'!$A$32,N354)),MAX($M$2:M353)+1,0)</f>
        <v>352</v>
      </c>
      <c r="S354" s="290" t="s">
        <v>1729</v>
      </c>
      <c r="T354" t="str">
        <f>IFERROR(VLOOKUP(ROWS($T$3:T354),$R$3:$S$718,2,0),"")</f>
        <v>Administrativní a kancelářské činnosti</v>
      </c>
      <c r="U354">
        <f>IF(ISNUMBER(SEARCH('1Př1'!$A$33,N354)),MAX($M$2:M353)+1,0)</f>
        <v>352</v>
      </c>
      <c r="V354" s="290" t="s">
        <v>1729</v>
      </c>
      <c r="W354" t="str">
        <f>IFERROR(VLOOKUP(ROWS($W$3:W354),$U$3:$V$718,2,0),"")</f>
        <v>Administrativní a kancelářské činnosti</v>
      </c>
      <c r="X354">
        <f>IF(ISNUMBER(SEARCH('1Př1'!$A$34,N354)),MAX($M$2:M353)+1,0)</f>
        <v>352</v>
      </c>
      <c r="Y354" s="290" t="s">
        <v>1729</v>
      </c>
      <c r="Z354" t="str">
        <f>IFERROR(VLOOKUP(ROWS($Z$3:Z354),$X$3:$Y$718,2,0),"")</f>
        <v>Administrativní a kancelářské činnosti</v>
      </c>
    </row>
    <row r="355" spans="13:26" ht="25.5">
      <c r="M355" s="289">
        <f>IF(ISNUMBER(SEARCH(ZAKL_DATA!$B$29,N355)),MAX($M$2:M354)+1,0)</f>
        <v>353</v>
      </c>
      <c r="N355" s="482" t="s">
        <v>3124</v>
      </c>
      <c r="O355" s="482" t="s">
        <v>3125</v>
      </c>
      <c r="Q355" s="291" t="str">
        <f>IFERROR(VLOOKUP(ROWS($Q$3:Q355),$M$3:$N$718,2,0),"")</f>
        <v>Sekundární odborné vzdělávání v uměleckých oborech</v>
      </c>
      <c r="R355">
        <f>IF(ISNUMBER(SEARCH('1Př1'!$A$32,N355)),MAX($M$2:M354)+1,0)</f>
        <v>353</v>
      </c>
      <c r="S355" s="290" t="s">
        <v>1730</v>
      </c>
      <c r="T355" t="str">
        <f>IFERROR(VLOOKUP(ROWS($T$3:T355),$R$3:$S$718,2,0),"")</f>
        <v>Činnosti zprostředkovatelských středisek po telefonu</v>
      </c>
      <c r="U355">
        <f>IF(ISNUMBER(SEARCH('1Př1'!$A$33,N355)),MAX($M$2:M354)+1,0)</f>
        <v>353</v>
      </c>
      <c r="V355" s="290" t="s">
        <v>1730</v>
      </c>
      <c r="W355" t="str">
        <f>IFERROR(VLOOKUP(ROWS($W$3:W355),$U$3:$V$718,2,0),"")</f>
        <v>Činnosti zprostředkovatelských středisek po telefonu</v>
      </c>
      <c r="X355">
        <f>IF(ISNUMBER(SEARCH('1Př1'!$A$34,N355)),MAX($M$2:M354)+1,0)</f>
        <v>353</v>
      </c>
      <c r="Y355" s="290" t="s">
        <v>1730</v>
      </c>
      <c r="Z355" t="str">
        <f>IFERROR(VLOOKUP(ROWS($Z$3:Z355),$X$3:$Y$718,2,0),"")</f>
        <v>Činnosti zprostředkovatelských středisek po telefonu</v>
      </c>
    </row>
    <row r="356" spans="13:26" ht="25.5">
      <c r="M356" s="289">
        <f>IF(ISNUMBER(SEARCH(ZAKL_DATA!$B$29,N356)),MAX($M$2:M355)+1,0)</f>
        <v>354</v>
      </c>
      <c r="N356" s="482" t="s">
        <v>3126</v>
      </c>
      <c r="O356" s="482" t="s">
        <v>3127</v>
      </c>
      <c r="Q356" s="291" t="str">
        <f>IFERROR(VLOOKUP(ROWS($Q$3:Q356),$M$3:$N$718,2,0),"")</f>
        <v>Sekundární všeobecné vzdělávání na druhém stupni základních škol</v>
      </c>
      <c r="R356">
        <f>IF(ISNUMBER(SEARCH('1Př1'!$A$32,N356)),MAX($M$2:M355)+1,0)</f>
        <v>354</v>
      </c>
      <c r="S356" s="290" t="s">
        <v>1731</v>
      </c>
      <c r="T356" t="str">
        <f>IFERROR(VLOOKUP(ROWS($T$3:T356),$R$3:$S$718,2,0),"")</f>
        <v>Pořádání konferencí a hospodářských výstav</v>
      </c>
      <c r="U356">
        <f>IF(ISNUMBER(SEARCH('1Př1'!$A$33,N356)),MAX($M$2:M355)+1,0)</f>
        <v>354</v>
      </c>
      <c r="V356" s="290" t="s">
        <v>1731</v>
      </c>
      <c r="W356" t="str">
        <f>IFERROR(VLOOKUP(ROWS($W$3:W356),$U$3:$V$718,2,0),"")</f>
        <v>Pořádání konferencí a hospodářských výstav</v>
      </c>
      <c r="X356">
        <f>IF(ISNUMBER(SEARCH('1Př1'!$A$34,N356)),MAX($M$2:M355)+1,0)</f>
        <v>354</v>
      </c>
      <c r="Y356" s="290" t="s">
        <v>1731</v>
      </c>
      <c r="Z356" t="str">
        <f>IFERROR(VLOOKUP(ROWS($Z$3:Z356),$X$3:$Y$718,2,0),"")</f>
        <v>Pořádání konferencí a hospodářských výstav</v>
      </c>
    </row>
    <row r="357" spans="13:26" ht="25.5">
      <c r="M357" s="289">
        <f>IF(ISNUMBER(SEARCH(ZAKL_DATA!$B$29,N357)),MAX($M$2:M356)+1,0)</f>
        <v>355</v>
      </c>
      <c r="N357" s="482" t="s">
        <v>3128</v>
      </c>
      <c r="O357" s="482" t="s">
        <v>3129</v>
      </c>
      <c r="Q357" s="291" t="str">
        <f>IFERROR(VLOOKUP(ROWS($Q$3:Q357),$M$3:$N$718,2,0),"")</f>
        <v>Sekundární všeobecné vzdělávání na středních školách</v>
      </c>
      <c r="R357">
        <f>IF(ISNUMBER(SEARCH('1Př1'!$A$32,N357)),MAX($M$2:M356)+1,0)</f>
        <v>355</v>
      </c>
      <c r="S357" s="290" t="s">
        <v>1732</v>
      </c>
      <c r="T357" t="str">
        <f>IFERROR(VLOOKUP(ROWS($T$3:T357),$R$3:$S$718,2,0),"")</f>
        <v>Podpůrné činnosti pro podnikání j. n.</v>
      </c>
      <c r="U357">
        <f>IF(ISNUMBER(SEARCH('1Př1'!$A$33,N357)),MAX($M$2:M356)+1,0)</f>
        <v>355</v>
      </c>
      <c r="V357" s="290" t="s">
        <v>1732</v>
      </c>
      <c r="W357" t="str">
        <f>IFERROR(VLOOKUP(ROWS($W$3:W357),$U$3:$V$718,2,0),"")</f>
        <v>Podpůrné činnosti pro podnikání j. n.</v>
      </c>
      <c r="X357">
        <f>IF(ISNUMBER(SEARCH('1Př1'!$A$34,N357)),MAX($M$2:M356)+1,0)</f>
        <v>355</v>
      </c>
      <c r="Y357" s="290" t="s">
        <v>1732</v>
      </c>
      <c r="Z357" t="str">
        <f>IFERROR(VLOOKUP(ROWS($Z$3:Z357),$X$3:$Y$718,2,0),"")</f>
        <v>Podpůrné činnosti pro podnikání j. n.</v>
      </c>
    </row>
    <row r="358" spans="13:26" ht="12.75">
      <c r="M358" s="289">
        <f>IF(ISNUMBER(SEARCH(ZAKL_DATA!$B$29,N358)),MAX($M$2:M357)+1,0)</f>
        <v>356</v>
      </c>
      <c r="N358" s="482" t="s">
        <v>3130</v>
      </c>
      <c r="O358" s="482" t="s">
        <v>3131</v>
      </c>
      <c r="Q358" s="291" t="str">
        <f>IFERROR(VLOOKUP(ROWS($Q$3:Q358),$M$3:$N$718,2,0),"")</f>
        <v>Shromažďování, úprava a distribuce vody</v>
      </c>
      <c r="R358">
        <f>IF(ISNUMBER(SEARCH('1Př1'!$A$32,N358)),MAX($M$2:M357)+1,0)</f>
        <v>356</v>
      </c>
      <c r="S358" s="290" t="s">
        <v>1733</v>
      </c>
      <c r="T358" t="str">
        <f>IFERROR(VLOOKUP(ROWS($T$3:T358),$R$3:$S$718,2,0),"")</f>
        <v>Veřejná správa a hospodářská a sociální politika</v>
      </c>
      <c r="U358">
        <f>IF(ISNUMBER(SEARCH('1Př1'!$A$33,N358)),MAX($M$2:M357)+1,0)</f>
        <v>356</v>
      </c>
      <c r="V358" s="290" t="s">
        <v>1733</v>
      </c>
      <c r="W358" t="str">
        <f>IFERROR(VLOOKUP(ROWS($W$3:W358),$U$3:$V$718,2,0),"")</f>
        <v>Veřejná správa a hospodářská a sociální politika</v>
      </c>
      <c r="X358">
        <f>IF(ISNUMBER(SEARCH('1Př1'!$A$34,N358)),MAX($M$2:M357)+1,0)</f>
        <v>356</v>
      </c>
      <c r="Y358" s="290" t="s">
        <v>1733</v>
      </c>
      <c r="Z358" t="str">
        <f>IFERROR(VLOOKUP(ROWS($Z$3:Z358),$X$3:$Y$718,2,0),"")</f>
        <v>Veřejná správa a hospodářská a sociální politika</v>
      </c>
    </row>
    <row r="359" spans="13:26" ht="12.75">
      <c r="M359" s="289">
        <f>IF(ISNUMBER(SEARCH(ZAKL_DATA!$B$29,N359)),MAX($M$2:M358)+1,0)</f>
        <v>357</v>
      </c>
      <c r="N359" s="482" t="s">
        <v>2080</v>
      </c>
      <c r="O359" s="482" t="s">
        <v>3132</v>
      </c>
      <c r="Q359" s="291" t="str">
        <f>IFERROR(VLOOKUP(ROWS($Q$3:Q359),$M$3:$N$718,2,0),"")</f>
        <v>Silniční nákladní doprava</v>
      </c>
      <c r="R359">
        <f>IF(ISNUMBER(SEARCH('1Př1'!$A$32,N359)),MAX($M$2:M358)+1,0)</f>
        <v>357</v>
      </c>
      <c r="S359" s="290" t="s">
        <v>1734</v>
      </c>
      <c r="T359" t="str">
        <f>IFERROR(VLOOKUP(ROWS($T$3:T359),$R$3:$S$718,2,0),"")</f>
        <v>Činnosti pro společnost jako celek</v>
      </c>
      <c r="U359">
        <f>IF(ISNUMBER(SEARCH('1Př1'!$A$33,N359)),MAX($M$2:M358)+1,0)</f>
        <v>357</v>
      </c>
      <c r="V359" s="290" t="s">
        <v>1734</v>
      </c>
      <c r="W359" t="str">
        <f>IFERROR(VLOOKUP(ROWS($W$3:W359),$U$3:$V$718,2,0),"")</f>
        <v>Činnosti pro společnost jako celek</v>
      </c>
      <c r="X359">
        <f>IF(ISNUMBER(SEARCH('1Př1'!$A$34,N359)),MAX($M$2:M358)+1,0)</f>
        <v>357</v>
      </c>
      <c r="Y359" s="290" t="s">
        <v>1734</v>
      </c>
      <c r="Z359" t="str">
        <f>IFERROR(VLOOKUP(ROWS($Z$3:Z359),$X$3:$Y$718,2,0),"")</f>
        <v>Činnosti pro společnost jako celek</v>
      </c>
    </row>
    <row r="360" spans="13:26" ht="12.75">
      <c r="M360" s="289">
        <f>IF(ISNUMBER(SEARCH(ZAKL_DATA!$B$29,N360)),MAX($M$2:M359)+1,0)</f>
        <v>358</v>
      </c>
      <c r="N360" s="482" t="s">
        <v>3133</v>
      </c>
      <c r="O360" s="482" t="s">
        <v>3134</v>
      </c>
      <c r="Q360" s="291" t="str">
        <f>IFERROR(VLOOKUP(ROWS($Q$3:Q360),$M$3:$N$718,2,0),"")</f>
        <v>Skládkování nebo trvalé uložení odpadů</v>
      </c>
      <c r="R360">
        <f>IF(ISNUMBER(SEARCH('1Př1'!$A$32,N360)),MAX($M$2:M359)+1,0)</f>
        <v>358</v>
      </c>
      <c r="S360" s="290" t="s">
        <v>1735</v>
      </c>
      <c r="T360" t="str">
        <f>IFERROR(VLOOKUP(ROWS($T$3:T360),$R$3:$S$718,2,0),"")</f>
        <v>Činnosti v oblasti povinného sociálního zabezpečení</v>
      </c>
      <c r="U360">
        <f>IF(ISNUMBER(SEARCH('1Př1'!$A$33,N360)),MAX($M$2:M359)+1,0)</f>
        <v>358</v>
      </c>
      <c r="V360" s="290" t="s">
        <v>1735</v>
      </c>
      <c r="W360" t="str">
        <f>IFERROR(VLOOKUP(ROWS($W$3:W360),$U$3:$V$718,2,0),"")</f>
        <v>Činnosti v oblasti povinného sociálního zabezpečení</v>
      </c>
      <c r="X360">
        <f>IF(ISNUMBER(SEARCH('1Př1'!$A$34,N360)),MAX($M$2:M359)+1,0)</f>
        <v>358</v>
      </c>
      <c r="Y360" s="290" t="s">
        <v>1735</v>
      </c>
      <c r="Z360" t="str">
        <f>IFERROR(VLOOKUP(ROWS($Z$3:Z360),$X$3:$Y$718,2,0),"")</f>
        <v>Činnosti v oblasti povinného sociálního zabezpečení</v>
      </c>
    </row>
    <row r="361" spans="13:26" ht="12.75">
      <c r="M361" s="289">
        <f>IF(ISNUMBER(SEARCH(ZAKL_DATA!$B$29,N361)),MAX($M$2:M360)+1,0)</f>
        <v>359</v>
      </c>
      <c r="N361" s="482" t="s">
        <v>1661</v>
      </c>
      <c r="O361" s="482" t="s">
        <v>3135</v>
      </c>
      <c r="Q361" s="291" t="str">
        <f>IFERROR(VLOOKUP(ROWS($Q$3:Q361),$M$3:$N$718,2,0),"")</f>
        <v>Skladování</v>
      </c>
      <c r="R361">
        <f>IF(ISNUMBER(SEARCH('1Př1'!$A$32,N361)),MAX($M$2:M360)+1,0)</f>
        <v>359</v>
      </c>
      <c r="S361" s="290" t="s">
        <v>1736</v>
      </c>
      <c r="T361" t="str">
        <f>IFERROR(VLOOKUP(ROWS($T$3:T361),$R$3:$S$718,2,0),"")</f>
        <v>Předškolní vzdělávání</v>
      </c>
      <c r="U361">
        <f>IF(ISNUMBER(SEARCH('1Př1'!$A$33,N361)),MAX($M$2:M360)+1,0)</f>
        <v>359</v>
      </c>
      <c r="V361" s="290" t="s">
        <v>1736</v>
      </c>
      <c r="W361" t="str">
        <f>IFERROR(VLOOKUP(ROWS($W$3:W361),$U$3:$V$718,2,0),"")</f>
        <v>Předškolní vzdělávání</v>
      </c>
      <c r="X361">
        <f>IF(ISNUMBER(SEARCH('1Př1'!$A$34,N361)),MAX($M$2:M360)+1,0)</f>
        <v>359</v>
      </c>
      <c r="Y361" s="290" t="s">
        <v>1736</v>
      </c>
      <c r="Z361" t="str">
        <f>IFERROR(VLOOKUP(ROWS($Z$3:Z361),$X$3:$Y$718,2,0),"")</f>
        <v>Předškolní vzdělávání</v>
      </c>
    </row>
    <row r="362" spans="13:26" ht="12.75">
      <c r="M362" s="289">
        <f>IF(ISNUMBER(SEARCH(ZAKL_DATA!$B$29,N362)),MAX($M$2:M361)+1,0)</f>
        <v>360</v>
      </c>
      <c r="N362" s="482" t="s">
        <v>3136</v>
      </c>
      <c r="O362" s="482" t="s">
        <v>3137</v>
      </c>
      <c r="Q362" s="291" t="str">
        <f>IFERROR(VLOOKUP(ROWS($Q$3:Q362),$M$3:$N$718,2,0),"")</f>
        <v>Skladování elektřiny</v>
      </c>
      <c r="R362">
        <f>IF(ISNUMBER(SEARCH('1Př1'!$A$32,N362)),MAX($M$2:M361)+1,0)</f>
        <v>360</v>
      </c>
      <c r="S362" s="290" t="s">
        <v>1737</v>
      </c>
      <c r="T362" t="str">
        <f>IFERROR(VLOOKUP(ROWS($T$3:T362),$R$3:$S$718,2,0),"")</f>
        <v>Primární vzdělávání</v>
      </c>
      <c r="U362">
        <f>IF(ISNUMBER(SEARCH('1Př1'!$A$33,N362)),MAX($M$2:M361)+1,0)</f>
        <v>360</v>
      </c>
      <c r="V362" s="290" t="s">
        <v>1737</v>
      </c>
      <c r="W362" t="str">
        <f>IFERROR(VLOOKUP(ROWS($W$3:W362),$U$3:$V$718,2,0),"")</f>
        <v>Primární vzdělávání</v>
      </c>
      <c r="X362">
        <f>IF(ISNUMBER(SEARCH('1Př1'!$A$34,N362)),MAX($M$2:M361)+1,0)</f>
        <v>360</v>
      </c>
      <c r="Y362" s="290" t="s">
        <v>1737</v>
      </c>
      <c r="Z362" t="str">
        <f>IFERROR(VLOOKUP(ROWS($Z$3:Z362),$X$3:$Y$718,2,0),"")</f>
        <v>Primární vzdělávání</v>
      </c>
    </row>
    <row r="363" spans="13:26" ht="25.5">
      <c r="M363" s="289">
        <f>IF(ISNUMBER(SEARCH(ZAKL_DATA!$B$29,N363)),MAX($M$2:M362)+1,0)</f>
        <v>361</v>
      </c>
      <c r="N363" s="482" t="s">
        <v>3138</v>
      </c>
      <c r="O363" s="482" t="s">
        <v>3139</v>
      </c>
      <c r="Q363" s="291" t="str">
        <f>IFERROR(VLOOKUP(ROWS($Q$3:Q363),$M$3:$N$718,2,0),"")</f>
        <v>Skladování plynu jako součást služeb síťových dodávek</v>
      </c>
      <c r="R363">
        <f>IF(ISNUMBER(SEARCH('1Př1'!$A$32,N363)),MAX($M$2:M362)+1,0)</f>
        <v>361</v>
      </c>
      <c r="S363" s="290" t="s">
        <v>1738</v>
      </c>
      <c r="T363" t="str">
        <f>IFERROR(VLOOKUP(ROWS($T$3:T363),$R$3:$S$718,2,0),"")</f>
        <v>Sekundární vzdělávání</v>
      </c>
      <c r="U363">
        <f>IF(ISNUMBER(SEARCH('1Př1'!$A$33,N363)),MAX($M$2:M362)+1,0)</f>
        <v>361</v>
      </c>
      <c r="V363" s="290" t="s">
        <v>1738</v>
      </c>
      <c r="W363" t="str">
        <f>IFERROR(VLOOKUP(ROWS($W$3:W363),$U$3:$V$718,2,0),"")</f>
        <v>Sekundární vzdělávání</v>
      </c>
      <c r="X363">
        <f>IF(ISNUMBER(SEARCH('1Př1'!$A$34,N363)),MAX($M$2:M362)+1,0)</f>
        <v>361</v>
      </c>
      <c r="Y363" s="290" t="s">
        <v>1738</v>
      </c>
      <c r="Z363" t="str">
        <f>IFERROR(VLOOKUP(ROWS($Z$3:Z363),$X$3:$Y$718,2,0),"")</f>
        <v>Sekundární vzdělávání</v>
      </c>
    </row>
    <row r="364" spans="13:26" ht="12.75">
      <c r="M364" s="289">
        <f>IF(ISNUMBER(SEARCH(ZAKL_DATA!$B$29,N364)),MAX($M$2:M363)+1,0)</f>
        <v>362</v>
      </c>
      <c r="N364" s="482" t="s">
        <v>1986</v>
      </c>
      <c r="O364" s="482" t="s">
        <v>3140</v>
      </c>
      <c r="Q364" s="291" t="str">
        <f>IFERROR(VLOOKUP(ROWS($Q$3:Q364),$M$3:$N$718,2,0),"")</f>
        <v>Sklenářské, malířské a natěračské práce</v>
      </c>
      <c r="R364">
        <f>IF(ISNUMBER(SEARCH('1Př1'!$A$32,N364)),MAX($M$2:M363)+1,0)</f>
        <v>362</v>
      </c>
      <c r="S364" s="290" t="s">
        <v>1739</v>
      </c>
      <c r="T364" t="str">
        <f>IFERROR(VLOOKUP(ROWS($T$3:T364),$R$3:$S$718,2,0),"")</f>
        <v>Postsekundární vzdělávání</v>
      </c>
      <c r="U364">
        <f>IF(ISNUMBER(SEARCH('1Př1'!$A$33,N364)),MAX($M$2:M363)+1,0)</f>
        <v>362</v>
      </c>
      <c r="V364" s="290" t="s">
        <v>1739</v>
      </c>
      <c r="W364" t="str">
        <f>IFERROR(VLOOKUP(ROWS($W$3:W364),$U$3:$V$718,2,0),"")</f>
        <v>Postsekundární vzdělávání</v>
      </c>
      <c r="X364">
        <f>IF(ISNUMBER(SEARCH('1Př1'!$A$34,N364)),MAX($M$2:M363)+1,0)</f>
        <v>362</v>
      </c>
      <c r="Y364" s="290" t="s">
        <v>1739</v>
      </c>
      <c r="Z364" t="str">
        <f>IFERROR(VLOOKUP(ROWS($Z$3:Z364),$X$3:$Y$718,2,0),"")</f>
        <v>Postsekundární vzdělávání</v>
      </c>
    </row>
    <row r="365" spans="13:26" ht="12.75">
      <c r="M365" s="289">
        <f>IF(ISNUMBER(SEARCH(ZAKL_DATA!$B$29,N365)),MAX($M$2:M364)+1,0)</f>
        <v>363</v>
      </c>
      <c r="N365" s="482" t="s">
        <v>1563</v>
      </c>
      <c r="O365" s="482" t="s">
        <v>3141</v>
      </c>
      <c r="Q365" s="291" t="str">
        <f>IFERROR(VLOOKUP(ROWS($Q$3:Q365),$M$3:$N$718,2,0),"")</f>
        <v>Sladkovodní akvakultura</v>
      </c>
      <c r="R365">
        <f>IF(ISNUMBER(SEARCH('1Př1'!$A$32,N365)),MAX($M$2:M364)+1,0)</f>
        <v>363</v>
      </c>
      <c r="S365" s="290" t="s">
        <v>1740</v>
      </c>
      <c r="T365" t="str">
        <f>IFERROR(VLOOKUP(ROWS($T$3:T365),$R$3:$S$718,2,0),"")</f>
        <v>Ostatní vzdělávání</v>
      </c>
      <c r="U365">
        <f>IF(ISNUMBER(SEARCH('1Př1'!$A$33,N365)),MAX($M$2:M364)+1,0)</f>
        <v>363</v>
      </c>
      <c r="V365" s="290" t="s">
        <v>1740</v>
      </c>
      <c r="W365" t="str">
        <f>IFERROR(VLOOKUP(ROWS($W$3:W365),$U$3:$V$718,2,0),"")</f>
        <v>Ostatní vzdělávání</v>
      </c>
      <c r="X365">
        <f>IF(ISNUMBER(SEARCH('1Př1'!$A$34,N365)),MAX($M$2:M364)+1,0)</f>
        <v>363</v>
      </c>
      <c r="Y365" s="290" t="s">
        <v>1740</v>
      </c>
      <c r="Z365" t="str">
        <f>IFERROR(VLOOKUP(ROWS($Z$3:Z365),$X$3:$Y$718,2,0),"")</f>
        <v>Ostatní vzdělávání</v>
      </c>
    </row>
    <row r="366" spans="13:26" ht="12.75">
      <c r="M366" s="289">
        <f>IF(ISNUMBER(SEARCH(ZAKL_DATA!$B$29,N366)),MAX($M$2:M365)+1,0)</f>
        <v>364</v>
      </c>
      <c r="N366" s="482" t="s">
        <v>1551</v>
      </c>
      <c r="O366" s="482" t="s">
        <v>3142</v>
      </c>
      <c r="Q366" s="291" t="str">
        <f>IFERROR(VLOOKUP(ROWS($Q$3:Q366),$M$3:$N$718,2,0),"")</f>
        <v>Sladkovodní rybolov</v>
      </c>
      <c r="R366">
        <f>IF(ISNUMBER(SEARCH('1Př1'!$A$32,N366)),MAX($M$2:M365)+1,0)</f>
        <v>364</v>
      </c>
      <c r="S366" s="290" t="s">
        <v>1741</v>
      </c>
      <c r="T366" t="str">
        <f>IFERROR(VLOOKUP(ROWS($T$3:T366),$R$3:$S$718,2,0),"")</f>
        <v>Podpůrné činnosti ve vzdělávání</v>
      </c>
      <c r="U366">
        <f>IF(ISNUMBER(SEARCH('1Př1'!$A$33,N366)),MAX($M$2:M365)+1,0)</f>
        <v>364</v>
      </c>
      <c r="V366" s="290" t="s">
        <v>1741</v>
      </c>
      <c r="W366" t="str">
        <f>IFERROR(VLOOKUP(ROWS($W$3:W366),$U$3:$V$718,2,0),"")</f>
        <v>Podpůrné činnosti ve vzdělávání</v>
      </c>
      <c r="X366">
        <f>IF(ISNUMBER(SEARCH('1Př1'!$A$34,N366)),MAX($M$2:M365)+1,0)</f>
        <v>364</v>
      </c>
      <c r="Y366" s="290" t="s">
        <v>1741</v>
      </c>
      <c r="Z366" t="str">
        <f>IFERROR(VLOOKUP(ROWS($Z$3:Z366),$X$3:$Y$718,2,0),"")</f>
        <v>Podpůrné činnosti ve vzdělávání</v>
      </c>
    </row>
    <row r="367" spans="13:26" ht="12.75">
      <c r="M367" s="289">
        <f>IF(ISNUMBER(SEARCH(ZAKL_DATA!$B$29,N367)),MAX($M$2:M366)+1,0)</f>
        <v>365</v>
      </c>
      <c r="N367" s="482" t="s">
        <v>3143</v>
      </c>
      <c r="O367" s="482" t="s">
        <v>3144</v>
      </c>
      <c r="Q367" s="291" t="str">
        <f>IFERROR(VLOOKUP(ROWS($Q$3:Q367),$M$3:$N$718,2,0),"")</f>
        <v>Služby pro děti</v>
      </c>
      <c r="R367">
        <f>IF(ISNUMBER(SEARCH('1Př1'!$A$32,N367)),MAX($M$2:M366)+1,0)</f>
        <v>365</v>
      </c>
      <c r="S367" s="290" t="s">
        <v>1742</v>
      </c>
      <c r="T367" t="str">
        <f>IFERROR(VLOOKUP(ROWS($T$3:T367),$R$3:$S$718,2,0),"")</f>
        <v>Ústavní zdravotní péče</v>
      </c>
      <c r="U367">
        <f>IF(ISNUMBER(SEARCH('1Př1'!$A$33,N367)),MAX($M$2:M366)+1,0)</f>
        <v>365</v>
      </c>
      <c r="V367" s="290" t="s">
        <v>1742</v>
      </c>
      <c r="W367" t="str">
        <f>IFERROR(VLOOKUP(ROWS($W$3:W367),$U$3:$V$718,2,0),"")</f>
        <v>Ústavní zdravotní péče</v>
      </c>
      <c r="X367">
        <f>IF(ISNUMBER(SEARCH('1Př1'!$A$34,N367)),MAX($M$2:M366)+1,0)</f>
        <v>365</v>
      </c>
      <c r="Y367" s="290" t="s">
        <v>1742</v>
      </c>
      <c r="Z367" t="str">
        <f>IFERROR(VLOOKUP(ROWS($Z$3:Z367),$X$3:$Y$718,2,0),"")</f>
        <v>Ústavní zdravotní péče</v>
      </c>
    </row>
    <row r="368" spans="13:26" ht="12.75">
      <c r="M368" s="289">
        <f>IF(ISNUMBER(SEARCH(ZAKL_DATA!$B$29,N368)),MAX($M$2:M367)+1,0)</f>
        <v>366</v>
      </c>
      <c r="N368" s="482" t="s">
        <v>3145</v>
      </c>
      <c r="O368" s="482" t="s">
        <v>3146</v>
      </c>
      <c r="Q368" s="291" t="str">
        <f>IFERROR(VLOOKUP(ROWS($Q$3:Q368),$M$3:$N$718,2,0),"")</f>
        <v>Smíšené hospodaření</v>
      </c>
      <c r="R368">
        <f>IF(ISNUMBER(SEARCH('1Př1'!$A$32,N368)),MAX($M$2:M367)+1,0)</f>
        <v>366</v>
      </c>
      <c r="S368" s="290" t="s">
        <v>1743</v>
      </c>
      <c r="T368" t="str">
        <f>IFERROR(VLOOKUP(ROWS($T$3:T368),$R$3:$S$718,2,0),"")</f>
        <v>Ambulantní a zubní zdravotní péče</v>
      </c>
      <c r="U368">
        <f>IF(ISNUMBER(SEARCH('1Př1'!$A$33,N368)),MAX($M$2:M367)+1,0)</f>
        <v>366</v>
      </c>
      <c r="V368" s="290" t="s">
        <v>1743</v>
      </c>
      <c r="W368" t="str">
        <f>IFERROR(VLOOKUP(ROWS($W$3:W368),$U$3:$V$718,2,0),"")</f>
        <v>Ambulantní a zubní zdravotní péče</v>
      </c>
      <c r="X368">
        <f>IF(ISNUMBER(SEARCH('1Př1'!$A$34,N368)),MAX($M$2:M367)+1,0)</f>
        <v>366</v>
      </c>
      <c r="Y368" s="290" t="s">
        <v>1743</v>
      </c>
      <c r="Z368" t="str">
        <f>IFERROR(VLOOKUP(ROWS($Z$3:Z368),$X$3:$Y$718,2,0),"")</f>
        <v>Ambulantní a zubní zdravotní péče</v>
      </c>
    </row>
    <row r="369" spans="13:26" ht="12.75">
      <c r="M369" s="289">
        <f>IF(ISNUMBER(SEARCH(ZAKL_DATA!$B$29,N369)),MAX($M$2:M368)+1,0)</f>
        <v>367</v>
      </c>
      <c r="N369" s="482" t="s">
        <v>3147</v>
      </c>
      <c r="O369" s="482" t="s">
        <v>3148</v>
      </c>
      <c r="Q369" s="291" t="str">
        <f>IFERROR(VLOOKUP(ROWS($Q$3:Q369),$M$3:$N$718,2,0),"")</f>
        <v>Spalování odpadů bez energetického využití</v>
      </c>
      <c r="R369">
        <f>IF(ISNUMBER(SEARCH('1Př1'!$A$32,N369)),MAX($M$2:M368)+1,0)</f>
        <v>367</v>
      </c>
      <c r="S369" s="290" t="s">
        <v>1744</v>
      </c>
      <c r="T369" t="str">
        <f>IFERROR(VLOOKUP(ROWS($T$3:T369),$R$3:$S$718,2,0),"")</f>
        <v>Ostatní činnosti související se zdravotní péčí</v>
      </c>
      <c r="U369">
        <f>IF(ISNUMBER(SEARCH('1Př1'!$A$33,N369)),MAX($M$2:M368)+1,0)</f>
        <v>367</v>
      </c>
      <c r="V369" s="290" t="s">
        <v>1744</v>
      </c>
      <c r="W369" t="str">
        <f>IFERROR(VLOOKUP(ROWS($W$3:W369),$U$3:$V$718,2,0),"")</f>
        <v>Ostatní činnosti související se zdravotní péčí</v>
      </c>
      <c r="X369">
        <f>IF(ISNUMBER(SEARCH('1Př1'!$A$34,N369)),MAX($M$2:M368)+1,0)</f>
        <v>367</v>
      </c>
      <c r="Y369" s="290" t="s">
        <v>1744</v>
      </c>
      <c r="Z369" t="str">
        <f>IFERROR(VLOOKUP(ROWS($Z$3:Z369),$X$3:$Y$718,2,0),"")</f>
        <v>Ostatní činnosti související se zdravotní péčí</v>
      </c>
    </row>
    <row r="370" spans="13:26" ht="12.75">
      <c r="M370" s="289">
        <f>IF(ISNUMBER(SEARCH(ZAKL_DATA!$B$29,N370)),MAX($M$2:M369)+1,0)</f>
        <v>368</v>
      </c>
      <c r="N370" s="482" t="s">
        <v>2134</v>
      </c>
      <c r="O370" s="482" t="s">
        <v>3149</v>
      </c>
      <c r="Q370" s="291" t="str">
        <f>IFERROR(VLOOKUP(ROWS($Q$3:Q370),$M$3:$N$718,2,0),"")</f>
        <v>Specializovaná ambulantní zdravotní péče</v>
      </c>
      <c r="R370">
        <f>IF(ISNUMBER(SEARCH('1Př1'!$A$32,N370)),MAX($M$2:M369)+1,0)</f>
        <v>368</v>
      </c>
      <c r="S370" s="290" t="s">
        <v>1745</v>
      </c>
      <c r="T370" t="str">
        <f>IFERROR(VLOOKUP(ROWS($T$3:T370),$R$3:$S$718,2,0),"")</f>
        <v>Ústavní sociální péče</v>
      </c>
      <c r="U370">
        <f>IF(ISNUMBER(SEARCH('1Př1'!$A$33,N370)),MAX($M$2:M369)+1,0)</f>
        <v>368</v>
      </c>
      <c r="V370" s="290" t="s">
        <v>1745</v>
      </c>
      <c r="W370" t="str">
        <f>IFERROR(VLOOKUP(ROWS($W$3:W370),$U$3:$V$718,2,0),"")</f>
        <v>Ústavní sociální péče</v>
      </c>
      <c r="X370">
        <f>IF(ISNUMBER(SEARCH('1Př1'!$A$34,N370)),MAX($M$2:M369)+1,0)</f>
        <v>368</v>
      </c>
      <c r="Y370" s="290" t="s">
        <v>1745</v>
      </c>
      <c r="Z370" t="str">
        <f>IFERROR(VLOOKUP(ROWS($Z$3:Z370),$X$3:$Y$718,2,0),"")</f>
        <v>Ústavní sociální péče</v>
      </c>
    </row>
    <row r="371" spans="13:26" ht="25.5">
      <c r="M371" s="289">
        <f>IF(ISNUMBER(SEARCH(ZAKL_DATA!$B$29,N371)),MAX($M$2:M370)+1,0)</f>
        <v>369</v>
      </c>
      <c r="N371" s="482" t="s">
        <v>2120</v>
      </c>
      <c r="O371" s="482" t="s">
        <v>3150</v>
      </c>
      <c r="Q371" s="291" t="str">
        <f>IFERROR(VLOOKUP(ROWS($Q$3:Q371),$M$3:$N$718,2,0),"")</f>
        <v>Specializované čištění a úklid budov a průmyslových zařízení</v>
      </c>
      <c r="R371">
        <f>IF(ISNUMBER(SEARCH('1Př1'!$A$32,N371)),MAX($M$2:M370)+1,0)</f>
        <v>369</v>
      </c>
      <c r="S371" s="290" t="s">
        <v>1746</v>
      </c>
      <c r="T371" t="str">
        <f>IFERROR(VLOOKUP(ROWS($T$3:T371),$R$3:$S$718,2,0),"")</f>
        <v>Sociální péče ve zdravotnických zařízeních ústavní péče</v>
      </c>
      <c r="U371">
        <f>IF(ISNUMBER(SEARCH('1Př1'!$A$33,N371)),MAX($M$2:M370)+1,0)</f>
        <v>369</v>
      </c>
      <c r="V371" s="290" t="s">
        <v>1746</v>
      </c>
      <c r="W371" t="str">
        <f>IFERROR(VLOOKUP(ROWS($W$3:W371),$U$3:$V$718,2,0),"")</f>
        <v>Sociální péče ve zdravotnických zařízeních ústavní péče</v>
      </c>
      <c r="X371">
        <f>IF(ISNUMBER(SEARCH('1Př1'!$A$34,N371)),MAX($M$2:M370)+1,0)</f>
        <v>369</v>
      </c>
      <c r="Y371" s="290" t="s">
        <v>1746</v>
      </c>
      <c r="Z371" t="str">
        <f>IFERROR(VLOOKUP(ROWS($Z$3:Z371),$X$3:$Y$718,2,0),"")</f>
        <v>Sociální péče ve zdravotnických zařízeních ústavní péče</v>
      </c>
    </row>
    <row r="372" spans="13:26" ht="25.5">
      <c r="M372" s="289">
        <f>IF(ISNUMBER(SEARCH(ZAKL_DATA!$B$29,N372)),MAX($M$2:M371)+1,0)</f>
        <v>370</v>
      </c>
      <c r="N372" s="482" t="s">
        <v>3151</v>
      </c>
      <c r="O372" s="482" t="s">
        <v>3152</v>
      </c>
      <c r="Q372" s="291" t="str">
        <f>IFERROR(VLOOKUP(ROWS($Q$3:Q372),$M$3:$N$718,2,0),"")</f>
        <v>Specializované stavební činnosti při výstavbě inženýrských děl</v>
      </c>
      <c r="R372">
        <f>IF(ISNUMBER(SEARCH('1Př1'!$A$32,N372)),MAX($M$2:M371)+1,0)</f>
        <v>370</v>
      </c>
      <c r="S372" s="290" t="s">
        <v>1747</v>
      </c>
      <c r="T372" t="str">
        <f>IFERROR(VLOOKUP(ROWS($T$3:T372),$R$3:$S$718,2,0),"")</f>
        <v>Soc.péče v zaříz.pro osoby s chron.duš.onemoc.a osoby závislé na návyk.l.</v>
      </c>
      <c r="U372">
        <f>IF(ISNUMBER(SEARCH('1Př1'!$A$33,N372)),MAX($M$2:M371)+1,0)</f>
        <v>370</v>
      </c>
      <c r="V372" s="290" t="s">
        <v>1747</v>
      </c>
      <c r="W372" t="str">
        <f>IFERROR(VLOOKUP(ROWS($W$3:W372),$U$3:$V$718,2,0),"")</f>
        <v>Soc.péče v zaříz.pro osoby s chron.duš.onemoc.a osoby závislé na návyk.l.</v>
      </c>
      <c r="X372">
        <f>IF(ISNUMBER(SEARCH('1Př1'!$A$34,N372)),MAX($M$2:M371)+1,0)</f>
        <v>370</v>
      </c>
      <c r="Y372" s="290" t="s">
        <v>1747</v>
      </c>
      <c r="Z372" t="str">
        <f>IFERROR(VLOOKUP(ROWS($Z$3:Z372),$X$3:$Y$718,2,0),"")</f>
        <v>Soc.péče v zaříz.pro osoby s chron.duš.onemoc.a osoby závislé na návyk.l.</v>
      </c>
    </row>
    <row r="373" spans="13:26" ht="12.75">
      <c r="M373" s="289">
        <f>IF(ISNUMBER(SEARCH(ZAKL_DATA!$B$29,N373)),MAX($M$2:M372)+1,0)</f>
        <v>371</v>
      </c>
      <c r="N373" s="482" t="s">
        <v>3153</v>
      </c>
      <c r="O373" s="482" t="s">
        <v>3154</v>
      </c>
      <c r="Q373" s="291" t="str">
        <f>IFERROR(VLOOKUP(ROWS($Q$3:Q373),$M$3:$N$718,2,0),"")</f>
        <v>Specializovaný maloobchod s ostatními potravinami</v>
      </c>
      <c r="R373">
        <f>IF(ISNUMBER(SEARCH('1Př1'!$A$32,N373)),MAX($M$2:M372)+1,0)</f>
        <v>371</v>
      </c>
      <c r="S373" s="290" t="s">
        <v>1748</v>
      </c>
      <c r="T373" t="str">
        <f>IFERROR(VLOOKUP(ROWS($T$3:T373),$R$3:$S$718,2,0),"")</f>
        <v>Sociální péče v domovech pro seniory a osoby se zdravotním postižením</v>
      </c>
      <c r="U373">
        <f>IF(ISNUMBER(SEARCH('1Př1'!$A$33,N373)),MAX($M$2:M372)+1,0)</f>
        <v>371</v>
      </c>
      <c r="V373" s="290" t="s">
        <v>1748</v>
      </c>
      <c r="W373" t="str">
        <f>IFERROR(VLOOKUP(ROWS($W$3:W373),$U$3:$V$718,2,0),"")</f>
        <v>Sociální péče v domovech pro seniory a osoby se zdravotním postižením</v>
      </c>
      <c r="X373">
        <f>IF(ISNUMBER(SEARCH('1Př1'!$A$34,N373)),MAX($M$2:M372)+1,0)</f>
        <v>371</v>
      </c>
      <c r="Y373" s="290" t="s">
        <v>1748</v>
      </c>
      <c r="Z373" t="str">
        <f>IFERROR(VLOOKUP(ROWS($Z$3:Z373),$X$3:$Y$718,2,0),"")</f>
        <v>Sociální péče v domovech pro seniory a osoby se zdravotním postižením</v>
      </c>
    </row>
    <row r="374" spans="13:26" ht="12.75">
      <c r="M374" s="289">
        <f>IF(ISNUMBER(SEARCH(ZAKL_DATA!$B$29,N374)),MAX($M$2:M373)+1,0)</f>
        <v>372</v>
      </c>
      <c r="N374" s="482" t="s">
        <v>3155</v>
      </c>
      <c r="O374" s="482" t="s">
        <v>3156</v>
      </c>
      <c r="Q374" s="291" t="str">
        <f>IFERROR(VLOOKUP(ROWS($Q$3:Q374),$M$3:$N$718,2,0),"")</f>
        <v>Specializovaný velkoobchod s ostatními potravinami</v>
      </c>
      <c r="R374">
        <f>IF(ISNUMBER(SEARCH('1Př1'!$A$32,N374)),MAX($M$2:M373)+1,0)</f>
        <v>372</v>
      </c>
      <c r="S374" s="290" t="s">
        <v>1749</v>
      </c>
      <c r="T374" t="str">
        <f>IFERROR(VLOOKUP(ROWS($T$3:T374),$R$3:$S$718,2,0),"")</f>
        <v>Ostatní pobytové služby sociální péče</v>
      </c>
      <c r="U374">
        <f>IF(ISNUMBER(SEARCH('1Př1'!$A$33,N374)),MAX($M$2:M373)+1,0)</f>
        <v>372</v>
      </c>
      <c r="V374" s="290" t="s">
        <v>1749</v>
      </c>
      <c r="W374" t="str">
        <f>IFERROR(VLOOKUP(ROWS($W$3:W374),$U$3:$V$718,2,0),"")</f>
        <v>Ostatní pobytové služby sociální péče</v>
      </c>
      <c r="X374">
        <f>IF(ISNUMBER(SEARCH('1Př1'!$A$34,N374)),MAX($M$2:M373)+1,0)</f>
        <v>372</v>
      </c>
      <c r="Y374" s="290" t="s">
        <v>1749</v>
      </c>
      <c r="Z374" t="str">
        <f>IFERROR(VLOOKUP(ROWS($Z$3:Z374),$X$3:$Y$718,2,0),"")</f>
        <v>Ostatní pobytové služby sociální péče</v>
      </c>
    </row>
    <row r="375" spans="13:26" ht="12.75">
      <c r="M375" s="289">
        <f>IF(ISNUMBER(SEARCH(ZAKL_DATA!$B$29,N375)),MAX($M$2:M374)+1,0)</f>
        <v>373</v>
      </c>
      <c r="N375" s="482" t="s">
        <v>2131</v>
      </c>
      <c r="O375" s="482" t="s">
        <v>3157</v>
      </c>
      <c r="Q375" s="291" t="str">
        <f>IFERROR(VLOOKUP(ROWS($Q$3:Q375),$M$3:$N$718,2,0),"")</f>
        <v>Sportovní a rekreační vzdělávání</v>
      </c>
      <c r="R375">
        <f>IF(ISNUMBER(SEARCH('1Př1'!$A$32,N375)),MAX($M$2:M374)+1,0)</f>
        <v>373</v>
      </c>
      <c r="S375" s="290" t="s">
        <v>1750</v>
      </c>
      <c r="T375" t="str">
        <f>IFERROR(VLOOKUP(ROWS($T$3:T375),$R$3:$S$718,2,0),"")</f>
        <v>Ambulantní nebo terénní soc.služby pro seniory a osoby se zdrav.postižením</v>
      </c>
      <c r="U375">
        <f>IF(ISNUMBER(SEARCH('1Př1'!$A$33,N375)),MAX($M$2:M374)+1,0)</f>
        <v>373</v>
      </c>
      <c r="V375" s="290" t="s">
        <v>1750</v>
      </c>
      <c r="W375" t="str">
        <f>IFERROR(VLOOKUP(ROWS($W$3:W375),$U$3:$V$718,2,0),"")</f>
        <v>Ambulantní nebo terénní soc.služby pro seniory a osoby se zdrav.postižením</v>
      </c>
      <c r="X375">
        <f>IF(ISNUMBER(SEARCH('1Př1'!$A$34,N375)),MAX($M$2:M374)+1,0)</f>
        <v>373</v>
      </c>
      <c r="Y375" s="290" t="s">
        <v>1750</v>
      </c>
      <c r="Z375" t="str">
        <f>IFERROR(VLOOKUP(ROWS($Z$3:Z375),$X$3:$Y$718,2,0),"")</f>
        <v>Ambulantní nebo terénní soc.služby pro seniory a osoby se zdrav.postižením</v>
      </c>
    </row>
    <row r="376" spans="13:26" ht="12.75">
      <c r="M376" s="289">
        <f>IF(ISNUMBER(SEARCH(ZAKL_DATA!$B$29,N376)),MAX($M$2:M375)+1,0)</f>
        <v>374</v>
      </c>
      <c r="N376" s="482" t="s">
        <v>1692</v>
      </c>
      <c r="O376" s="482" t="s">
        <v>3158</v>
      </c>
      <c r="Q376" s="291" t="str">
        <f>IFERROR(VLOOKUP(ROWS($Q$3:Q376),$M$3:$N$718,2,0),"")</f>
        <v>Správa fondů</v>
      </c>
      <c r="R376">
        <f>IF(ISNUMBER(SEARCH('1Př1'!$A$32,N376)),MAX($M$2:M375)+1,0)</f>
        <v>374</v>
      </c>
      <c r="S376" s="290" t="s">
        <v>1751</v>
      </c>
      <c r="T376" t="str">
        <f>IFERROR(VLOOKUP(ROWS($T$3:T376),$R$3:$S$718,2,0),"")</f>
        <v>Ostatní ambulantní nebo terénní sociální služby</v>
      </c>
      <c r="U376">
        <f>IF(ISNUMBER(SEARCH('1Př1'!$A$33,N376)),MAX($M$2:M375)+1,0)</f>
        <v>374</v>
      </c>
      <c r="V376" s="290" t="s">
        <v>1751</v>
      </c>
      <c r="W376" t="str">
        <f>IFERROR(VLOOKUP(ROWS($W$3:W376),$U$3:$V$718,2,0),"")</f>
        <v>Ostatní ambulantní nebo terénní sociální služby</v>
      </c>
      <c r="X376">
        <f>IF(ISNUMBER(SEARCH('1Př1'!$A$34,N376)),MAX($M$2:M375)+1,0)</f>
        <v>374</v>
      </c>
      <c r="Y376" s="290" t="s">
        <v>1751</v>
      </c>
      <c r="Z376" t="str">
        <f>IFERROR(VLOOKUP(ROWS($Z$3:Z376),$X$3:$Y$718,2,0),"")</f>
        <v>Ostatní ambulantní nebo terénní sociální služby</v>
      </c>
    </row>
    <row r="377" spans="13:26" ht="12.75">
      <c r="M377" s="289">
        <f>IF(ISNUMBER(SEARCH(ZAKL_DATA!$B$29,N377)),MAX($M$2:M376)+1,0)</f>
        <v>375</v>
      </c>
      <c r="N377" s="482" t="s">
        <v>3159</v>
      </c>
      <c r="O377" s="482" t="s">
        <v>3160</v>
      </c>
      <c r="Q377" s="291" t="str">
        <f>IFERROR(VLOOKUP(ROWS($Q$3:Q377),$M$3:$N$718,2,0),"")</f>
        <v>Stavba civilních lodí a plavidel</v>
      </c>
      <c r="R377">
        <f>IF(ISNUMBER(SEARCH('1Př1'!$A$32,N377)),MAX($M$2:M376)+1,0)</f>
        <v>375</v>
      </c>
      <c r="S377" s="290" t="s">
        <v>1752</v>
      </c>
      <c r="T377" t="str">
        <f>IFERROR(VLOOKUP(ROWS($T$3:T377),$R$3:$S$718,2,0),"")</f>
        <v>Těžba chemických minerálů a minerálů pro výrobu hnojiv</v>
      </c>
      <c r="U377">
        <f>IF(ISNUMBER(SEARCH('1Př1'!$A$33,N377)),MAX($M$2:M376)+1,0)</f>
        <v>375</v>
      </c>
      <c r="V377" s="290" t="s">
        <v>1752</v>
      </c>
      <c r="W377" t="str">
        <f>IFERROR(VLOOKUP(ROWS($W$3:W377),$U$3:$V$718,2,0),"")</f>
        <v>Těžba chemických minerálů a minerálů pro výrobu hnojiv</v>
      </c>
      <c r="X377">
        <f>IF(ISNUMBER(SEARCH('1Př1'!$A$34,N377)),MAX($M$2:M376)+1,0)</f>
        <v>375</v>
      </c>
      <c r="Y377" s="290" t="s">
        <v>1752</v>
      </c>
      <c r="Z377" t="str">
        <f>IFERROR(VLOOKUP(ROWS($Z$3:Z377),$X$3:$Y$718,2,0),"")</f>
        <v>Těžba chemických minerálů a minerálů pro výrobu hnojiv</v>
      </c>
    </row>
    <row r="378" spans="13:26" ht="12.75">
      <c r="M378" s="289">
        <f>IF(ISNUMBER(SEARCH(ZAKL_DATA!$B$29,N378)),MAX($M$2:M377)+1,0)</f>
        <v>376</v>
      </c>
      <c r="N378" s="482" t="s">
        <v>1935</v>
      </c>
      <c r="O378" s="482" t="s">
        <v>3161</v>
      </c>
      <c r="Q378" s="291" t="str">
        <f>IFERROR(VLOOKUP(ROWS($Q$3:Q378),$M$3:$N$718,2,0),"")</f>
        <v>Stavba rekreačních a sportovních člunů</v>
      </c>
      <c r="R378">
        <f>IF(ISNUMBER(SEARCH('1Př1'!$A$32,N378)),MAX($M$2:M377)+1,0)</f>
        <v>376</v>
      </c>
      <c r="S378" s="290" t="s">
        <v>1753</v>
      </c>
      <c r="T378" t="str">
        <f>IFERROR(VLOOKUP(ROWS($T$3:T378),$R$3:$S$718,2,0),"")</f>
        <v>Těžba rašeliny</v>
      </c>
      <c r="U378">
        <f>IF(ISNUMBER(SEARCH('1Př1'!$A$33,N378)),MAX($M$2:M377)+1,0)</f>
        <v>376</v>
      </c>
      <c r="V378" s="290" t="s">
        <v>1753</v>
      </c>
      <c r="W378" t="str">
        <f>IFERROR(VLOOKUP(ROWS($W$3:W378),$U$3:$V$718,2,0),"")</f>
        <v>Těžba rašeliny</v>
      </c>
      <c r="X378">
        <f>IF(ISNUMBER(SEARCH('1Př1'!$A$34,N378)),MAX($M$2:M377)+1,0)</f>
        <v>376</v>
      </c>
      <c r="Y378" s="290" t="s">
        <v>1753</v>
      </c>
      <c r="Z378" t="str">
        <f>IFERROR(VLOOKUP(ROWS($Z$3:Z378),$X$3:$Y$718,2,0),"")</f>
        <v>Těžba rašeliny</v>
      </c>
    </row>
    <row r="379" spans="13:26" ht="12.75">
      <c r="M379" s="289">
        <f>IF(ISNUMBER(SEARCH(ZAKL_DATA!$B$29,N379)),MAX($M$2:M378)+1,0)</f>
        <v>377</v>
      </c>
      <c r="N379" s="482" t="s">
        <v>3162</v>
      </c>
      <c r="O379" s="482" t="s">
        <v>3163</v>
      </c>
      <c r="Q379" s="291" t="str">
        <f>IFERROR(VLOOKUP(ROWS($Q$3:Q379),$M$3:$N$718,2,0),"")</f>
        <v>Stavba vojenských lodí a plavidel</v>
      </c>
      <c r="R379">
        <f>IF(ISNUMBER(SEARCH('1Př1'!$A$32,N379)),MAX($M$2:M378)+1,0)</f>
        <v>377</v>
      </c>
      <c r="S379" s="290" t="s">
        <v>1754</v>
      </c>
      <c r="T379" t="str">
        <f>IFERROR(VLOOKUP(ROWS($T$3:T379),$R$3:$S$718,2,0),"")</f>
        <v>Těžba soli</v>
      </c>
      <c r="U379">
        <f>IF(ISNUMBER(SEARCH('1Př1'!$A$33,N379)),MAX($M$2:M378)+1,0)</f>
        <v>377</v>
      </c>
      <c r="V379" s="290" t="s">
        <v>1754</v>
      </c>
      <c r="W379" t="str">
        <f>IFERROR(VLOOKUP(ROWS($W$3:W379),$U$3:$V$718,2,0),"")</f>
        <v>Těžba soli</v>
      </c>
      <c r="X379">
        <f>IF(ISNUMBER(SEARCH('1Př1'!$A$34,N379)),MAX($M$2:M378)+1,0)</f>
        <v>377</v>
      </c>
      <c r="Y379" s="290" t="s">
        <v>1754</v>
      </c>
      <c r="Z379" t="str">
        <f>IFERROR(VLOOKUP(ROWS($Z$3:Z379),$X$3:$Y$718,2,0),"")</f>
        <v>Těžba soli</v>
      </c>
    </row>
    <row r="380" spans="13:26" ht="12.75">
      <c r="M380" s="289">
        <f>IF(ISNUMBER(SEARCH(ZAKL_DATA!$B$29,N380)),MAX($M$2:M379)+1,0)</f>
        <v>378</v>
      </c>
      <c r="N380" s="482" t="s">
        <v>2081</v>
      </c>
      <c r="O380" s="482" t="s">
        <v>3164</v>
      </c>
      <c r="Q380" s="291" t="str">
        <f>IFERROR(VLOOKUP(ROWS($Q$3:Q380),$M$3:$N$718,2,0),"")</f>
        <v>Stěhovací služby</v>
      </c>
      <c r="R380">
        <f>IF(ISNUMBER(SEARCH('1Př1'!$A$32,N380)),MAX($M$2:M379)+1,0)</f>
        <v>378</v>
      </c>
      <c r="S380" s="290" t="s">
        <v>1755</v>
      </c>
      <c r="T380" t="str">
        <f>IFERROR(VLOOKUP(ROWS($T$3:T380),$R$3:$S$718,2,0),"")</f>
        <v>Ostatní těžba a dobývání j. n.</v>
      </c>
      <c r="U380">
        <f>IF(ISNUMBER(SEARCH('1Př1'!$A$33,N380)),MAX($M$2:M379)+1,0)</f>
        <v>378</v>
      </c>
      <c r="V380" s="290" t="s">
        <v>1755</v>
      </c>
      <c r="W380" t="str">
        <f>IFERROR(VLOOKUP(ROWS($W$3:W380),$U$3:$V$718,2,0),"")</f>
        <v>Ostatní těžba a dobývání j. n.</v>
      </c>
      <c r="X380">
        <f>IF(ISNUMBER(SEARCH('1Př1'!$A$34,N380)),MAX($M$2:M379)+1,0)</f>
        <v>378</v>
      </c>
      <c r="Y380" s="290" t="s">
        <v>1755</v>
      </c>
      <c r="Z380" t="str">
        <f>IFERROR(VLOOKUP(ROWS($Z$3:Z380),$X$3:$Y$718,2,0),"")</f>
        <v>Ostatní těžba a dobývání j. n.</v>
      </c>
    </row>
    <row r="381" spans="13:26" ht="12.75">
      <c r="M381" s="289">
        <f>IF(ISNUMBER(SEARCH(ZAKL_DATA!$B$29,N381)),MAX($M$2:M380)+1,0)</f>
        <v>379</v>
      </c>
      <c r="N381" s="482" t="s">
        <v>1876</v>
      </c>
      <c r="O381" s="482" t="s">
        <v>3165</v>
      </c>
      <c r="Q381" s="291" t="str">
        <f>IFERROR(VLOOKUP(ROWS($Q$3:Q381),$M$3:$N$718,2,0),"")</f>
        <v>Tažení ocelového drátu za studena</v>
      </c>
      <c r="R381">
        <f>IF(ISNUMBER(SEARCH('1Př1'!$A$32,N381)),MAX($M$2:M380)+1,0)</f>
        <v>379</v>
      </c>
      <c r="S381" s="290" t="s">
        <v>1756</v>
      </c>
      <c r="T381" t="str">
        <f>IFERROR(VLOOKUP(ROWS($T$3:T381),$R$3:$S$718,2,0),"")</f>
        <v>Sportovní činnosti</v>
      </c>
      <c r="U381">
        <f>IF(ISNUMBER(SEARCH('1Př1'!$A$33,N381)),MAX($M$2:M380)+1,0)</f>
        <v>379</v>
      </c>
      <c r="V381" s="290" t="s">
        <v>1756</v>
      </c>
      <c r="W381" t="str">
        <f>IFERROR(VLOOKUP(ROWS($W$3:W381),$U$3:$V$718,2,0),"")</f>
        <v>Sportovní činnosti</v>
      </c>
      <c r="X381">
        <f>IF(ISNUMBER(SEARCH('1Př1'!$A$34,N381)),MAX($M$2:M380)+1,0)</f>
        <v>379</v>
      </c>
      <c r="Y381" s="290" t="s">
        <v>1756</v>
      </c>
      <c r="Z381" t="str">
        <f>IFERROR(VLOOKUP(ROWS($Z$3:Z381),$X$3:$Y$718,2,0),"")</f>
        <v>Sportovní činnosti</v>
      </c>
    </row>
    <row r="382" spans="13:26" ht="12.75">
      <c r="M382" s="289">
        <f>IF(ISNUMBER(SEARCH(ZAKL_DATA!$B$29,N382)),MAX($M$2:M381)+1,0)</f>
        <v>380</v>
      </c>
      <c r="N382" s="482" t="s">
        <v>3166</v>
      </c>
      <c r="O382" s="482" t="s">
        <v>3167</v>
      </c>
      <c r="Q382" s="291" t="str">
        <f>IFERROR(VLOOKUP(ROWS($Q$3:Q382),$M$3:$N$718,2,0),"")</f>
        <v>Tažení ocelových tyčí za studena</v>
      </c>
      <c r="R382">
        <f>IF(ISNUMBER(SEARCH('1Př1'!$A$32,N382)),MAX($M$2:M381)+1,0)</f>
        <v>380</v>
      </c>
      <c r="S382" s="290" t="s">
        <v>1757</v>
      </c>
      <c r="T382" t="str">
        <f>IFERROR(VLOOKUP(ROWS($T$3:T382),$R$3:$S$718,2,0),"")</f>
        <v>Ostatní zábavní a rekreační činnosti</v>
      </c>
      <c r="U382">
        <f>IF(ISNUMBER(SEARCH('1Př1'!$A$33,N382)),MAX($M$2:M381)+1,0)</f>
        <v>380</v>
      </c>
      <c r="V382" s="290" t="s">
        <v>1757</v>
      </c>
      <c r="W382" t="str">
        <f>IFERROR(VLOOKUP(ROWS($W$3:W382),$U$3:$V$718,2,0),"")</f>
        <v>Ostatní zábavní a rekreační činnosti</v>
      </c>
      <c r="X382">
        <f>IF(ISNUMBER(SEARCH('1Př1'!$A$34,N382)),MAX($M$2:M381)+1,0)</f>
        <v>380</v>
      </c>
      <c r="Y382" s="290" t="s">
        <v>1757</v>
      </c>
      <c r="Z382" t="str">
        <f>IFERROR(VLOOKUP(ROWS($Z$3:Z382),$X$3:$Y$718,2,0),"")</f>
        <v>Ostatní zábavní a rekreační činnosti</v>
      </c>
    </row>
    <row r="383" spans="13:26" ht="12.75">
      <c r="M383" s="289">
        <f>IF(ISNUMBER(SEARCH(ZAKL_DATA!$B$29,N383)),MAX($M$2:M382)+1,0)</f>
        <v>381</v>
      </c>
      <c r="N383" s="482" t="s">
        <v>1701</v>
      </c>
      <c r="O383" s="482" t="s">
        <v>3168</v>
      </c>
      <c r="Q383" s="291" t="str">
        <f>IFERROR(VLOOKUP(ROWS($Q$3:Q383),$M$3:$N$718,2,0),"")</f>
        <v>Technické zkoušky a analýzy</v>
      </c>
      <c r="R383">
        <f>IF(ISNUMBER(SEARCH('1Př1'!$A$32,N383)),MAX($M$2:M382)+1,0)</f>
        <v>381</v>
      </c>
      <c r="S383" s="290" t="s">
        <v>1758</v>
      </c>
      <c r="T383" t="str">
        <f>IFERROR(VLOOKUP(ROWS($T$3:T383),$R$3:$S$718,2,0),"")</f>
        <v>Činnosti podnikatelských, zaměstnavatelských a profesních organizací</v>
      </c>
      <c r="U383">
        <f>IF(ISNUMBER(SEARCH('1Př1'!$A$33,N383)),MAX($M$2:M382)+1,0)</f>
        <v>381</v>
      </c>
      <c r="V383" s="290" t="s">
        <v>1758</v>
      </c>
      <c r="W383" t="str">
        <f>IFERROR(VLOOKUP(ROWS($W$3:W383),$U$3:$V$718,2,0),"")</f>
        <v>Činnosti podnikatelských, zaměstnavatelských a profesních organizací</v>
      </c>
      <c r="X383">
        <f>IF(ISNUMBER(SEARCH('1Př1'!$A$34,N383)),MAX($M$2:M382)+1,0)</f>
        <v>381</v>
      </c>
      <c r="Y383" s="290" t="s">
        <v>1758</v>
      </c>
      <c r="Z383" t="str">
        <f>IFERROR(VLOOKUP(ROWS($Z$3:Z383),$X$3:$Y$718,2,0),"")</f>
        <v>Činnosti podnikatelských, zaměstnavatelských a profesních organizací</v>
      </c>
    </row>
    <row r="384" spans="13:26" ht="12.75">
      <c r="M384" s="289">
        <f>IF(ISNUMBER(SEARCH(ZAKL_DATA!$B$29,N384)),MAX($M$2:M383)+1,0)</f>
        <v>382</v>
      </c>
      <c r="N384" s="482" t="s">
        <v>3169</v>
      </c>
      <c r="O384" s="482" t="s">
        <v>3170</v>
      </c>
      <c r="Q384" s="291" t="str">
        <f>IFERROR(VLOOKUP(ROWS($Q$3:Q384),$M$3:$N$718,2,0),"")</f>
        <v>Tepelné zpracování kovů</v>
      </c>
      <c r="R384">
        <f>IF(ISNUMBER(SEARCH('1Př1'!$A$32,N384)),MAX($M$2:M383)+1,0)</f>
        <v>382</v>
      </c>
      <c r="S384" s="290" t="s">
        <v>1759</v>
      </c>
      <c r="T384" t="str">
        <f>IFERROR(VLOOKUP(ROWS($T$3:T384),$R$3:$S$718,2,0),"")</f>
        <v>Činnosti odborových svazů</v>
      </c>
      <c r="U384">
        <f>IF(ISNUMBER(SEARCH('1Př1'!$A$33,N384)),MAX($M$2:M383)+1,0)</f>
        <v>382</v>
      </c>
      <c r="V384" s="290" t="s">
        <v>1759</v>
      </c>
      <c r="W384" t="str">
        <f>IFERROR(VLOOKUP(ROWS($W$3:W384),$U$3:$V$718,2,0),"")</f>
        <v>Činnosti odborových svazů</v>
      </c>
      <c r="X384">
        <f>IF(ISNUMBER(SEARCH('1Př1'!$A$34,N384)),MAX($M$2:M383)+1,0)</f>
        <v>382</v>
      </c>
      <c r="Y384" s="290" t="s">
        <v>1759</v>
      </c>
      <c r="Z384" t="str">
        <f>IFERROR(VLOOKUP(ROWS($Z$3:Z384),$X$3:$Y$718,2,0),"")</f>
        <v>Činnosti odborových svazů</v>
      </c>
    </row>
    <row r="385" spans="13:26" ht="25.5">
      <c r="M385" s="289">
        <f>IF(ISNUMBER(SEARCH(ZAKL_DATA!$B$29,N385)),MAX($M$2:M384)+1,0)</f>
        <v>383</v>
      </c>
      <c r="N385" s="482" t="s">
        <v>3171</v>
      </c>
      <c r="O385" s="482" t="s">
        <v>3172</v>
      </c>
      <c r="Q385" s="291" t="str">
        <f>IFERROR(VLOOKUP(ROWS($Q$3:Q385),$M$3:$N$718,2,0),"")</f>
        <v>Terciární vzdělávání v jiných než uměleckých oborech</v>
      </c>
      <c r="R385">
        <f>IF(ISNUMBER(SEARCH('1Př1'!$A$32,N385)),MAX($M$2:M384)+1,0)</f>
        <v>383</v>
      </c>
      <c r="S385" s="290" t="s">
        <v>1760</v>
      </c>
      <c r="T385" t="str">
        <f>IFERROR(VLOOKUP(ROWS($T$3:T385),$R$3:$S$718,2,0),"")</f>
        <v>Činnosti ost.org.sdružujících osoby za účelem prosazování společných zájmů</v>
      </c>
      <c r="U385">
        <f>IF(ISNUMBER(SEARCH('1Př1'!$A$33,N385)),MAX($M$2:M384)+1,0)</f>
        <v>383</v>
      </c>
      <c r="V385" s="290" t="s">
        <v>1760</v>
      </c>
      <c r="W385" t="str">
        <f>IFERROR(VLOOKUP(ROWS($W$3:W385),$U$3:$V$718,2,0),"")</f>
        <v>Činnosti ost.org.sdružujících osoby za účelem prosazování společných zájmů</v>
      </c>
      <c r="X385">
        <f>IF(ISNUMBER(SEARCH('1Př1'!$A$34,N385)),MAX($M$2:M384)+1,0)</f>
        <v>383</v>
      </c>
      <c r="Y385" s="290" t="s">
        <v>1760</v>
      </c>
      <c r="Z385" t="str">
        <f>IFERROR(VLOOKUP(ROWS($Z$3:Z385),$X$3:$Y$718,2,0),"")</f>
        <v>Činnosti ost.org.sdružujících osoby za účelem prosazování společných zájmů</v>
      </c>
    </row>
    <row r="386" spans="13:26" ht="12.75">
      <c r="M386" s="289">
        <f>IF(ISNUMBER(SEARCH(ZAKL_DATA!$B$29,N386)),MAX($M$2:M385)+1,0)</f>
        <v>384</v>
      </c>
      <c r="N386" s="482" t="s">
        <v>3173</v>
      </c>
      <c r="O386" s="482" t="s">
        <v>3174</v>
      </c>
      <c r="Q386" s="291" t="str">
        <f>IFERROR(VLOOKUP(ROWS($Q$3:Q386),$M$3:$N$718,2,0),"")</f>
        <v>Terciární vzdělávání v uměleckých oborech</v>
      </c>
      <c r="R386">
        <f>IF(ISNUMBER(SEARCH('1Př1'!$A$32,N386)),MAX($M$2:M385)+1,0)</f>
        <v>384</v>
      </c>
      <c r="S386" s="290" t="s">
        <v>1761</v>
      </c>
      <c r="T386" t="str">
        <f>IFERROR(VLOOKUP(ROWS($T$3:T386),$R$3:$S$718,2,0),"")</f>
        <v>Opravy počítačů a komunikačních zařízení</v>
      </c>
      <c r="U386">
        <f>IF(ISNUMBER(SEARCH('1Př1'!$A$33,N386)),MAX($M$2:M385)+1,0)</f>
        <v>384</v>
      </c>
      <c r="V386" s="290" t="s">
        <v>1761</v>
      </c>
      <c r="W386" t="str">
        <f>IFERROR(VLOOKUP(ROWS($W$3:W386),$U$3:$V$718,2,0),"")</f>
        <v>Opravy počítačů a komunikačních zařízení</v>
      </c>
      <c r="X386">
        <f>IF(ISNUMBER(SEARCH('1Př1'!$A$34,N386)),MAX($M$2:M385)+1,0)</f>
        <v>384</v>
      </c>
      <c r="Y386" s="290" t="s">
        <v>1761</v>
      </c>
      <c r="Z386" t="str">
        <f>IFERROR(VLOOKUP(ROWS($Z$3:Z386),$X$3:$Y$718,2,0),"")</f>
        <v>Opravy počítačů a komunikačních zařízení</v>
      </c>
    </row>
    <row r="387" spans="13:26" ht="12.75">
      <c r="M387" s="289">
        <f>IF(ISNUMBER(SEARCH(ZAKL_DATA!$B$29,N387)),MAX($M$2:M386)+1,0)</f>
        <v>385</v>
      </c>
      <c r="N387" s="482" t="s">
        <v>3175</v>
      </c>
      <c r="O387" s="482" t="s">
        <v>3176</v>
      </c>
      <c r="Q387" s="291" t="str">
        <f>IFERROR(VLOOKUP(ROWS($Q$3:Q387),$M$3:$N$718,2,0),"")</f>
        <v>Těžba a dobývání ostatních nerostných surovin j. n.</v>
      </c>
      <c r="R387">
        <f>IF(ISNUMBER(SEARCH('1Př1'!$A$32,N387)),MAX($M$2:M386)+1,0)</f>
        <v>385</v>
      </c>
      <c r="S387" s="290" t="s">
        <v>1762</v>
      </c>
      <c r="T387" t="str">
        <f>IFERROR(VLOOKUP(ROWS($T$3:T387),$R$3:$S$718,2,0),"")</f>
        <v>Opravy výrobků pro osobní potřebu a převážně pro domácnost</v>
      </c>
      <c r="U387">
        <f>IF(ISNUMBER(SEARCH('1Př1'!$A$33,N387)),MAX($M$2:M386)+1,0)</f>
        <v>385</v>
      </c>
      <c r="V387" s="290" t="s">
        <v>1762</v>
      </c>
      <c r="W387" t="str">
        <f>IFERROR(VLOOKUP(ROWS($W$3:W387),$U$3:$V$718,2,0),"")</f>
        <v>Opravy výrobků pro osobní potřebu a převážně pro domácnost</v>
      </c>
      <c r="X387">
        <f>IF(ISNUMBER(SEARCH('1Př1'!$A$34,N387)),MAX($M$2:M386)+1,0)</f>
        <v>385</v>
      </c>
      <c r="Y387" s="290" t="s">
        <v>1762</v>
      </c>
      <c r="Z387" t="str">
        <f>IFERROR(VLOOKUP(ROWS($Z$3:Z387),$X$3:$Y$718,2,0),"")</f>
        <v>Opravy výrobků pro osobní potřebu a převážně pro domácnost</v>
      </c>
    </row>
    <row r="388" spans="13:26" ht="12.75">
      <c r="M388" s="289">
        <f>IF(ISNUMBER(SEARCH(ZAKL_DATA!$B$29,N388)),MAX($M$2:M387)+1,0)</f>
        <v>386</v>
      </c>
      <c r="N388" s="482" t="s">
        <v>3177</v>
      </c>
      <c r="O388" s="482" t="s">
        <v>3178</v>
      </c>
      <c r="Q388" s="291" t="str">
        <f>IFERROR(VLOOKUP(ROWS($Q$3:Q388),$M$3:$N$718,2,0),"")</f>
        <v>Těžba černého uhlí, kromě úpravy</v>
      </c>
      <c r="R388">
        <f>IF(ISNUMBER(SEARCH('1Př1'!$A$32,N388)),MAX($M$2:M387)+1,0)</f>
        <v>386</v>
      </c>
      <c r="S388" s="290" t="s">
        <v>1763</v>
      </c>
      <c r="T388" t="str">
        <f>IFERROR(VLOOKUP(ROWS($T$3:T388),$R$3:$S$718,2,0),"")</f>
        <v>Činnosti domác.produk.blíže neurčené výrobky pro vlastní potřebu</v>
      </c>
      <c r="U388">
        <f>IF(ISNUMBER(SEARCH('1Př1'!$A$33,N388)),MAX($M$2:M387)+1,0)</f>
        <v>386</v>
      </c>
      <c r="V388" s="290" t="s">
        <v>1763</v>
      </c>
      <c r="W388" t="str">
        <f>IFERROR(VLOOKUP(ROWS($W$3:W388),$U$3:$V$718,2,0),"")</f>
        <v>Činnosti domác.produk.blíže neurčené výrobky pro vlastní potřebu</v>
      </c>
      <c r="X388">
        <f>IF(ISNUMBER(SEARCH('1Př1'!$A$34,N388)),MAX($M$2:M387)+1,0)</f>
        <v>386</v>
      </c>
      <c r="Y388" s="290" t="s">
        <v>1763</v>
      </c>
      <c r="Z388" t="str">
        <f>IFERROR(VLOOKUP(ROWS($Z$3:Z388),$X$3:$Y$718,2,0),"")</f>
        <v>Činnosti domác.produk.blíže neurčené výrobky pro vlastní potřebu</v>
      </c>
    </row>
    <row r="389" spans="13:26" ht="12.75">
      <c r="M389" s="289">
        <f>IF(ISNUMBER(SEARCH(ZAKL_DATA!$B$29,N389)),MAX($M$2:M388)+1,0)</f>
        <v>387</v>
      </c>
      <c r="N389" s="482" t="s">
        <v>797</v>
      </c>
      <c r="O389" s="482" t="s">
        <v>3179</v>
      </c>
      <c r="Q389" s="291" t="str">
        <f>IFERROR(VLOOKUP(ROWS($Q$3:Q389),$M$3:$N$718,2,0),"")</f>
        <v>Těžba dřeva</v>
      </c>
      <c r="R389">
        <f>IF(ISNUMBER(SEARCH('1Př1'!$A$32,N389)),MAX($M$2:M388)+1,0)</f>
        <v>387</v>
      </c>
      <c r="S389" s="290" t="s">
        <v>1764</v>
      </c>
      <c r="T389" t="str">
        <f>IFERROR(VLOOKUP(ROWS($T$3:T389),$R$3:$S$718,2,0),"")</f>
        <v>Činnosti domácností poskyt.blíže neurčené služby pro vlastní potřebu</v>
      </c>
      <c r="U389">
        <f>IF(ISNUMBER(SEARCH('1Př1'!$A$33,N389)),MAX($M$2:M388)+1,0)</f>
        <v>387</v>
      </c>
      <c r="V389" s="290" t="s">
        <v>1764</v>
      </c>
      <c r="W389" t="str">
        <f>IFERROR(VLOOKUP(ROWS($W$3:W389),$U$3:$V$718,2,0),"")</f>
        <v>Činnosti domácností poskyt.blíže neurčené služby pro vlastní potřebu</v>
      </c>
      <c r="X389">
        <f>IF(ISNUMBER(SEARCH('1Př1'!$A$34,N389)),MAX($M$2:M388)+1,0)</f>
        <v>387</v>
      </c>
      <c r="Y389" s="290" t="s">
        <v>1764</v>
      </c>
      <c r="Z389" t="str">
        <f>IFERROR(VLOOKUP(ROWS($Z$3:Z389),$X$3:$Y$718,2,0),"")</f>
        <v>Činnosti domácností poskyt.blíže neurčené služby pro vlastní potřebu</v>
      </c>
    </row>
    <row r="390" spans="13:26" ht="12.75">
      <c r="M390" s="289">
        <f>IF(ISNUMBER(SEARCH(ZAKL_DATA!$B$29,N390)),MAX($M$2:M389)+1,0)</f>
        <v>388</v>
      </c>
      <c r="N390" s="482" t="s">
        <v>3180</v>
      </c>
      <c r="O390" s="482" t="s">
        <v>3181</v>
      </c>
      <c r="Q390" s="291" t="str">
        <f>IFERROR(VLOOKUP(ROWS($Q$3:Q390),$M$3:$N$718,2,0),"")</f>
        <v>Těžba hnědého uhlí jiného než lignitu, kromě úpravy</v>
      </c>
      <c r="R390">
        <f>IF(ISNUMBER(SEARCH('1Př1'!$A$32,N390)),MAX($M$2:M389)+1,0)</f>
        <v>388</v>
      </c>
      <c r="S390" s="290" t="s">
        <v>1765</v>
      </c>
      <c r="T390" t="str">
        <f>IFERROR(VLOOKUP(ROWS($T$3:T390),$R$3:$S$718,2,0),"")</f>
        <v>Zpracování a konzervování masa, kromě drůbežího</v>
      </c>
      <c r="U390">
        <f>IF(ISNUMBER(SEARCH('1Př1'!$A$33,N390)),MAX($M$2:M389)+1,0)</f>
        <v>388</v>
      </c>
      <c r="V390" s="290" t="s">
        <v>1765</v>
      </c>
      <c r="W390" t="str">
        <f>IFERROR(VLOOKUP(ROWS($W$3:W390),$U$3:$V$718,2,0),"")</f>
        <v>Zpracování a konzervování masa, kromě drůbežího</v>
      </c>
      <c r="X390">
        <f>IF(ISNUMBER(SEARCH('1Př1'!$A$34,N390)),MAX($M$2:M389)+1,0)</f>
        <v>388</v>
      </c>
      <c r="Y390" s="290" t="s">
        <v>1765</v>
      </c>
      <c r="Z390" t="str">
        <f>IFERROR(VLOOKUP(ROWS($Z$3:Z390),$X$3:$Y$718,2,0),"")</f>
        <v>Zpracování a konzervování masa, kromě drůbežího</v>
      </c>
    </row>
    <row r="391" spans="13:26" ht="25.5">
      <c r="M391" s="289">
        <f>IF(ISNUMBER(SEARCH(ZAKL_DATA!$B$29,N391)),MAX($M$2:M390)+1,0)</f>
        <v>389</v>
      </c>
      <c r="N391" s="482" t="s">
        <v>1752</v>
      </c>
      <c r="O391" s="482" t="s">
        <v>3182</v>
      </c>
      <c r="Q391" s="291" t="str">
        <f>IFERROR(VLOOKUP(ROWS($Q$3:Q391),$M$3:$N$718,2,0),"")</f>
        <v>Těžba chemických minerálů a minerálů pro výrobu hnojiv</v>
      </c>
      <c r="R391">
        <f>IF(ISNUMBER(SEARCH('1Př1'!$A$32,N391)),MAX($M$2:M390)+1,0)</f>
        <v>389</v>
      </c>
      <c r="S391" s="290" t="s">
        <v>1766</v>
      </c>
      <c r="T391" t="str">
        <f>IFERROR(VLOOKUP(ROWS($T$3:T391),$R$3:$S$718,2,0),"")</f>
        <v>Zpracování a konzervování drůbežího masa</v>
      </c>
      <c r="U391">
        <f>IF(ISNUMBER(SEARCH('1Př1'!$A$33,N391)),MAX($M$2:M390)+1,0)</f>
        <v>389</v>
      </c>
      <c r="V391" s="290" t="s">
        <v>1766</v>
      </c>
      <c r="W391" t="str">
        <f>IFERROR(VLOOKUP(ROWS($W$3:W391),$U$3:$V$718,2,0),"")</f>
        <v>Zpracování a konzervování drůbežího masa</v>
      </c>
      <c r="X391">
        <f>IF(ISNUMBER(SEARCH('1Př1'!$A$34,N391)),MAX($M$2:M390)+1,0)</f>
        <v>389</v>
      </c>
      <c r="Y391" s="290" t="s">
        <v>1766</v>
      </c>
      <c r="Z391" t="str">
        <f>IFERROR(VLOOKUP(ROWS($Z$3:Z391),$X$3:$Y$718,2,0),"")</f>
        <v>Zpracování a konzervování drůbežího masa</v>
      </c>
    </row>
    <row r="392" spans="13:26" ht="12.75">
      <c r="M392" s="289">
        <f>IF(ISNUMBER(SEARCH(ZAKL_DATA!$B$29,N392)),MAX($M$2:M391)+1,0)</f>
        <v>390</v>
      </c>
      <c r="N392" s="482" t="s">
        <v>3183</v>
      </c>
      <c r="O392" s="482" t="s">
        <v>3184</v>
      </c>
      <c r="Q392" s="291" t="str">
        <f>IFERROR(VLOOKUP(ROWS($Q$3:Q392),$M$3:$N$718,2,0),"")</f>
        <v>Těžba lignitu, kromě úpravy</v>
      </c>
      <c r="R392">
        <f>IF(ISNUMBER(SEARCH('1Př1'!$A$32,N392)),MAX($M$2:M391)+1,0)</f>
        <v>390</v>
      </c>
      <c r="S392" s="290" t="s">
        <v>1767</v>
      </c>
      <c r="T392" t="str">
        <f>IFERROR(VLOOKUP(ROWS($T$3:T392),$R$3:$S$718,2,0),"")</f>
        <v>Výroba masných výrobků a výrobků z drůbežího masa</v>
      </c>
      <c r="U392">
        <f>IF(ISNUMBER(SEARCH('1Př1'!$A$33,N392)),MAX($M$2:M391)+1,0)</f>
        <v>390</v>
      </c>
      <c r="V392" s="290" t="s">
        <v>1767</v>
      </c>
      <c r="W392" t="str">
        <f>IFERROR(VLOOKUP(ROWS($W$3:W392),$U$3:$V$718,2,0),"")</f>
        <v>Výroba masných výrobků a výrobků z drůbežího masa</v>
      </c>
      <c r="X392">
        <f>IF(ISNUMBER(SEARCH('1Př1'!$A$34,N392)),MAX($M$2:M391)+1,0)</f>
        <v>390</v>
      </c>
      <c r="Y392" s="290" t="s">
        <v>1767</v>
      </c>
      <c r="Z392" t="str">
        <f>IFERROR(VLOOKUP(ROWS($Z$3:Z392),$X$3:$Y$718,2,0),"")</f>
        <v>Výroba masných výrobků a výrobků z drůbežího masa</v>
      </c>
    </row>
    <row r="393" spans="13:26" ht="12.75">
      <c r="M393" s="289">
        <f>IF(ISNUMBER(SEARCH(ZAKL_DATA!$B$29,N393)),MAX($M$2:M392)+1,0)</f>
        <v>391</v>
      </c>
      <c r="N393" s="482" t="s">
        <v>3185</v>
      </c>
      <c r="O393" s="482" t="s">
        <v>3186</v>
      </c>
      <c r="Q393" s="291" t="str">
        <f>IFERROR(VLOOKUP(ROWS($Q$3:Q393),$M$3:$N$718,2,0),"")</f>
        <v>Těžba ostatních neželezných rud, kromě úpravy</v>
      </c>
      <c r="R393">
        <f>IF(ISNUMBER(SEARCH('1Př1'!$A$32,N393)),MAX($M$2:M392)+1,0)</f>
        <v>391</v>
      </c>
      <c r="S393" s="290" t="s">
        <v>1768</v>
      </c>
      <c r="T393" t="str">
        <f>IFERROR(VLOOKUP(ROWS($T$3:T393),$R$3:$S$718,2,0),"")</f>
        <v>Zpracování a konzervování brambor</v>
      </c>
      <c r="U393">
        <f>IF(ISNUMBER(SEARCH('1Př1'!$A$33,N393)),MAX($M$2:M392)+1,0)</f>
        <v>391</v>
      </c>
      <c r="V393" s="290" t="s">
        <v>1768</v>
      </c>
      <c r="W393" t="str">
        <f>IFERROR(VLOOKUP(ROWS($W$3:W393),$U$3:$V$718,2,0),"")</f>
        <v>Zpracování a konzervování brambor</v>
      </c>
      <c r="X393">
        <f>IF(ISNUMBER(SEARCH('1Př1'!$A$34,N393)),MAX($M$2:M392)+1,0)</f>
        <v>391</v>
      </c>
      <c r="Y393" s="290" t="s">
        <v>1768</v>
      </c>
      <c r="Z393" t="str">
        <f>IFERROR(VLOOKUP(ROWS($Z$3:Z393),$X$3:$Y$718,2,0),"")</f>
        <v>Zpracování a konzervování brambor</v>
      </c>
    </row>
    <row r="394" spans="13:26" ht="12.75">
      <c r="M394" s="289">
        <f>IF(ISNUMBER(SEARCH(ZAKL_DATA!$B$29,N394)),MAX($M$2:M393)+1,0)</f>
        <v>392</v>
      </c>
      <c r="N394" s="482" t="s">
        <v>1753</v>
      </c>
      <c r="O394" s="482" t="s">
        <v>3187</v>
      </c>
      <c r="Q394" s="291" t="str">
        <f>IFERROR(VLOOKUP(ROWS($Q$3:Q394),$M$3:$N$718,2,0),"")</f>
        <v>Těžba rašeliny</v>
      </c>
      <c r="R394">
        <f>IF(ISNUMBER(SEARCH('1Př1'!$A$32,N394)),MAX($M$2:M393)+1,0)</f>
        <v>392</v>
      </c>
      <c r="S394" s="290" t="s">
        <v>1769</v>
      </c>
      <c r="T394" t="str">
        <f>IFERROR(VLOOKUP(ROWS($T$3:T394),$R$3:$S$718,2,0),"")</f>
        <v>Výroba ovocných a zeleninových šťáv</v>
      </c>
      <c r="U394">
        <f>IF(ISNUMBER(SEARCH('1Př1'!$A$33,N394)),MAX($M$2:M393)+1,0)</f>
        <v>392</v>
      </c>
      <c r="V394" s="290" t="s">
        <v>1769</v>
      </c>
      <c r="W394" t="str">
        <f>IFERROR(VLOOKUP(ROWS($W$3:W394),$U$3:$V$718,2,0),"")</f>
        <v>Výroba ovocných a zeleninových šťáv</v>
      </c>
      <c r="X394">
        <f>IF(ISNUMBER(SEARCH('1Př1'!$A$34,N394)),MAX($M$2:M393)+1,0)</f>
        <v>392</v>
      </c>
      <c r="Y394" s="290" t="s">
        <v>1769</v>
      </c>
      <c r="Z394" t="str">
        <f>IFERROR(VLOOKUP(ROWS($Z$3:Z394),$X$3:$Y$718,2,0),"")</f>
        <v>Výroba ovocných a zeleninových šťáv</v>
      </c>
    </row>
    <row r="395" spans="13:26" ht="12.75">
      <c r="M395" s="289">
        <f>IF(ISNUMBER(SEARCH(ZAKL_DATA!$B$29,N395)),MAX($M$2:M394)+1,0)</f>
        <v>393</v>
      </c>
      <c r="N395" s="482" t="s">
        <v>955</v>
      </c>
      <c r="O395" s="482" t="s">
        <v>3188</v>
      </c>
      <c r="Q395" s="291" t="str">
        <f>IFERROR(VLOOKUP(ROWS($Q$3:Q395),$M$3:$N$718,2,0),"")</f>
        <v>Těžba ropy</v>
      </c>
      <c r="R395">
        <f>IF(ISNUMBER(SEARCH('1Př1'!$A$32,N395)),MAX($M$2:M394)+1,0)</f>
        <v>393</v>
      </c>
      <c r="S395" s="290" t="s">
        <v>1770</v>
      </c>
      <c r="T395" t="str">
        <f>IFERROR(VLOOKUP(ROWS($T$3:T395),$R$3:$S$718,2,0),"")</f>
        <v>Ostatní zpracování a konzervování ovoce a zeleniny</v>
      </c>
      <c r="U395">
        <f>IF(ISNUMBER(SEARCH('1Př1'!$A$33,N395)),MAX($M$2:M394)+1,0)</f>
        <v>393</v>
      </c>
      <c r="V395" s="290" t="s">
        <v>1770</v>
      </c>
      <c r="W395" t="str">
        <f>IFERROR(VLOOKUP(ROWS($W$3:W395),$U$3:$V$718,2,0),"")</f>
        <v>Ostatní zpracování a konzervování ovoce a zeleniny</v>
      </c>
      <c r="X395">
        <f>IF(ISNUMBER(SEARCH('1Př1'!$A$34,N395)),MAX($M$2:M394)+1,0)</f>
        <v>393</v>
      </c>
      <c r="Y395" s="290" t="s">
        <v>1770</v>
      </c>
      <c r="Z395" t="str">
        <f>IFERROR(VLOOKUP(ROWS($Z$3:Z395),$X$3:$Y$718,2,0),"")</f>
        <v>Ostatní zpracování a konzervování ovoce a zeleniny</v>
      </c>
    </row>
    <row r="396" spans="13:26" ht="12.75">
      <c r="M396" s="289">
        <f>IF(ISNUMBER(SEARCH(ZAKL_DATA!$B$29,N396)),MAX($M$2:M395)+1,0)</f>
        <v>394</v>
      </c>
      <c r="N396" s="482" t="s">
        <v>1754</v>
      </c>
      <c r="O396" s="482" t="s">
        <v>3189</v>
      </c>
      <c r="Q396" s="291" t="str">
        <f>IFERROR(VLOOKUP(ROWS($Q$3:Q396),$M$3:$N$718,2,0),"")</f>
        <v>Těžba soli</v>
      </c>
      <c r="R396">
        <f>IF(ISNUMBER(SEARCH('1Př1'!$A$32,N396)),MAX($M$2:M395)+1,0)</f>
        <v>394</v>
      </c>
      <c r="S396" s="290" t="s">
        <v>1771</v>
      </c>
      <c r="T396" t="str">
        <f>IFERROR(VLOOKUP(ROWS($T$3:T396),$R$3:$S$718,2,0),"")</f>
        <v>Výroba olejů a tuků</v>
      </c>
      <c r="U396">
        <f>IF(ISNUMBER(SEARCH('1Př1'!$A$33,N396)),MAX($M$2:M395)+1,0)</f>
        <v>394</v>
      </c>
      <c r="V396" s="290" t="s">
        <v>1771</v>
      </c>
      <c r="W396" t="str">
        <f>IFERROR(VLOOKUP(ROWS($W$3:W396),$U$3:$V$718,2,0),"")</f>
        <v>Výroba olejů a tuků</v>
      </c>
      <c r="X396">
        <f>IF(ISNUMBER(SEARCH('1Př1'!$A$34,N396)),MAX($M$2:M395)+1,0)</f>
        <v>394</v>
      </c>
      <c r="Y396" s="290" t="s">
        <v>1771</v>
      </c>
      <c r="Z396" t="str">
        <f>IFERROR(VLOOKUP(ROWS($Z$3:Z396),$X$3:$Y$718,2,0),"")</f>
        <v>Výroba olejů a tuků</v>
      </c>
    </row>
    <row r="397" spans="13:26" ht="12.75">
      <c r="M397" s="289">
        <f>IF(ISNUMBER(SEARCH(ZAKL_DATA!$B$29,N397)),MAX($M$2:M396)+1,0)</f>
        <v>395</v>
      </c>
      <c r="N397" s="482" t="s">
        <v>3190</v>
      </c>
      <c r="O397" s="482" t="s">
        <v>3191</v>
      </c>
      <c r="Q397" s="291" t="str">
        <f>IFERROR(VLOOKUP(ROWS($Q$3:Q397),$M$3:$N$718,2,0),"")</f>
        <v>Těžba uranových a thoriových rud, kromě úpravy</v>
      </c>
      <c r="R397">
        <f>IF(ISNUMBER(SEARCH('1Př1'!$A$32,N397)),MAX($M$2:M396)+1,0)</f>
        <v>395</v>
      </c>
      <c r="S397" s="290" t="s">
        <v>1772</v>
      </c>
      <c r="T397" t="str">
        <f>IFERROR(VLOOKUP(ROWS($T$3:T397),$R$3:$S$718,2,0),"")</f>
        <v>Výroba margarínu a podobných jedlých tuků</v>
      </c>
      <c r="U397">
        <f>IF(ISNUMBER(SEARCH('1Př1'!$A$33,N397)),MAX($M$2:M396)+1,0)</f>
        <v>395</v>
      </c>
      <c r="V397" s="290" t="s">
        <v>1772</v>
      </c>
      <c r="W397" t="str">
        <f>IFERROR(VLOOKUP(ROWS($W$3:W397),$U$3:$V$718,2,0),"")</f>
        <v>Výroba margarínu a podobných jedlých tuků</v>
      </c>
      <c r="X397">
        <f>IF(ISNUMBER(SEARCH('1Př1'!$A$34,N397)),MAX($M$2:M396)+1,0)</f>
        <v>395</v>
      </c>
      <c r="Y397" s="290" t="s">
        <v>1772</v>
      </c>
      <c r="Z397" t="str">
        <f>IFERROR(VLOOKUP(ROWS($Z$3:Z397),$X$3:$Y$718,2,0),"")</f>
        <v>Výroba margarínu a podobných jedlých tuků</v>
      </c>
    </row>
    <row r="398" spans="13:26" ht="12.75">
      <c r="M398" s="289">
        <f>IF(ISNUMBER(SEARCH(ZAKL_DATA!$B$29,N398)),MAX($M$2:M397)+1,0)</f>
        <v>396</v>
      </c>
      <c r="N398" s="482" t="s">
        <v>963</v>
      </c>
      <c r="O398" s="482" t="s">
        <v>3192</v>
      </c>
      <c r="Q398" s="291" t="str">
        <f>IFERROR(VLOOKUP(ROWS($Q$3:Q398),$M$3:$N$718,2,0),"")</f>
        <v>Těžba zemního plynu</v>
      </c>
      <c r="R398">
        <f>IF(ISNUMBER(SEARCH('1Př1'!$A$32,N398)),MAX($M$2:M397)+1,0)</f>
        <v>396</v>
      </c>
      <c r="S398" s="290" t="s">
        <v>1773</v>
      </c>
      <c r="T398" t="str">
        <f>IFERROR(VLOOKUP(ROWS($T$3:T398),$R$3:$S$718,2,0),"")</f>
        <v>Zpracování mléka, výroba mléčných výrobků a sýrů</v>
      </c>
      <c r="U398">
        <f>IF(ISNUMBER(SEARCH('1Př1'!$A$33,N398)),MAX($M$2:M397)+1,0)</f>
        <v>396</v>
      </c>
      <c r="V398" s="290" t="s">
        <v>1773</v>
      </c>
      <c r="W398" t="str">
        <f>IFERROR(VLOOKUP(ROWS($W$3:W398),$U$3:$V$718,2,0),"")</f>
        <v>Zpracování mléka, výroba mléčných výrobků a sýrů</v>
      </c>
      <c r="X398">
        <f>IF(ISNUMBER(SEARCH('1Př1'!$A$34,N398)),MAX($M$2:M397)+1,0)</f>
        <v>396</v>
      </c>
      <c r="Y398" s="290" t="s">
        <v>1773</v>
      </c>
      <c r="Z398" t="str">
        <f>IFERROR(VLOOKUP(ROWS($Z$3:Z398),$X$3:$Y$718,2,0),"")</f>
        <v>Zpracování mléka, výroba mléčných výrobků a sýrů</v>
      </c>
    </row>
    <row r="399" spans="13:26" ht="12.75">
      <c r="M399" s="289">
        <f>IF(ISNUMBER(SEARCH(ZAKL_DATA!$B$29,N399)),MAX($M$2:M398)+1,0)</f>
        <v>397</v>
      </c>
      <c r="N399" s="482" t="s">
        <v>3193</v>
      </c>
      <c r="O399" s="482" t="s">
        <v>3194</v>
      </c>
      <c r="Q399" s="291" t="str">
        <f>IFERROR(VLOOKUP(ROWS($Q$3:Q399),$M$3:$N$718,2,0),"")</f>
        <v>Těžba železných rud, kromě úpravy</v>
      </c>
      <c r="R399">
        <f>IF(ISNUMBER(SEARCH('1Př1'!$A$32,N399)),MAX($M$2:M398)+1,0)</f>
        <v>397</v>
      </c>
      <c r="S399" s="290" t="s">
        <v>1774</v>
      </c>
      <c r="T399" t="str">
        <f>IFERROR(VLOOKUP(ROWS($T$3:T399),$R$3:$S$718,2,0),"")</f>
        <v>Výroba zmrzliny</v>
      </c>
      <c r="U399">
        <f>IF(ISNUMBER(SEARCH('1Př1'!$A$33,N399)),MAX($M$2:M398)+1,0)</f>
        <v>397</v>
      </c>
      <c r="V399" s="290" t="s">
        <v>1774</v>
      </c>
      <c r="W399" t="str">
        <f>IFERROR(VLOOKUP(ROWS($W$3:W399),$U$3:$V$718,2,0),"")</f>
        <v>Výroba zmrzliny</v>
      </c>
      <c r="X399">
        <f>IF(ISNUMBER(SEARCH('1Př1'!$A$34,N399)),MAX($M$2:M398)+1,0)</f>
        <v>397</v>
      </c>
      <c r="Y399" s="290" t="s">
        <v>1774</v>
      </c>
      <c r="Z399" t="str">
        <f>IFERROR(VLOOKUP(ROWS($Z$3:Z399),$X$3:$Y$718,2,0),"")</f>
        <v>Výroba zmrzliny</v>
      </c>
    </row>
    <row r="400" spans="13:26" ht="12.75">
      <c r="M400" s="289">
        <f>IF(ISNUMBER(SEARCH(ZAKL_DATA!$B$29,N400)),MAX($M$2:M399)+1,0)</f>
        <v>398</v>
      </c>
      <c r="N400" s="482" t="s">
        <v>1828</v>
      </c>
      <c r="O400" s="482" t="s">
        <v>3195</v>
      </c>
      <c r="Q400" s="291" t="str">
        <f>IFERROR(VLOOKUP(ROWS($Q$3:Q400),$M$3:$N$718,2,0),"")</f>
        <v>Tisk novin</v>
      </c>
      <c r="R400">
        <f>IF(ISNUMBER(SEARCH('1Př1'!$A$32,N400)),MAX($M$2:M399)+1,0)</f>
        <v>398</v>
      </c>
      <c r="S400" s="290" t="s">
        <v>1775</v>
      </c>
      <c r="T400" t="str">
        <f>IFERROR(VLOOKUP(ROWS($T$3:T400),$R$3:$S$718,2,0),"")</f>
        <v>Výroba mlýnských výrobků</v>
      </c>
      <c r="U400">
        <f>IF(ISNUMBER(SEARCH('1Př1'!$A$33,N400)),MAX($M$2:M399)+1,0)</f>
        <v>398</v>
      </c>
      <c r="V400" s="290" t="s">
        <v>1775</v>
      </c>
      <c r="W400" t="str">
        <f>IFERROR(VLOOKUP(ROWS($W$3:W400),$U$3:$V$718,2,0),"")</f>
        <v>Výroba mlýnských výrobků</v>
      </c>
      <c r="X400">
        <f>IF(ISNUMBER(SEARCH('1Př1'!$A$34,N400)),MAX($M$2:M399)+1,0)</f>
        <v>398</v>
      </c>
      <c r="Y400" s="290" t="s">
        <v>1775</v>
      </c>
      <c r="Z400" t="str">
        <f>IFERROR(VLOOKUP(ROWS($Z$3:Z400),$X$3:$Y$718,2,0),"")</f>
        <v>Výroba mlýnských výrobků</v>
      </c>
    </row>
    <row r="401" spans="13:26" ht="12.75">
      <c r="M401" s="289">
        <f>IF(ISNUMBER(SEARCH(ZAKL_DATA!$B$29,N401)),MAX($M$2:M400)+1,0)</f>
        <v>399</v>
      </c>
      <c r="N401" s="482" t="s">
        <v>1223</v>
      </c>
      <c r="O401" s="482" t="s">
        <v>3196</v>
      </c>
      <c r="Q401" s="291" t="str">
        <f>IFERROR(VLOOKUP(ROWS($Q$3:Q401),$M$3:$N$718,2,0),"")</f>
        <v>Tkaní textilií</v>
      </c>
      <c r="R401">
        <f>IF(ISNUMBER(SEARCH('1Př1'!$A$32,N401)),MAX($M$2:M400)+1,0)</f>
        <v>399</v>
      </c>
      <c r="S401" s="290" t="s">
        <v>1776</v>
      </c>
      <c r="T401" t="str">
        <f>IFERROR(VLOOKUP(ROWS($T$3:T401),$R$3:$S$718,2,0),"")</f>
        <v>Výroba škrobárenských výrobků</v>
      </c>
      <c r="U401">
        <f>IF(ISNUMBER(SEARCH('1Př1'!$A$33,N401)),MAX($M$2:M400)+1,0)</f>
        <v>399</v>
      </c>
      <c r="V401" s="290" t="s">
        <v>1776</v>
      </c>
      <c r="W401" t="str">
        <f>IFERROR(VLOOKUP(ROWS($W$3:W401),$U$3:$V$718,2,0),"")</f>
        <v>Výroba škrobárenských výrobků</v>
      </c>
      <c r="X401">
        <f>IF(ISNUMBER(SEARCH('1Př1'!$A$34,N401)),MAX($M$2:M400)+1,0)</f>
        <v>399</v>
      </c>
      <c r="Y401" s="290" t="s">
        <v>1776</v>
      </c>
      <c r="Z401" t="str">
        <f>IFERROR(VLOOKUP(ROWS($Z$3:Z401),$X$3:$Y$718,2,0),"")</f>
        <v>Výroba škrobárenských výrobků</v>
      </c>
    </row>
    <row r="402" spans="13:26" ht="12.75">
      <c r="M402" s="289">
        <f>IF(ISNUMBER(SEARCH(ZAKL_DATA!$B$29,N402)),MAX($M$2:M401)+1,0)</f>
        <v>400</v>
      </c>
      <c r="N402" s="482" t="s">
        <v>1984</v>
      </c>
      <c r="O402" s="482" t="s">
        <v>3197</v>
      </c>
      <c r="Q402" s="291" t="str">
        <f>IFERROR(VLOOKUP(ROWS($Q$3:Q402),$M$3:$N$718,2,0),"")</f>
        <v>Truhlářské práce</v>
      </c>
      <c r="R402">
        <f>IF(ISNUMBER(SEARCH('1Př1'!$A$32,N402)),MAX($M$2:M401)+1,0)</f>
        <v>400</v>
      </c>
      <c r="S402" s="290" t="s">
        <v>1777</v>
      </c>
      <c r="T402" t="str">
        <f>IFERROR(VLOOKUP(ROWS($T$3:T402),$R$3:$S$718,2,0),"")</f>
        <v>Výroba pekařských a cukrářských výrobků, kromě trvanlivých</v>
      </c>
      <c r="U402">
        <f>IF(ISNUMBER(SEARCH('1Př1'!$A$33,N402)),MAX($M$2:M401)+1,0)</f>
        <v>400</v>
      </c>
      <c r="V402" s="290" t="s">
        <v>1777</v>
      </c>
      <c r="W402" t="str">
        <f>IFERROR(VLOOKUP(ROWS($W$3:W402),$U$3:$V$718,2,0),"")</f>
        <v>Výroba pekařských a cukrářských výrobků, kromě trvanlivých</v>
      </c>
      <c r="X402">
        <f>IF(ISNUMBER(SEARCH('1Př1'!$A$34,N402)),MAX($M$2:M401)+1,0)</f>
        <v>400</v>
      </c>
      <c r="Y402" s="290" t="s">
        <v>1777</v>
      </c>
      <c r="Z402" t="str">
        <f>IFERROR(VLOOKUP(ROWS($Z$3:Z402),$X$3:$Y$718,2,0),"")</f>
        <v>Výroba pekařských a cukrářských výrobků, kromě trvanlivých</v>
      </c>
    </row>
    <row r="403" spans="13:26" ht="12.75">
      <c r="M403" s="289">
        <f>IF(ISNUMBER(SEARCH(ZAKL_DATA!$B$29,N403)),MAX($M$2:M402)+1,0)</f>
        <v>401</v>
      </c>
      <c r="N403" s="482" t="s">
        <v>1852</v>
      </c>
      <c r="O403" s="482" t="s">
        <v>3198</v>
      </c>
      <c r="Q403" s="291" t="str">
        <f>IFERROR(VLOOKUP(ROWS($Q$3:Q403),$M$3:$N$718,2,0),"")</f>
        <v>Tvarování a zpracování plochého skla</v>
      </c>
      <c r="R403">
        <f>IF(ISNUMBER(SEARCH('1Př1'!$A$32,N403)),MAX($M$2:M402)+1,0)</f>
        <v>401</v>
      </c>
      <c r="S403" s="290" t="s">
        <v>1778</v>
      </c>
      <c r="T403" t="str">
        <f>IFERROR(VLOOKUP(ROWS($T$3:T403),$R$3:$S$718,2,0),"")</f>
        <v>Výroba sucharů a sušenek; výroba trvanlivých cukrářských výrobků</v>
      </c>
      <c r="U403">
        <f>IF(ISNUMBER(SEARCH('1Př1'!$A$33,N403)),MAX($M$2:M402)+1,0)</f>
        <v>401</v>
      </c>
      <c r="V403" s="290" t="s">
        <v>1778</v>
      </c>
      <c r="W403" t="str">
        <f>IFERROR(VLOOKUP(ROWS($W$3:W403),$U$3:$V$718,2,0),"")</f>
        <v>Výroba sucharů a sušenek; výroba trvanlivých cukrářských výrobků</v>
      </c>
      <c r="X403">
        <f>IF(ISNUMBER(SEARCH('1Př1'!$A$34,N403)),MAX($M$2:M402)+1,0)</f>
        <v>401</v>
      </c>
      <c r="Y403" s="290" t="s">
        <v>1778</v>
      </c>
      <c r="Z403" t="str">
        <f>IFERROR(VLOOKUP(ROWS($Z$3:Z403),$X$3:$Y$718,2,0),"")</f>
        <v>Výroba sucharů a sušenek; výroba trvanlivých cukrářských výrobků</v>
      </c>
    </row>
    <row r="404" spans="13:26" ht="12.75">
      <c r="M404" s="289">
        <f>IF(ISNUMBER(SEARCH(ZAKL_DATA!$B$29,N404)),MAX($M$2:M403)+1,0)</f>
        <v>402</v>
      </c>
      <c r="N404" s="482" t="s">
        <v>1875</v>
      </c>
      <c r="O404" s="482" t="s">
        <v>3199</v>
      </c>
      <c r="Q404" s="291" t="str">
        <f>IFERROR(VLOOKUP(ROWS($Q$3:Q404),$M$3:$N$718,2,0),"")</f>
        <v>Tváření ocelových profilů za studena</v>
      </c>
      <c r="R404">
        <f>IF(ISNUMBER(SEARCH('1Př1'!$A$32,N404)),MAX($M$2:M403)+1,0)</f>
        <v>402</v>
      </c>
      <c r="S404" s="290" t="s">
        <v>1779</v>
      </c>
      <c r="T404" t="str">
        <f>IFERROR(VLOOKUP(ROWS($T$3:T404),$R$3:$S$718,2,0),"")</f>
        <v>Výroba makaronů, nudlí, kuskusu a podobných moučných výrobků</v>
      </c>
      <c r="U404">
        <f>IF(ISNUMBER(SEARCH('1Př1'!$A$33,N404)),MAX($M$2:M403)+1,0)</f>
        <v>402</v>
      </c>
      <c r="V404" s="290" t="s">
        <v>1779</v>
      </c>
      <c r="W404" t="str">
        <f>IFERROR(VLOOKUP(ROWS($W$3:W404),$U$3:$V$718,2,0),"")</f>
        <v>Výroba makaronů, nudlí, kuskusu a podobných moučných výrobků</v>
      </c>
      <c r="X404">
        <f>IF(ISNUMBER(SEARCH('1Př1'!$A$34,N404)),MAX($M$2:M403)+1,0)</f>
        <v>402</v>
      </c>
      <c r="Y404" s="290" t="s">
        <v>1779</v>
      </c>
      <c r="Z404" t="str">
        <f>IFERROR(VLOOKUP(ROWS($Z$3:Z404),$X$3:$Y$718,2,0),"")</f>
        <v>Výroba makaronů, nudlí, kuskusu a podobných moučných výrobků</v>
      </c>
    </row>
    <row r="405" spans="13:26" ht="25.5">
      <c r="M405" s="289">
        <f>IF(ISNUMBER(SEARCH(ZAKL_DATA!$B$29,N405)),MAX($M$2:M404)+1,0)</f>
        <v>403</v>
      </c>
      <c r="N405" s="482" t="s">
        <v>3200</v>
      </c>
      <c r="O405" s="482" t="s">
        <v>3201</v>
      </c>
      <c r="Q405" s="291" t="str">
        <f>IFERROR(VLOOKUP(ROWS($Q$3:Q405),$M$3:$N$718,2,0),"")</f>
        <v>Tvorba televizních programů, televizní vysílání a distribuce videozáznamů</v>
      </c>
      <c r="R405">
        <f>IF(ISNUMBER(SEARCH('1Př1'!$A$32,N405)),MAX($M$2:M404)+1,0)</f>
        <v>403</v>
      </c>
      <c r="S405" s="290" t="s">
        <v>1780</v>
      </c>
      <c r="T405" t="str">
        <f>IFERROR(VLOOKUP(ROWS($T$3:T405),$R$3:$S$718,2,0),"")</f>
        <v>Výroba cukru</v>
      </c>
      <c r="U405">
        <f>IF(ISNUMBER(SEARCH('1Př1'!$A$33,N405)),MAX($M$2:M404)+1,0)</f>
        <v>403</v>
      </c>
      <c r="V405" s="290" t="s">
        <v>1780</v>
      </c>
      <c r="W405" t="str">
        <f>IFERROR(VLOOKUP(ROWS($W$3:W405),$U$3:$V$718,2,0),"")</f>
        <v>Výroba cukru</v>
      </c>
      <c r="X405">
        <f>IF(ISNUMBER(SEARCH('1Př1'!$A$34,N405)),MAX($M$2:M404)+1,0)</f>
        <v>403</v>
      </c>
      <c r="Y405" s="290" t="s">
        <v>1780</v>
      </c>
      <c r="Z405" t="str">
        <f>IFERROR(VLOOKUP(ROWS($Z$3:Z405),$X$3:$Y$718,2,0),"")</f>
        <v>Výroba cukru</v>
      </c>
    </row>
    <row r="406" spans="13:26" ht="25.5">
      <c r="M406" s="289">
        <f>IF(ISNUMBER(SEARCH(ZAKL_DATA!$B$29,N406)),MAX($M$2:M405)+1,0)</f>
        <v>404</v>
      </c>
      <c r="N406" s="482" t="s">
        <v>1665</v>
      </c>
      <c r="O406" s="482" t="s">
        <v>3202</v>
      </c>
      <c r="Q406" s="291" t="str">
        <f>IFERROR(VLOOKUP(ROWS($Q$3:Q406),$M$3:$N$718,2,0),"")</f>
        <v>Ubytování v hotelích a podobných ubytovacích zařízeních</v>
      </c>
      <c r="R406">
        <f>IF(ISNUMBER(SEARCH('1Př1'!$A$32,N406)),MAX($M$2:M405)+1,0)</f>
        <v>404</v>
      </c>
      <c r="S406" s="290" t="s">
        <v>1781</v>
      </c>
      <c r="T406" t="str">
        <f>IFERROR(VLOOKUP(ROWS($T$3:T406),$R$3:$S$718,2,0),"")</f>
        <v>Výroba kakaa, čokolády a cukrovinek</v>
      </c>
      <c r="U406">
        <f>IF(ISNUMBER(SEARCH('1Př1'!$A$33,N406)),MAX($M$2:M405)+1,0)</f>
        <v>404</v>
      </c>
      <c r="V406" s="290" t="s">
        <v>1781</v>
      </c>
      <c r="W406" t="str">
        <f>IFERROR(VLOOKUP(ROWS($W$3:W406),$U$3:$V$718,2,0),"")</f>
        <v>Výroba kakaa, čokolády a cukrovinek</v>
      </c>
      <c r="X406">
        <f>IF(ISNUMBER(SEARCH('1Př1'!$A$34,N406)),MAX($M$2:M405)+1,0)</f>
        <v>404</v>
      </c>
      <c r="Y406" s="290" t="s">
        <v>1781</v>
      </c>
      <c r="Z406" t="str">
        <f>IFERROR(VLOOKUP(ROWS($Z$3:Z406),$X$3:$Y$718,2,0),"")</f>
        <v>Výroba kakaa, čokolády a cukrovinek</v>
      </c>
    </row>
    <row r="407" spans="13:26" ht="12.75">
      <c r="M407" s="289">
        <f>IF(ISNUMBER(SEARCH(ZAKL_DATA!$B$29,N407)),MAX($M$2:M406)+1,0)</f>
        <v>405</v>
      </c>
      <c r="N407" s="482" t="s">
        <v>1697</v>
      </c>
      <c r="O407" s="482" t="s">
        <v>3203</v>
      </c>
      <c r="Q407" s="291" t="str">
        <f>IFERROR(VLOOKUP(ROWS($Q$3:Q407),$M$3:$N$718,2,0),"")</f>
        <v>Účetnické a auditorské činnosti; daňové poradenství</v>
      </c>
      <c r="R407">
        <f>IF(ISNUMBER(SEARCH('1Př1'!$A$32,N407)),MAX($M$2:M406)+1,0)</f>
        <v>405</v>
      </c>
      <c r="S407" s="290" t="s">
        <v>1782</v>
      </c>
      <c r="T407" t="str">
        <f>IFERROR(VLOOKUP(ROWS($T$3:T407),$R$3:$S$718,2,0),"")</f>
        <v>Zpracování čaje a kávy</v>
      </c>
      <c r="U407">
        <f>IF(ISNUMBER(SEARCH('1Př1'!$A$33,N407)),MAX($M$2:M406)+1,0)</f>
        <v>405</v>
      </c>
      <c r="V407" s="290" t="s">
        <v>1782</v>
      </c>
      <c r="W407" t="str">
        <f>IFERROR(VLOOKUP(ROWS($W$3:W407),$U$3:$V$718,2,0),"")</f>
        <v>Zpracování čaje a kávy</v>
      </c>
      <c r="X407">
        <f>IF(ISNUMBER(SEARCH('1Př1'!$A$34,N407)),MAX($M$2:M406)+1,0)</f>
        <v>405</v>
      </c>
      <c r="Y407" s="290" t="s">
        <v>1782</v>
      </c>
      <c r="Z407" t="str">
        <f>IFERROR(VLOOKUP(ROWS($Z$3:Z407),$X$3:$Y$718,2,0),"")</f>
        <v>Zpracování čaje a kávy</v>
      </c>
    </row>
    <row r="408" spans="13:26" ht="12.75">
      <c r="M408" s="289">
        <f>IF(ISNUMBER(SEARCH(ZAKL_DATA!$B$29,N408)),MAX($M$2:M407)+1,0)</f>
        <v>406</v>
      </c>
      <c r="N408" s="482" t="s">
        <v>2132</v>
      </c>
      <c r="O408" s="482" t="s">
        <v>3204</v>
      </c>
      <c r="Q408" s="291" t="str">
        <f>IFERROR(VLOOKUP(ROWS($Q$3:Q408),$M$3:$N$718,2,0),"")</f>
        <v>Umělecké vzdělávání</v>
      </c>
      <c r="R408">
        <f>IF(ISNUMBER(SEARCH('1Př1'!$A$32,N408)),MAX($M$2:M407)+1,0)</f>
        <v>406</v>
      </c>
      <c r="S408" s="290" t="s">
        <v>1783</v>
      </c>
      <c r="T408" t="str">
        <f>IFERROR(VLOOKUP(ROWS($T$3:T408),$R$3:$S$718,2,0),"")</f>
        <v>Výroba koření a aromatických výtažků</v>
      </c>
      <c r="U408">
        <f>IF(ISNUMBER(SEARCH('1Př1'!$A$33,N408)),MAX($M$2:M407)+1,0)</f>
        <v>406</v>
      </c>
      <c r="V408" s="290" t="s">
        <v>1783</v>
      </c>
      <c r="W408" t="str">
        <f>IFERROR(VLOOKUP(ROWS($W$3:W408),$U$3:$V$718,2,0),"")</f>
        <v>Výroba koření a aromatických výtažků</v>
      </c>
      <c r="X408">
        <f>IF(ISNUMBER(SEARCH('1Př1'!$A$34,N408)),MAX($M$2:M407)+1,0)</f>
        <v>406</v>
      </c>
      <c r="Y408" s="290" t="s">
        <v>1783</v>
      </c>
      <c r="Z408" t="str">
        <f>IFERROR(VLOOKUP(ROWS($Z$3:Z408),$X$3:$Y$718,2,0),"")</f>
        <v>Výroba koření a aromatických výtažků</v>
      </c>
    </row>
    <row r="409" spans="13:26" ht="12.75">
      <c r="M409" s="289">
        <f>IF(ISNUMBER(SEARCH(ZAKL_DATA!$B$29,N409)),MAX($M$2:M408)+1,0)</f>
        <v>407</v>
      </c>
      <c r="N409" s="482" t="s">
        <v>1219</v>
      </c>
      <c r="O409" s="482" t="s">
        <v>3205</v>
      </c>
      <c r="Q409" s="291" t="str">
        <f>IFERROR(VLOOKUP(ROWS($Q$3:Q409),$M$3:$N$718,2,0),"")</f>
        <v>Úprava a spřádání textilních vláken a příze</v>
      </c>
      <c r="R409">
        <f>IF(ISNUMBER(SEARCH('1Př1'!$A$32,N409)),MAX($M$2:M408)+1,0)</f>
        <v>407</v>
      </c>
      <c r="S409" s="290" t="s">
        <v>1784</v>
      </c>
      <c r="T409" t="str">
        <f>IFERROR(VLOOKUP(ROWS($T$3:T409),$R$3:$S$718,2,0),"")</f>
        <v>Výroba hotových pokrmů</v>
      </c>
      <c r="U409">
        <f>IF(ISNUMBER(SEARCH('1Př1'!$A$33,N409)),MAX($M$2:M408)+1,0)</f>
        <v>407</v>
      </c>
      <c r="V409" s="290" t="s">
        <v>1784</v>
      </c>
      <c r="W409" t="str">
        <f>IFERROR(VLOOKUP(ROWS($W$3:W409),$U$3:$V$718,2,0),"")</f>
        <v>Výroba hotových pokrmů</v>
      </c>
      <c r="X409">
        <f>IF(ISNUMBER(SEARCH('1Př1'!$A$34,N409)),MAX($M$2:M408)+1,0)</f>
        <v>407</v>
      </c>
      <c r="Y409" s="290" t="s">
        <v>1784</v>
      </c>
      <c r="Z409" t="str">
        <f>IFERROR(VLOOKUP(ROWS($Z$3:Z409),$X$3:$Y$718,2,0),"")</f>
        <v>Výroba hotových pokrmů</v>
      </c>
    </row>
    <row r="410" spans="13:26" ht="12.75">
      <c r="M410" s="289">
        <f>IF(ISNUMBER(SEARCH(ZAKL_DATA!$B$29,N410)),MAX($M$2:M409)+1,0)</f>
        <v>408</v>
      </c>
      <c r="N410" s="482" t="s">
        <v>2083</v>
      </c>
      <c r="O410" s="482" t="s">
        <v>3206</v>
      </c>
      <c r="Q410" s="291" t="str">
        <f>IFERROR(VLOOKUP(ROWS($Q$3:Q410),$M$3:$N$718,2,0),"")</f>
        <v>Úprava černého uhlí</v>
      </c>
      <c r="R410">
        <f>IF(ISNUMBER(SEARCH('1Př1'!$A$32,N410)),MAX($M$2:M409)+1,0)</f>
        <v>408</v>
      </c>
      <c r="S410" s="290" t="s">
        <v>1785</v>
      </c>
      <c r="T410" t="str">
        <f>IFERROR(VLOOKUP(ROWS($T$3:T410),$R$3:$S$718,2,0),"")</f>
        <v>Výroba homogenizovaných potravinářských přípravků a dietních potravin</v>
      </c>
      <c r="U410">
        <f>IF(ISNUMBER(SEARCH('1Př1'!$A$33,N410)),MAX($M$2:M409)+1,0)</f>
        <v>408</v>
      </c>
      <c r="V410" s="290" t="s">
        <v>1785</v>
      </c>
      <c r="W410" t="str">
        <f>IFERROR(VLOOKUP(ROWS($W$3:W410),$U$3:$V$718,2,0),"")</f>
        <v>Výroba homogenizovaných potravinářských přípravků a dietních potravin</v>
      </c>
      <c r="X410">
        <f>IF(ISNUMBER(SEARCH('1Př1'!$A$34,N410)),MAX($M$2:M409)+1,0)</f>
        <v>408</v>
      </c>
      <c r="Y410" s="290" t="s">
        <v>1785</v>
      </c>
      <c r="Z410" t="str">
        <f>IFERROR(VLOOKUP(ROWS($Z$3:Z410),$X$3:$Y$718,2,0),"")</f>
        <v>Výroba homogenizovaných potravinářských přípravků a dietních potravin</v>
      </c>
    </row>
    <row r="411" spans="13:26" ht="12.75">
      <c r="M411" s="289">
        <f>IF(ISNUMBER(SEARCH(ZAKL_DATA!$B$29,N411)),MAX($M$2:M410)+1,0)</f>
        <v>409</v>
      </c>
      <c r="N411" s="482" t="s">
        <v>3207</v>
      </c>
      <c r="O411" s="482" t="s">
        <v>3208</v>
      </c>
      <c r="Q411" s="291" t="str">
        <f>IFERROR(VLOOKUP(ROWS($Q$3:Q411),$M$3:$N$718,2,0),"")</f>
        <v>Úprava hnědého uhlí jiného než lignitu</v>
      </c>
      <c r="R411">
        <f>IF(ISNUMBER(SEARCH('1Př1'!$A$32,N411)),MAX($M$2:M410)+1,0)</f>
        <v>409</v>
      </c>
      <c r="S411" s="290" t="s">
        <v>1786</v>
      </c>
      <c r="T411" t="str">
        <f>IFERROR(VLOOKUP(ROWS($T$3:T411),$R$3:$S$718,2,0),"")</f>
        <v>Výroba ostatních potravinářských výrobků j. n.</v>
      </c>
      <c r="U411">
        <f>IF(ISNUMBER(SEARCH('1Př1'!$A$33,N411)),MAX($M$2:M410)+1,0)</f>
        <v>409</v>
      </c>
      <c r="V411" s="290" t="s">
        <v>1786</v>
      </c>
      <c r="W411" t="str">
        <f>IFERROR(VLOOKUP(ROWS($W$3:W411),$U$3:$V$718,2,0),"")</f>
        <v>Výroba ostatních potravinářských výrobků j. n.</v>
      </c>
      <c r="X411">
        <f>IF(ISNUMBER(SEARCH('1Př1'!$A$34,N411)),MAX($M$2:M410)+1,0)</f>
        <v>409</v>
      </c>
      <c r="Y411" s="290" t="s">
        <v>1786</v>
      </c>
      <c r="Z411" t="str">
        <f>IFERROR(VLOOKUP(ROWS($Z$3:Z411),$X$3:$Y$718,2,0),"")</f>
        <v>Výroba ostatních potravinářských výrobků j. n.</v>
      </c>
    </row>
    <row r="412" spans="13:26" ht="12.75">
      <c r="M412" s="289">
        <f>IF(ISNUMBER(SEARCH(ZAKL_DATA!$B$29,N412)),MAX($M$2:M411)+1,0)</f>
        <v>410</v>
      </c>
      <c r="N412" s="482" t="s">
        <v>2089</v>
      </c>
      <c r="O412" s="482" t="s">
        <v>3209</v>
      </c>
      <c r="Q412" s="291" t="str">
        <f>IFERROR(VLOOKUP(ROWS($Q$3:Q412),$M$3:$N$718,2,0),"")</f>
        <v>Úprava lignitu</v>
      </c>
      <c r="R412">
        <f>IF(ISNUMBER(SEARCH('1Př1'!$A$32,N412)),MAX($M$2:M411)+1,0)</f>
        <v>410</v>
      </c>
      <c r="S412" s="290" t="s">
        <v>1787</v>
      </c>
      <c r="T412" t="str">
        <f>IFERROR(VLOOKUP(ROWS($T$3:T412),$R$3:$S$718,2,0),"")</f>
        <v>Výroba průmyslových krmiv pro hospodářská zvířata</v>
      </c>
      <c r="U412">
        <f>IF(ISNUMBER(SEARCH('1Př1'!$A$33,N412)),MAX($M$2:M411)+1,0)</f>
        <v>410</v>
      </c>
      <c r="V412" s="290" t="s">
        <v>1787</v>
      </c>
      <c r="W412" t="str">
        <f>IFERROR(VLOOKUP(ROWS($W$3:W412),$U$3:$V$718,2,0),"")</f>
        <v>Výroba průmyslových krmiv pro hospodářská zvířata</v>
      </c>
      <c r="X412">
        <f>IF(ISNUMBER(SEARCH('1Př1'!$A$34,N412)),MAX($M$2:M411)+1,0)</f>
        <v>410</v>
      </c>
      <c r="Y412" s="290" t="s">
        <v>1787</v>
      </c>
      <c r="Z412" t="str">
        <f>IFERROR(VLOOKUP(ROWS($Z$3:Z412),$X$3:$Y$718,2,0),"")</f>
        <v>Výroba průmyslových krmiv pro hospodářská zvířata</v>
      </c>
    </row>
    <row r="413" spans="13:26" ht="12.75">
      <c r="M413" s="289">
        <f>IF(ISNUMBER(SEARCH(ZAKL_DATA!$B$29,N413)),MAX($M$2:M412)+1,0)</f>
        <v>411</v>
      </c>
      <c r="N413" s="482" t="s">
        <v>2107</v>
      </c>
      <c r="O413" s="482" t="s">
        <v>3210</v>
      </c>
      <c r="Q413" s="291" t="str">
        <f>IFERROR(VLOOKUP(ROWS($Q$3:Q413),$M$3:$N$718,2,0),"")</f>
        <v>Úprava ostatních neželezných rud</v>
      </c>
      <c r="R413">
        <f>IF(ISNUMBER(SEARCH('1Př1'!$A$32,N413)),MAX($M$2:M412)+1,0)</f>
        <v>411</v>
      </c>
      <c r="S413" s="290" t="s">
        <v>1788</v>
      </c>
      <c r="T413" t="str">
        <f>IFERROR(VLOOKUP(ROWS($T$3:T413),$R$3:$S$718,2,0),"")</f>
        <v>Výroba průmyslových krmiv pro zvířata v zájmovém chovu</v>
      </c>
      <c r="U413">
        <f>IF(ISNUMBER(SEARCH('1Př1'!$A$33,N413)),MAX($M$2:M412)+1,0)</f>
        <v>411</v>
      </c>
      <c r="V413" s="290" t="s">
        <v>1788</v>
      </c>
      <c r="W413" t="str">
        <f>IFERROR(VLOOKUP(ROWS($W$3:W413),$U$3:$V$718,2,0),"")</f>
        <v>Výroba průmyslových krmiv pro zvířata v zájmovém chovu</v>
      </c>
      <c r="X413">
        <f>IF(ISNUMBER(SEARCH('1Př1'!$A$34,N413)),MAX($M$2:M412)+1,0)</f>
        <v>411</v>
      </c>
      <c r="Y413" s="290" t="s">
        <v>1788</v>
      </c>
      <c r="Z413" t="str">
        <f>IFERROR(VLOOKUP(ROWS($Z$3:Z413),$X$3:$Y$718,2,0),"")</f>
        <v>Výroba průmyslových krmiv pro zvířata v zájmovém chovu</v>
      </c>
    </row>
    <row r="414" spans="13:26" ht="12.75">
      <c r="M414" s="289">
        <f>IF(ISNUMBER(SEARCH(ZAKL_DATA!$B$29,N414)),MAX($M$2:M413)+1,0)</f>
        <v>412</v>
      </c>
      <c r="N414" s="482" t="s">
        <v>2106</v>
      </c>
      <c r="O414" s="482" t="s">
        <v>3211</v>
      </c>
      <c r="Q414" s="291" t="str">
        <f>IFERROR(VLOOKUP(ROWS($Q$3:Q414),$M$3:$N$718,2,0),"")</f>
        <v>Úprava uranových a thoriových rud</v>
      </c>
      <c r="R414">
        <f>IF(ISNUMBER(SEARCH('1Př1'!$A$32,N414)),MAX($M$2:M413)+1,0)</f>
        <v>412</v>
      </c>
      <c r="S414" s="290" t="s">
        <v>1789</v>
      </c>
      <c r="T414" t="str">
        <f>IFERROR(VLOOKUP(ROWS($T$3:T414),$R$3:$S$718,2,0),"")</f>
        <v>Destilace, rektifikace a míchání lihovin</v>
      </c>
      <c r="U414">
        <f>IF(ISNUMBER(SEARCH('1Př1'!$A$33,N414)),MAX($M$2:M413)+1,0)</f>
        <v>412</v>
      </c>
      <c r="V414" s="290" t="s">
        <v>1789</v>
      </c>
      <c r="W414" t="str">
        <f>IFERROR(VLOOKUP(ROWS($W$3:W414),$U$3:$V$718,2,0),"")</f>
        <v>Destilace, rektifikace a míchání lihovin</v>
      </c>
      <c r="X414">
        <f>IF(ISNUMBER(SEARCH('1Př1'!$A$34,N414)),MAX($M$2:M413)+1,0)</f>
        <v>412</v>
      </c>
      <c r="Y414" s="290" t="s">
        <v>1789</v>
      </c>
      <c r="Z414" t="str">
        <f>IFERROR(VLOOKUP(ROWS($Z$3:Z414),$X$3:$Y$718,2,0),"")</f>
        <v>Destilace, rektifikace a míchání lihovin</v>
      </c>
    </row>
    <row r="415" spans="13:26" ht="12.75">
      <c r="M415" s="289">
        <f>IF(ISNUMBER(SEARCH(ZAKL_DATA!$B$29,N415)),MAX($M$2:M414)+1,0)</f>
        <v>413</v>
      </c>
      <c r="N415" s="482" t="s">
        <v>2103</v>
      </c>
      <c r="O415" s="482" t="s">
        <v>3212</v>
      </c>
      <c r="Q415" s="291" t="str">
        <f>IFERROR(VLOOKUP(ROWS($Q$3:Q415),$M$3:$N$718,2,0),"")</f>
        <v>Úprava železných rud</v>
      </c>
      <c r="R415">
        <f>IF(ISNUMBER(SEARCH('1Př1'!$A$32,N415)),MAX($M$2:M414)+1,0)</f>
        <v>413</v>
      </c>
      <c r="S415" s="290" t="s">
        <v>1790</v>
      </c>
      <c r="T415" t="str">
        <f>IFERROR(VLOOKUP(ROWS($T$3:T415),$R$3:$S$718,2,0),"")</f>
        <v>Výroba vína z vinných hroznů</v>
      </c>
      <c r="U415">
        <f>IF(ISNUMBER(SEARCH('1Př1'!$A$33,N415)),MAX($M$2:M414)+1,0)</f>
        <v>413</v>
      </c>
      <c r="V415" s="290" t="s">
        <v>1790</v>
      </c>
      <c r="W415" t="str">
        <f>IFERROR(VLOOKUP(ROWS($W$3:W415),$U$3:$V$718,2,0),"")</f>
        <v>Výroba vína z vinných hroznů</v>
      </c>
      <c r="X415">
        <f>IF(ISNUMBER(SEARCH('1Př1'!$A$34,N415)),MAX($M$2:M414)+1,0)</f>
        <v>413</v>
      </c>
      <c r="Y415" s="290" t="s">
        <v>1790</v>
      </c>
      <c r="Z415" t="str">
        <f>IFERROR(VLOOKUP(ROWS($Z$3:Z415),$X$3:$Y$718,2,0),"")</f>
        <v>Výroba vína z vinných hroznů</v>
      </c>
    </row>
    <row r="416" spans="13:26" ht="12.75">
      <c r="M416" s="289">
        <f>IF(ISNUMBER(SEARCH(ZAKL_DATA!$B$29,N416)),MAX($M$2:M415)+1,0)</f>
        <v>414</v>
      </c>
      <c r="N416" s="482" t="s">
        <v>1874</v>
      </c>
      <c r="O416" s="482" t="s">
        <v>3213</v>
      </c>
      <c r="Q416" s="291" t="str">
        <f>IFERROR(VLOOKUP(ROWS($Q$3:Q416),$M$3:$N$718,2,0),"")</f>
        <v>Válcování ocelových úzkých pásů za studena</v>
      </c>
      <c r="R416">
        <f>IF(ISNUMBER(SEARCH('1Př1'!$A$32,N416)),MAX($M$2:M415)+1,0)</f>
        <v>414</v>
      </c>
      <c r="S416" s="290" t="s">
        <v>1791</v>
      </c>
      <c r="T416" t="str">
        <f>IFERROR(VLOOKUP(ROWS($T$3:T416),$R$3:$S$718,2,0),"")</f>
        <v>Výroba jablečného vína a jiných ovocných vín</v>
      </c>
      <c r="U416">
        <f>IF(ISNUMBER(SEARCH('1Př1'!$A$33,N416)),MAX($M$2:M415)+1,0)</f>
        <v>414</v>
      </c>
      <c r="V416" s="290" t="s">
        <v>1791</v>
      </c>
      <c r="W416" t="str">
        <f>IFERROR(VLOOKUP(ROWS($W$3:W416),$U$3:$V$718,2,0),"")</f>
        <v>Výroba jablečného vína a jiných ovocných vín</v>
      </c>
      <c r="X416">
        <f>IF(ISNUMBER(SEARCH('1Př1'!$A$34,N416)),MAX($M$2:M415)+1,0)</f>
        <v>414</v>
      </c>
      <c r="Y416" s="290" t="s">
        <v>1791</v>
      </c>
      <c r="Z416" t="str">
        <f>IFERROR(VLOOKUP(ROWS($Z$3:Z416),$X$3:$Y$718,2,0),"")</f>
        <v>Výroba jablečného vína a jiných ovocných vín</v>
      </c>
    </row>
    <row r="417" spans="13:26" ht="12.75">
      <c r="M417" s="289">
        <f>IF(ISNUMBER(SEARCH(ZAKL_DATA!$B$29,N417)),MAX($M$2:M416)+1,0)</f>
        <v>415</v>
      </c>
      <c r="N417" s="482" t="s">
        <v>1831</v>
      </c>
      <c r="O417" s="482" t="s">
        <v>3214</v>
      </c>
      <c r="Q417" s="291" t="str">
        <f>IFERROR(VLOOKUP(ROWS($Q$3:Q417),$M$3:$N$718,2,0),"")</f>
        <v>Vázání a související činnosti</v>
      </c>
      <c r="R417">
        <f>IF(ISNUMBER(SEARCH('1Př1'!$A$32,N417)),MAX($M$2:M416)+1,0)</f>
        <v>415</v>
      </c>
      <c r="S417" s="290" t="s">
        <v>1792</v>
      </c>
      <c r="T417" t="str">
        <f>IFERROR(VLOOKUP(ROWS($T$3:T417),$R$3:$S$718,2,0),"")</f>
        <v>Výroba ostatních nedestilovaných kvašených nápojů</v>
      </c>
      <c r="U417">
        <f>IF(ISNUMBER(SEARCH('1Př1'!$A$33,N417)),MAX($M$2:M416)+1,0)</f>
        <v>415</v>
      </c>
      <c r="V417" s="290" t="s">
        <v>1792</v>
      </c>
      <c r="W417" t="str">
        <f>IFERROR(VLOOKUP(ROWS($W$3:W417),$U$3:$V$718,2,0),"")</f>
        <v>Výroba ostatních nedestilovaných kvašených nápojů</v>
      </c>
      <c r="X417">
        <f>IF(ISNUMBER(SEARCH('1Př1'!$A$34,N417)),MAX($M$2:M416)+1,0)</f>
        <v>415</v>
      </c>
      <c r="Y417" s="290" t="s">
        <v>1792</v>
      </c>
      <c r="Z417" t="str">
        <f>IFERROR(VLOOKUP(ROWS($Z$3:Z417),$X$3:$Y$718,2,0),"")</f>
        <v>Výroba ostatních nedestilovaných kvašených nápojů</v>
      </c>
    </row>
    <row r="418" spans="13:26" ht="12.75">
      <c r="M418" s="289">
        <f>IF(ISNUMBER(SEARCH(ZAKL_DATA!$B$29,N418)),MAX($M$2:M417)+1,0)</f>
        <v>416</v>
      </c>
      <c r="N418" s="482" t="s">
        <v>2012</v>
      </c>
      <c r="O418" s="482" t="s">
        <v>3215</v>
      </c>
      <c r="Q418" s="291" t="str">
        <f>IFERROR(VLOOKUP(ROWS($Q$3:Q418),$M$3:$N$718,2,0),"")</f>
        <v>Velkoobchod s cukrem, čokoládou a cukrovinkami</v>
      </c>
      <c r="R418">
        <f>IF(ISNUMBER(SEARCH('1Př1'!$A$32,N418)),MAX($M$2:M417)+1,0)</f>
        <v>416</v>
      </c>
      <c r="S418" s="290" t="s">
        <v>1793</v>
      </c>
      <c r="T418" t="str">
        <f>IFERROR(VLOOKUP(ROWS($T$3:T418),$R$3:$S$718,2,0),"")</f>
        <v>Výroba piva</v>
      </c>
      <c r="U418">
        <f>IF(ISNUMBER(SEARCH('1Př1'!$A$33,N418)),MAX($M$2:M417)+1,0)</f>
        <v>416</v>
      </c>
      <c r="V418" s="290" t="s">
        <v>1793</v>
      </c>
      <c r="W418" t="str">
        <f>IFERROR(VLOOKUP(ROWS($W$3:W418),$U$3:$V$718,2,0),"")</f>
        <v>Výroba piva</v>
      </c>
      <c r="X418">
        <f>IF(ISNUMBER(SEARCH('1Př1'!$A$34,N418)),MAX($M$2:M417)+1,0)</f>
        <v>416</v>
      </c>
      <c r="Y418" s="290" t="s">
        <v>1793</v>
      </c>
      <c r="Z418" t="str">
        <f>IFERROR(VLOOKUP(ROWS($Z$3:Z418),$X$3:$Y$718,2,0),"")</f>
        <v>Výroba piva</v>
      </c>
    </row>
    <row r="419" spans="13:26" ht="25.5">
      <c r="M419" s="289">
        <f>IF(ISNUMBER(SEARCH(ZAKL_DATA!$B$29,N419)),MAX($M$2:M418)+1,0)</f>
        <v>417</v>
      </c>
      <c r="N419" s="482" t="s">
        <v>3216</v>
      </c>
      <c r="O419" s="482" t="s">
        <v>3217</v>
      </c>
      <c r="Q419" s="291" t="str">
        <f>IFERROR(VLOOKUP(ROWS($Q$3:Q419),$M$3:$N$718,2,0),"")</f>
        <v>Velkoobchod s díly a příslušenstvím pro motorová vozidla</v>
      </c>
      <c r="R419">
        <f>IF(ISNUMBER(SEARCH('1Př1'!$A$32,N419)),MAX($M$2:M418)+1,0)</f>
        <v>417</v>
      </c>
      <c r="S419" s="290" t="s">
        <v>1794</v>
      </c>
      <c r="T419" t="str">
        <f>IFERROR(VLOOKUP(ROWS($T$3:T419),$R$3:$S$718,2,0),"")</f>
        <v>Výroba sladu</v>
      </c>
      <c r="U419">
        <f>IF(ISNUMBER(SEARCH('1Př1'!$A$33,N419)),MAX($M$2:M418)+1,0)</f>
        <v>417</v>
      </c>
      <c r="V419" s="290" t="s">
        <v>1794</v>
      </c>
      <c r="W419" t="str">
        <f>IFERROR(VLOOKUP(ROWS($W$3:W419),$U$3:$V$718,2,0),"")</f>
        <v>Výroba sladu</v>
      </c>
      <c r="X419">
        <f>IF(ISNUMBER(SEARCH('1Př1'!$A$34,N419)),MAX($M$2:M418)+1,0)</f>
        <v>417</v>
      </c>
      <c r="Y419" s="290" t="s">
        <v>1794</v>
      </c>
      <c r="Z419" t="str">
        <f>IFERROR(VLOOKUP(ROWS($Z$3:Z419),$X$3:$Y$718,2,0),"")</f>
        <v>Výroba sladu</v>
      </c>
    </row>
    <row r="420" spans="13:26" ht="25.5">
      <c r="M420" s="289">
        <f>IF(ISNUMBER(SEARCH(ZAKL_DATA!$B$29,N420)),MAX($M$2:M419)+1,0)</f>
        <v>418</v>
      </c>
      <c r="N420" s="482" t="s">
        <v>3218</v>
      </c>
      <c r="O420" s="482" t="s">
        <v>3219</v>
      </c>
      <c r="Q420" s="291" t="str">
        <f>IFERROR(VLOOKUP(ROWS($Q$3:Q420),$M$3:$N$718,2,0),"")</f>
        <v>Velkoobchod s elektrospotřebiči a elektronikou převážně pro domácnost</v>
      </c>
      <c r="R420">
        <f>IF(ISNUMBER(SEARCH('1Př1'!$A$32,N420)),MAX($M$2:M419)+1,0)</f>
        <v>418</v>
      </c>
      <c r="S420" s="290" t="s">
        <v>1795</v>
      </c>
      <c r="T420" t="str">
        <f>IFERROR(VLOOKUP(ROWS($T$3:T420),$R$3:$S$718,2,0),"")</f>
        <v>Výroba nealkohol.nápojů;stáčení minerálních a ostatních vod do lahví</v>
      </c>
      <c r="U420">
        <f>IF(ISNUMBER(SEARCH('1Př1'!$A$33,N420)),MAX($M$2:M419)+1,0)</f>
        <v>418</v>
      </c>
      <c r="V420" s="290" t="s">
        <v>1795</v>
      </c>
      <c r="W420" t="str">
        <f>IFERROR(VLOOKUP(ROWS($W$3:W420),$U$3:$V$718,2,0),"")</f>
        <v>Výroba nealkohol.nápojů;stáčení minerálních a ostatních vod do lahví</v>
      </c>
      <c r="X420">
        <f>IF(ISNUMBER(SEARCH('1Př1'!$A$34,N420)),MAX($M$2:M419)+1,0)</f>
        <v>418</v>
      </c>
      <c r="Y420" s="290" t="s">
        <v>1795</v>
      </c>
      <c r="Z420" t="str">
        <f>IFERROR(VLOOKUP(ROWS($Z$3:Z420),$X$3:$Y$718,2,0),"")</f>
        <v>Výroba nealkohol.nápojů;stáčení minerálních a ostatních vod do lahví</v>
      </c>
    </row>
    <row r="421" spans="13:26" ht="25.5">
      <c r="M421" s="289">
        <f>IF(ISNUMBER(SEARCH(ZAKL_DATA!$B$29,N421)),MAX($M$2:M420)+1,0)</f>
        <v>419</v>
      </c>
      <c r="N421" s="482" t="s">
        <v>3220</v>
      </c>
      <c r="O421" s="482" t="s">
        <v>3221</v>
      </c>
      <c r="Q421" s="291" t="str">
        <f>IFERROR(VLOOKUP(ROWS($Q$3:Q421),$M$3:$N$718,2,0),"")</f>
        <v>Velkoobchod s farmaceutickými a zdravotnickými výrobky</v>
      </c>
      <c r="R421">
        <f>IF(ISNUMBER(SEARCH('1Př1'!$A$32,N421)),MAX($M$2:M420)+1,0)</f>
        <v>419</v>
      </c>
      <c r="S421" s="290" t="s">
        <v>1796</v>
      </c>
      <c r="T421" t="str">
        <f>IFERROR(VLOOKUP(ROWS($T$3:T421),$R$3:$S$718,2,0),"")</f>
        <v>Výroba pletených a háčkovaných materiálů</v>
      </c>
      <c r="U421">
        <f>IF(ISNUMBER(SEARCH('1Př1'!$A$33,N421)),MAX($M$2:M420)+1,0)</f>
        <v>419</v>
      </c>
      <c r="V421" s="290" t="s">
        <v>1796</v>
      </c>
      <c r="W421" t="str">
        <f>IFERROR(VLOOKUP(ROWS($W$3:W421),$U$3:$V$718,2,0),"")</f>
        <v>Výroba pletených a háčkovaných materiálů</v>
      </c>
      <c r="X421">
        <f>IF(ISNUMBER(SEARCH('1Př1'!$A$34,N421)),MAX($M$2:M420)+1,0)</f>
        <v>419</v>
      </c>
      <c r="Y421" s="290" t="s">
        <v>1796</v>
      </c>
      <c r="Z421" t="str">
        <f>IFERROR(VLOOKUP(ROWS($Z$3:Z421),$X$3:$Y$718,2,0),"")</f>
        <v>Výroba pletených a háčkovaných materiálů</v>
      </c>
    </row>
    <row r="422" spans="13:26" ht="12.75">
      <c r="M422" s="289">
        <f>IF(ISNUMBER(SEARCH(ZAKL_DATA!$B$29,N422)),MAX($M$2:M421)+1,0)</f>
        <v>420</v>
      </c>
      <c r="N422" s="482" t="s">
        <v>2023</v>
      </c>
      <c r="O422" s="482" t="s">
        <v>3222</v>
      </c>
      <c r="Q422" s="291" t="str">
        <f>IFERROR(VLOOKUP(ROWS($Q$3:Q422),$M$3:$N$718,2,0),"")</f>
        <v>Velkoobchod s hodinami, hodinkami a klenoty</v>
      </c>
      <c r="R422">
        <f>IF(ISNUMBER(SEARCH('1Př1'!$A$32,N422)),MAX($M$2:M421)+1,0)</f>
        <v>420</v>
      </c>
      <c r="S422" s="290" t="s">
        <v>1797</v>
      </c>
      <c r="T422" t="str">
        <f>IFERROR(VLOOKUP(ROWS($T$3:T422),$R$3:$S$718,2,0),"")</f>
        <v>Výroba konfekčních textilních výrobků, kromě oděvů</v>
      </c>
      <c r="U422">
        <f>IF(ISNUMBER(SEARCH('1Př1'!$A$33,N422)),MAX($M$2:M421)+1,0)</f>
        <v>420</v>
      </c>
      <c r="V422" s="290" t="s">
        <v>1797</v>
      </c>
      <c r="W422" t="str">
        <f>IFERROR(VLOOKUP(ROWS($W$3:W422),$U$3:$V$718,2,0),"")</f>
        <v>Výroba konfekčních textilních výrobků, kromě oděvů</v>
      </c>
      <c r="X422">
        <f>IF(ISNUMBER(SEARCH('1Př1'!$A$34,N422)),MAX($M$2:M421)+1,0)</f>
        <v>420</v>
      </c>
      <c r="Y422" s="290" t="s">
        <v>1797</v>
      </c>
      <c r="Z422" t="str">
        <f>IFERROR(VLOOKUP(ROWS($Z$3:Z422),$X$3:$Y$718,2,0),"")</f>
        <v>Výroba konfekčních textilních výrobků, kromě oděvů</v>
      </c>
    </row>
    <row r="423" spans="13:26" ht="12.75">
      <c r="M423" s="289">
        <f>IF(ISNUMBER(SEARCH(ZAKL_DATA!$B$29,N423)),MAX($M$2:M422)+1,0)</f>
        <v>421</v>
      </c>
      <c r="N423" s="482" t="s">
        <v>2038</v>
      </c>
      <c r="O423" s="482" t="s">
        <v>3223</v>
      </c>
      <c r="Q423" s="291" t="str">
        <f>IFERROR(VLOOKUP(ROWS($Q$3:Q423),$M$3:$N$718,2,0),"")</f>
        <v>Velkoobchod s chemickými výrobky</v>
      </c>
      <c r="R423">
        <f>IF(ISNUMBER(SEARCH('1Př1'!$A$32,N423)),MAX($M$2:M422)+1,0)</f>
        <v>421</v>
      </c>
      <c r="S423" s="290" t="s">
        <v>1798</v>
      </c>
      <c r="T423" t="str">
        <f>IFERROR(VLOOKUP(ROWS($T$3:T423),$R$3:$S$718,2,0),"")</f>
        <v>Výroba koberců a kobercových předložek</v>
      </c>
      <c r="U423">
        <f>IF(ISNUMBER(SEARCH('1Př1'!$A$33,N423)),MAX($M$2:M422)+1,0)</f>
        <v>421</v>
      </c>
      <c r="V423" s="290" t="s">
        <v>1798</v>
      </c>
      <c r="W423" t="str">
        <f>IFERROR(VLOOKUP(ROWS($W$3:W423),$U$3:$V$718,2,0),"")</f>
        <v>Výroba koberců a kobercových předložek</v>
      </c>
      <c r="X423">
        <f>IF(ISNUMBER(SEARCH('1Př1'!$A$34,N423)),MAX($M$2:M422)+1,0)</f>
        <v>421</v>
      </c>
      <c r="Y423" s="290" t="s">
        <v>1798</v>
      </c>
      <c r="Z423" t="str">
        <f>IFERROR(VLOOKUP(ROWS($Z$3:Z423),$X$3:$Y$718,2,0),"")</f>
        <v>Výroba koberců a kobercových předložek</v>
      </c>
    </row>
    <row r="424" spans="13:26" ht="12.75">
      <c r="M424" s="289">
        <f>IF(ISNUMBER(SEARCH(ZAKL_DATA!$B$29,N424)),MAX($M$2:M423)+1,0)</f>
        <v>422</v>
      </c>
      <c r="N424" s="482" t="s">
        <v>2013</v>
      </c>
      <c r="O424" s="482" t="s">
        <v>3224</v>
      </c>
      <c r="Q424" s="291" t="str">
        <f>IFERROR(VLOOKUP(ROWS($Q$3:Q424),$M$3:$N$718,2,0),"")</f>
        <v>Velkoobchod s kávou, čajem, kakaem a kořením</v>
      </c>
      <c r="R424">
        <f>IF(ISNUMBER(SEARCH('1Př1'!$A$32,N424)),MAX($M$2:M423)+1,0)</f>
        <v>422</v>
      </c>
      <c r="S424" s="290" t="s">
        <v>1799</v>
      </c>
      <c r="T424" t="str">
        <f>IFERROR(VLOOKUP(ROWS($T$3:T424),$R$3:$S$718,2,0),"")</f>
        <v>Výroba lan, provazů a síťovaných výrobků</v>
      </c>
      <c r="U424">
        <f>IF(ISNUMBER(SEARCH('1Př1'!$A$33,N424)),MAX($M$2:M423)+1,0)</f>
        <v>422</v>
      </c>
      <c r="V424" s="290" t="s">
        <v>1799</v>
      </c>
      <c r="W424" t="str">
        <f>IFERROR(VLOOKUP(ROWS($W$3:W424),$U$3:$V$718,2,0),"")</f>
        <v>Výroba lan, provazů a síťovaných výrobků</v>
      </c>
      <c r="X424">
        <f>IF(ISNUMBER(SEARCH('1Př1'!$A$34,N424)),MAX($M$2:M423)+1,0)</f>
        <v>422</v>
      </c>
      <c r="Y424" s="290" t="s">
        <v>1799</v>
      </c>
      <c r="Z424" t="str">
        <f>IFERROR(VLOOKUP(ROWS($Z$3:Z424),$X$3:$Y$718,2,0),"")</f>
        <v>Výroba lan, provazů a síťovaných výrobků</v>
      </c>
    </row>
    <row r="425" spans="13:26" ht="12.75">
      <c r="M425" s="289">
        <f>IF(ISNUMBER(SEARCH(ZAKL_DATA!$B$29,N425)),MAX($M$2:M424)+1,0)</f>
        <v>423</v>
      </c>
      <c r="N425" s="482" t="s">
        <v>2004</v>
      </c>
      <c r="O425" s="482" t="s">
        <v>3225</v>
      </c>
      <c r="Q425" s="291" t="str">
        <f>IFERROR(VLOOKUP(ROWS($Q$3:Q425),$M$3:$N$718,2,0),"")</f>
        <v>Velkoobchod s květinami a jinými rostlinami</v>
      </c>
      <c r="R425">
        <f>IF(ISNUMBER(SEARCH('1Př1'!$A$32,N425)),MAX($M$2:M424)+1,0)</f>
        <v>423</v>
      </c>
      <c r="S425" s="290" t="s">
        <v>1800</v>
      </c>
      <c r="T425" t="str">
        <f>IFERROR(VLOOKUP(ROWS($T$3:T425),$R$3:$S$718,2,0),"")</f>
        <v>Výroba netkaných textilií a výrobků z nich, kromě oděvů</v>
      </c>
      <c r="U425">
        <f>IF(ISNUMBER(SEARCH('1Př1'!$A$33,N425)),MAX($M$2:M424)+1,0)</f>
        <v>423</v>
      </c>
      <c r="V425" s="290" t="s">
        <v>1800</v>
      </c>
      <c r="W425" t="str">
        <f>IFERROR(VLOOKUP(ROWS($W$3:W425),$U$3:$V$718,2,0),"")</f>
        <v>Výroba netkaných textilií a výrobků z nich, kromě oděvů</v>
      </c>
      <c r="X425">
        <f>IF(ISNUMBER(SEARCH('1Př1'!$A$34,N425)),MAX($M$2:M424)+1,0)</f>
        <v>423</v>
      </c>
      <c r="Y425" s="290" t="s">
        <v>1800</v>
      </c>
      <c r="Z425" t="str">
        <f>IFERROR(VLOOKUP(ROWS($Z$3:Z425),$X$3:$Y$718,2,0),"")</f>
        <v>Výroba netkaných textilií a výrobků z nich, kromě oděvů</v>
      </c>
    </row>
    <row r="426" spans="13:26" ht="25.5">
      <c r="M426" s="289">
        <f>IF(ISNUMBER(SEARCH(ZAKL_DATA!$B$29,N426)),MAX($M$2:M425)+1,0)</f>
        <v>424</v>
      </c>
      <c r="N426" s="482" t="s">
        <v>3226</v>
      </c>
      <c r="O426" s="482" t="s">
        <v>3227</v>
      </c>
      <c r="Q426" s="291" t="str">
        <f>IFERROR(VLOOKUP(ROWS($Q$3:Q426),$M$3:$N$718,2,0),"")</f>
        <v>Velkoobchod s masem, masnými výrobky, rybami a rybími výrobky</v>
      </c>
      <c r="R426">
        <f>IF(ISNUMBER(SEARCH('1Př1'!$A$32,N426)),MAX($M$2:M425)+1,0)</f>
        <v>424</v>
      </c>
      <c r="S426" s="290" t="s">
        <v>1801</v>
      </c>
      <c r="T426" t="str">
        <f>IFERROR(VLOOKUP(ROWS($T$3:T426),$R$3:$S$718,2,0),"")</f>
        <v>Výroba ostatních technických a průmyslových textilií</v>
      </c>
      <c r="U426">
        <f>IF(ISNUMBER(SEARCH('1Př1'!$A$33,N426)),MAX($M$2:M425)+1,0)</f>
        <v>424</v>
      </c>
      <c r="V426" s="290" t="s">
        <v>1801</v>
      </c>
      <c r="W426" t="str">
        <f>IFERROR(VLOOKUP(ROWS($W$3:W426),$U$3:$V$718,2,0),"")</f>
        <v>Výroba ostatních technických a průmyslových textilií</v>
      </c>
      <c r="X426">
        <f>IF(ISNUMBER(SEARCH('1Př1'!$A$34,N426)),MAX($M$2:M425)+1,0)</f>
        <v>424</v>
      </c>
      <c r="Y426" s="290" t="s">
        <v>1801</v>
      </c>
      <c r="Z426" t="str">
        <f>IFERROR(VLOOKUP(ROWS($Z$3:Z426),$X$3:$Y$718,2,0),"")</f>
        <v>Výroba ostatních technických a průmyslových textilií</v>
      </c>
    </row>
    <row r="427" spans="13:26" ht="25.5">
      <c r="M427" s="289">
        <f>IF(ISNUMBER(SEARCH(ZAKL_DATA!$B$29,N427)),MAX($M$2:M426)+1,0)</f>
        <v>425</v>
      </c>
      <c r="N427" s="482" t="s">
        <v>2009</v>
      </c>
      <c r="O427" s="482" t="s">
        <v>3228</v>
      </c>
      <c r="Q427" s="291" t="str">
        <f>IFERROR(VLOOKUP(ROWS($Q$3:Q427),$M$3:$N$718,2,0),"")</f>
        <v>Velkoobchod s mléčnými výrobky, vejci, jedlými oleji a tuky</v>
      </c>
      <c r="R427">
        <f>IF(ISNUMBER(SEARCH('1Př1'!$A$32,N427)),MAX($M$2:M426)+1,0)</f>
        <v>425</v>
      </c>
      <c r="S427" s="290" t="s">
        <v>1802</v>
      </c>
      <c r="T427" t="str">
        <f>IFERROR(VLOOKUP(ROWS($T$3:T427),$R$3:$S$718,2,0),"")</f>
        <v>Výroba ostatních textilií j. n.</v>
      </c>
      <c r="U427">
        <f>IF(ISNUMBER(SEARCH('1Př1'!$A$33,N427)),MAX($M$2:M426)+1,0)</f>
        <v>425</v>
      </c>
      <c r="V427" s="290" t="s">
        <v>1802</v>
      </c>
      <c r="W427" t="str">
        <f>IFERROR(VLOOKUP(ROWS($W$3:W427),$U$3:$V$718,2,0),"")</f>
        <v>Výroba ostatních textilií j. n.</v>
      </c>
      <c r="X427">
        <f>IF(ISNUMBER(SEARCH('1Př1'!$A$34,N427)),MAX($M$2:M426)+1,0)</f>
        <v>425</v>
      </c>
      <c r="Y427" s="290" t="s">
        <v>1802</v>
      </c>
      <c r="Z427" t="str">
        <f>IFERROR(VLOOKUP(ROWS($Z$3:Z427),$X$3:$Y$718,2,0),"")</f>
        <v>Výroba ostatních textilií j. n.</v>
      </c>
    </row>
    <row r="428" spans="13:26" ht="25.5">
      <c r="M428" s="289">
        <f>IF(ISNUMBER(SEARCH(ZAKL_DATA!$B$29,N428)),MAX($M$2:M427)+1,0)</f>
        <v>426</v>
      </c>
      <c r="N428" s="482" t="s">
        <v>3229</v>
      </c>
      <c r="O428" s="482" t="s">
        <v>3230</v>
      </c>
      <c r="Q428" s="291" t="str">
        <f>IFERROR(VLOOKUP(ROWS($Q$3:Q428),$M$3:$N$718,2,0),"")</f>
        <v>Velkoobchod s motocykly a jejich díly a příslušenstvím</v>
      </c>
      <c r="R428">
        <f>IF(ISNUMBER(SEARCH('1Př1'!$A$32,N428)),MAX($M$2:M427)+1,0)</f>
        <v>426</v>
      </c>
      <c r="S428" s="290" t="s">
        <v>1803</v>
      </c>
      <c r="T428" t="str">
        <f>IFERROR(VLOOKUP(ROWS($T$3:T428),$R$3:$S$718,2,0),"")</f>
        <v>Výroba kožených oděvů</v>
      </c>
      <c r="U428">
        <f>IF(ISNUMBER(SEARCH('1Př1'!$A$33,N428)),MAX($M$2:M427)+1,0)</f>
        <v>426</v>
      </c>
      <c r="V428" s="290" t="s">
        <v>1803</v>
      </c>
      <c r="W428" t="str">
        <f>IFERROR(VLOOKUP(ROWS($W$3:W428),$U$3:$V$718,2,0),"")</f>
        <v>Výroba kožených oděvů</v>
      </c>
      <c r="X428">
        <f>IF(ISNUMBER(SEARCH('1Př1'!$A$34,N428)),MAX($M$2:M427)+1,0)</f>
        <v>426</v>
      </c>
      <c r="Y428" s="290" t="s">
        <v>1803</v>
      </c>
      <c r="Z428" t="str">
        <f>IFERROR(VLOOKUP(ROWS($Z$3:Z428),$X$3:$Y$718,2,0),"")</f>
        <v>Výroba kožených oděvů</v>
      </c>
    </row>
    <row r="429" spans="13:26" ht="12.75">
      <c r="M429" s="289">
        <f>IF(ISNUMBER(SEARCH(ZAKL_DATA!$B$29,N429)),MAX($M$2:M428)+1,0)</f>
        <v>427</v>
      </c>
      <c r="N429" s="482" t="s">
        <v>3231</v>
      </c>
      <c r="O429" s="482" t="s">
        <v>3232</v>
      </c>
      <c r="Q429" s="291" t="str">
        <f>IFERROR(VLOOKUP(ROWS($Q$3:Q429),$M$3:$N$718,2,0),"")</f>
        <v>Velkoobchod s motorovými vozidly</v>
      </c>
      <c r="R429">
        <f>IF(ISNUMBER(SEARCH('1Př1'!$A$32,N429)),MAX($M$2:M428)+1,0)</f>
        <v>427</v>
      </c>
      <c r="S429" s="290" t="s">
        <v>1804</v>
      </c>
      <c r="T429" t="str">
        <f>IFERROR(VLOOKUP(ROWS($T$3:T429),$R$3:$S$718,2,0),"")</f>
        <v>Výroba pracovních oděvů</v>
      </c>
      <c r="U429">
        <f>IF(ISNUMBER(SEARCH('1Př1'!$A$33,N429)),MAX($M$2:M428)+1,0)</f>
        <v>427</v>
      </c>
      <c r="V429" s="290" t="s">
        <v>1804</v>
      </c>
      <c r="W429" t="str">
        <f>IFERROR(VLOOKUP(ROWS($W$3:W429),$U$3:$V$718,2,0),"")</f>
        <v>Výroba pracovních oděvů</v>
      </c>
      <c r="X429">
        <f>IF(ISNUMBER(SEARCH('1Př1'!$A$34,N429)),MAX($M$2:M428)+1,0)</f>
        <v>427</v>
      </c>
      <c r="Y429" s="290" t="s">
        <v>1804</v>
      </c>
      <c r="Z429" t="str">
        <f>IFERROR(VLOOKUP(ROWS($Z$3:Z429),$X$3:$Y$718,2,0),"")</f>
        <v>Výroba pracovních oděvů</v>
      </c>
    </row>
    <row r="430" spans="13:26" ht="25.5">
      <c r="M430" s="289">
        <f>IF(ISNUMBER(SEARCH(ZAKL_DATA!$B$29,N430)),MAX($M$2:M429)+1,0)</f>
        <v>428</v>
      </c>
      <c r="N430" s="482" t="s">
        <v>3233</v>
      </c>
      <c r="O430" s="482" t="s">
        <v>3234</v>
      </c>
      <c r="Q430" s="291" t="str">
        <f>IFERROR(VLOOKUP(ROWS($Q$3:Q430),$M$3:$N$718,2,0),"")</f>
        <v>Velkoobchod s nábytkem, koberci a osvětlovacími zařízeními pro domácnosti, kanceláře a obchody</v>
      </c>
      <c r="R430">
        <f>IF(ISNUMBER(SEARCH('1Př1'!$A$32,N430)),MAX($M$2:M429)+1,0)</f>
        <v>428</v>
      </c>
      <c r="S430" s="290" t="s">
        <v>1805</v>
      </c>
      <c r="T430" t="str">
        <f>IFERROR(VLOOKUP(ROWS($T$3:T430),$R$3:$S$718,2,0),"")</f>
        <v>Výroba ostatních svrchních oděvů</v>
      </c>
      <c r="U430">
        <f>IF(ISNUMBER(SEARCH('1Př1'!$A$33,N430)),MAX($M$2:M429)+1,0)</f>
        <v>428</v>
      </c>
      <c r="V430" s="290" t="s">
        <v>1805</v>
      </c>
      <c r="W430" t="str">
        <f>IFERROR(VLOOKUP(ROWS($W$3:W430),$U$3:$V$718,2,0),"")</f>
        <v>Výroba ostatních svrchních oděvů</v>
      </c>
      <c r="X430">
        <f>IF(ISNUMBER(SEARCH('1Př1'!$A$34,N430)),MAX($M$2:M429)+1,0)</f>
        <v>428</v>
      </c>
      <c r="Y430" s="290" t="s">
        <v>1805</v>
      </c>
      <c r="Z430" t="str">
        <f>IFERROR(VLOOKUP(ROWS($Z$3:Z430),$X$3:$Y$718,2,0),"")</f>
        <v>Výroba ostatních svrchních oděvů</v>
      </c>
    </row>
    <row r="431" spans="13:26" ht="12.75">
      <c r="M431" s="289">
        <f>IF(ISNUMBER(SEARCH(ZAKL_DATA!$B$29,N431)),MAX($M$2:M430)+1,0)</f>
        <v>429</v>
      </c>
      <c r="N431" s="482" t="s">
        <v>2010</v>
      </c>
      <c r="O431" s="482" t="s">
        <v>3235</v>
      </c>
      <c r="Q431" s="291" t="str">
        <f>IFERROR(VLOOKUP(ROWS($Q$3:Q431),$M$3:$N$718,2,0),"")</f>
        <v>Velkoobchod s nápoji</v>
      </c>
      <c r="R431">
        <f>IF(ISNUMBER(SEARCH('1Př1'!$A$32,N431)),MAX($M$2:M430)+1,0)</f>
        <v>429</v>
      </c>
      <c r="S431" s="290" t="s">
        <v>1806</v>
      </c>
      <c r="T431" t="str">
        <f>IFERROR(VLOOKUP(ROWS($T$3:T431),$R$3:$S$718,2,0),"")</f>
        <v>Výroba osobního prádla</v>
      </c>
      <c r="U431">
        <f>IF(ISNUMBER(SEARCH('1Př1'!$A$33,N431)),MAX($M$2:M430)+1,0)</f>
        <v>429</v>
      </c>
      <c r="V431" s="290" t="s">
        <v>1806</v>
      </c>
      <c r="W431" t="str">
        <f>IFERROR(VLOOKUP(ROWS($W$3:W431),$U$3:$V$718,2,0),"")</f>
        <v>Výroba osobního prádla</v>
      </c>
      <c r="X431">
        <f>IF(ISNUMBER(SEARCH('1Př1'!$A$34,N431)),MAX($M$2:M430)+1,0)</f>
        <v>429</v>
      </c>
      <c r="Y431" s="290" t="s">
        <v>1806</v>
      </c>
      <c r="Z431" t="str">
        <f>IFERROR(VLOOKUP(ROWS($Z$3:Z431),$X$3:$Y$718,2,0),"")</f>
        <v>Výroba osobního prádla</v>
      </c>
    </row>
    <row r="432" spans="13:26" ht="25.5">
      <c r="M432" s="289">
        <f>IF(ISNUMBER(SEARCH(ZAKL_DATA!$B$29,N432)),MAX($M$2:M431)+1,0)</f>
        <v>430</v>
      </c>
      <c r="N432" s="482" t="s">
        <v>2003</v>
      </c>
      <c r="O432" s="482" t="s">
        <v>3236</v>
      </c>
      <c r="Q432" s="291" t="str">
        <f>IFERROR(VLOOKUP(ROWS($Q$3:Q432),$M$3:$N$718,2,0),"")</f>
        <v>Velkoobchod s obilím, surovým tabákem, osivy a krmivy</v>
      </c>
      <c r="R432">
        <f>IF(ISNUMBER(SEARCH('1Př1'!$A$32,N432)),MAX($M$2:M431)+1,0)</f>
        <v>430</v>
      </c>
      <c r="S432" s="290" t="s">
        <v>1807</v>
      </c>
      <c r="T432" t="str">
        <f>IFERROR(VLOOKUP(ROWS($T$3:T432),$R$3:$S$718,2,0),"")</f>
        <v>Výroba ostatních oděvů a oděvních doplňků</v>
      </c>
      <c r="U432">
        <f>IF(ISNUMBER(SEARCH('1Př1'!$A$33,N432)),MAX($M$2:M431)+1,0)</f>
        <v>430</v>
      </c>
      <c r="V432" s="290" t="s">
        <v>1807</v>
      </c>
      <c r="W432" t="str">
        <f>IFERROR(VLOOKUP(ROWS($W$3:W432),$U$3:$V$718,2,0),"")</f>
        <v>Výroba ostatních oděvů a oděvních doplňků</v>
      </c>
      <c r="X432">
        <f>IF(ISNUMBER(SEARCH('1Př1'!$A$34,N432)),MAX($M$2:M431)+1,0)</f>
        <v>430</v>
      </c>
      <c r="Y432" s="290" t="s">
        <v>1807</v>
      </c>
      <c r="Z432" t="str">
        <f>IFERROR(VLOOKUP(ROWS($Z$3:Z432),$X$3:$Y$718,2,0),"")</f>
        <v>Výroba ostatních oděvů a oděvních doplňků</v>
      </c>
    </row>
    <row r="433" spans="13:26" ht="12.75">
      <c r="M433" s="289">
        <f>IF(ISNUMBER(SEARCH(ZAKL_DATA!$B$29,N433)),MAX($M$2:M432)+1,0)</f>
        <v>431</v>
      </c>
      <c r="N433" s="482" t="s">
        <v>2028</v>
      </c>
      <c r="O433" s="482" t="s">
        <v>3237</v>
      </c>
      <c r="Q433" s="291" t="str">
        <f>IFERROR(VLOOKUP(ROWS($Q$3:Q433),$M$3:$N$718,2,0),"")</f>
        <v>Velkoobchod s obráběcími stroji</v>
      </c>
      <c r="R433">
        <f>IF(ISNUMBER(SEARCH('1Př1'!$A$32,N433)),MAX($M$2:M432)+1,0)</f>
        <v>431</v>
      </c>
      <c r="S433" s="290" t="s">
        <v>1808</v>
      </c>
      <c r="T433" t="str">
        <f>IFERROR(VLOOKUP(ROWS($T$3:T433),$R$3:$S$718,2,0),"")</f>
        <v>Výroba pletených a háčkovaných punčochových výrobků</v>
      </c>
      <c r="U433">
        <f>IF(ISNUMBER(SEARCH('1Př1'!$A$33,N433)),MAX($M$2:M432)+1,0)</f>
        <v>431</v>
      </c>
      <c r="V433" s="290" t="s">
        <v>1808</v>
      </c>
      <c r="W433" t="str">
        <f>IFERROR(VLOOKUP(ROWS($W$3:W433),$U$3:$V$718,2,0),"")</f>
        <v>Výroba pletených a háčkovaných punčochových výrobků</v>
      </c>
      <c r="X433">
        <f>IF(ISNUMBER(SEARCH('1Př1'!$A$34,N433)),MAX($M$2:M432)+1,0)</f>
        <v>431</v>
      </c>
      <c r="Y433" s="290" t="s">
        <v>1808</v>
      </c>
      <c r="Z433" t="str">
        <f>IFERROR(VLOOKUP(ROWS($Z$3:Z433),$X$3:$Y$718,2,0),"")</f>
        <v>Výroba pletených a háčkovaných punčochových výrobků</v>
      </c>
    </row>
    <row r="434" spans="13:26" ht="12.75">
      <c r="M434" s="289">
        <f>IF(ISNUMBER(SEARCH(ZAKL_DATA!$B$29,N434)),MAX($M$2:M433)+1,0)</f>
        <v>432</v>
      </c>
      <c r="N434" s="482" t="s">
        <v>2017</v>
      </c>
      <c r="O434" s="482" t="s">
        <v>3238</v>
      </c>
      <c r="Q434" s="291" t="str">
        <f>IFERROR(VLOOKUP(ROWS($Q$3:Q434),$M$3:$N$718,2,0),"")</f>
        <v>Velkoobchod s oděvy a obuví</v>
      </c>
      <c r="R434">
        <f>IF(ISNUMBER(SEARCH('1Př1'!$A$32,N434)),MAX($M$2:M433)+1,0)</f>
        <v>432</v>
      </c>
      <c r="S434" s="290" t="s">
        <v>1809</v>
      </c>
      <c r="T434" t="str">
        <f>IFERROR(VLOOKUP(ROWS($T$3:T434),$R$3:$S$718,2,0),"")</f>
        <v>Výroba ostatních pletených a háčkovaných oděvů</v>
      </c>
      <c r="U434">
        <f>IF(ISNUMBER(SEARCH('1Př1'!$A$33,N434)),MAX($M$2:M433)+1,0)</f>
        <v>432</v>
      </c>
      <c r="V434" s="290" t="s">
        <v>1809</v>
      </c>
      <c r="W434" t="str">
        <f>IFERROR(VLOOKUP(ROWS($W$3:W434),$U$3:$V$718,2,0),"")</f>
        <v>Výroba ostatních pletených a háčkovaných oděvů</v>
      </c>
      <c r="X434">
        <f>IF(ISNUMBER(SEARCH('1Př1'!$A$34,N434)),MAX($M$2:M433)+1,0)</f>
        <v>432</v>
      </c>
      <c r="Y434" s="290" t="s">
        <v>1809</v>
      </c>
      <c r="Z434" t="str">
        <f>IFERROR(VLOOKUP(ROWS($Z$3:Z434),$X$3:$Y$718,2,0),"")</f>
        <v>Výroba ostatních pletených a háčkovaných oděvů</v>
      </c>
    </row>
    <row r="435" spans="13:26" ht="12.75">
      <c r="M435" s="289">
        <f>IF(ISNUMBER(SEARCH(ZAKL_DATA!$B$29,N435)),MAX($M$2:M434)+1,0)</f>
        <v>433</v>
      </c>
      <c r="N435" s="482" t="s">
        <v>2040</v>
      </c>
      <c r="O435" s="482" t="s">
        <v>3239</v>
      </c>
      <c r="Q435" s="291" t="str">
        <f>IFERROR(VLOOKUP(ROWS($Q$3:Q435),$M$3:$N$718,2,0),"")</f>
        <v>Velkoobchod s odpadem a šrotem</v>
      </c>
      <c r="R435">
        <f>IF(ISNUMBER(SEARCH('1Př1'!$A$32,N435)),MAX($M$2:M434)+1,0)</f>
        <v>433</v>
      </c>
      <c r="S435" s="290" t="s">
        <v>1810</v>
      </c>
      <c r="T435" t="str">
        <f>IFERROR(VLOOKUP(ROWS($T$3:T435),$R$3:$S$718,2,0),"")</f>
        <v>Chov drobných hospodářských zvířat</v>
      </c>
      <c r="U435">
        <f>IF(ISNUMBER(SEARCH('1Př1'!$A$33,N435)),MAX($M$2:M434)+1,0)</f>
        <v>433</v>
      </c>
      <c r="V435" s="290" t="s">
        <v>1810</v>
      </c>
      <c r="W435" t="str">
        <f>IFERROR(VLOOKUP(ROWS($W$3:W435),$U$3:$V$718,2,0),"")</f>
        <v>Chov drobných hospodářských zvířat</v>
      </c>
      <c r="X435">
        <f>IF(ISNUMBER(SEARCH('1Př1'!$A$34,N435)),MAX($M$2:M434)+1,0)</f>
        <v>433</v>
      </c>
      <c r="Y435" s="290" t="s">
        <v>1810</v>
      </c>
      <c r="Z435" t="str">
        <f>IFERROR(VLOOKUP(ROWS($Z$3:Z435),$X$3:$Y$718,2,0),"")</f>
        <v>Chov drobných hospodářských zvířat</v>
      </c>
    </row>
    <row r="436" spans="13:26" ht="12.75">
      <c r="M436" s="289">
        <f>IF(ISNUMBER(SEARCH(ZAKL_DATA!$B$29,N436)),MAX($M$2:M435)+1,0)</f>
        <v>434</v>
      </c>
      <c r="N436" s="482" t="s">
        <v>2039</v>
      </c>
      <c r="O436" s="482" t="s">
        <v>3240</v>
      </c>
      <c r="Q436" s="291" t="str">
        <f>IFERROR(VLOOKUP(ROWS($Q$3:Q436),$M$3:$N$718,2,0),"")</f>
        <v>Velkoobchod s ostatními meziprodukty</v>
      </c>
      <c r="R436">
        <f>IF(ISNUMBER(SEARCH('1Př1'!$A$32,N436)),MAX($M$2:M435)+1,0)</f>
        <v>434</v>
      </c>
      <c r="S436" s="290" t="s">
        <v>1811</v>
      </c>
      <c r="T436" t="str">
        <f>IFERROR(VLOOKUP(ROWS($T$3:T436),$R$3:$S$718,2,0),"")</f>
        <v>Chov kožešinových zvířat</v>
      </c>
      <c r="U436">
        <f>IF(ISNUMBER(SEARCH('1Př1'!$A$33,N436)),MAX($M$2:M435)+1,0)</f>
        <v>434</v>
      </c>
      <c r="V436" s="290" t="s">
        <v>1811</v>
      </c>
      <c r="W436" t="str">
        <f>IFERROR(VLOOKUP(ROWS($W$3:W436),$U$3:$V$718,2,0),"")</f>
        <v>Chov kožešinových zvířat</v>
      </c>
      <c r="X436">
        <f>IF(ISNUMBER(SEARCH('1Př1'!$A$34,N436)),MAX($M$2:M435)+1,0)</f>
        <v>434</v>
      </c>
      <c r="Y436" s="290" t="s">
        <v>1811</v>
      </c>
      <c r="Z436" t="str">
        <f>IFERROR(VLOOKUP(ROWS($Z$3:Z436),$X$3:$Y$718,2,0),"")</f>
        <v>Chov kožešinových zvířat</v>
      </c>
    </row>
    <row r="437" spans="13:26" ht="12.75">
      <c r="M437" s="289">
        <f>IF(ISNUMBER(SEARCH(ZAKL_DATA!$B$29,N437)),MAX($M$2:M436)+1,0)</f>
        <v>435</v>
      </c>
      <c r="N437" s="482" t="s">
        <v>2033</v>
      </c>
      <c r="O437" s="482" t="s">
        <v>3241</v>
      </c>
      <c r="Q437" s="291" t="str">
        <f>IFERROR(VLOOKUP(ROWS($Q$3:Q437),$M$3:$N$718,2,0),"")</f>
        <v>Velkoobchod s ostatními stroji a zařízením</v>
      </c>
      <c r="R437">
        <f>IF(ISNUMBER(SEARCH('1Př1'!$A$32,N437)),MAX($M$2:M436)+1,0)</f>
        <v>435</v>
      </c>
      <c r="S437" s="290" t="s">
        <v>1812</v>
      </c>
      <c r="T437" t="str">
        <f>IFERROR(VLOOKUP(ROWS($T$3:T437),$R$3:$S$718,2,0),"")</f>
        <v>Chov zvířat pro zájmový chov</v>
      </c>
      <c r="U437">
        <f>IF(ISNUMBER(SEARCH('1Př1'!$A$33,N437)),MAX($M$2:M436)+1,0)</f>
        <v>435</v>
      </c>
      <c r="V437" s="290" t="s">
        <v>1812</v>
      </c>
      <c r="W437" t="str">
        <f>IFERROR(VLOOKUP(ROWS($W$3:W437),$U$3:$V$718,2,0),"")</f>
        <v>Chov zvířat pro zájmový chov</v>
      </c>
      <c r="X437">
        <f>IF(ISNUMBER(SEARCH('1Př1'!$A$34,N437)),MAX($M$2:M436)+1,0)</f>
        <v>435</v>
      </c>
      <c r="Y437" s="290" t="s">
        <v>1812</v>
      </c>
      <c r="Z437" t="str">
        <f>IFERROR(VLOOKUP(ROWS($Z$3:Z437),$X$3:$Y$718,2,0),"")</f>
        <v>Chov zvířat pro zájmový chov</v>
      </c>
    </row>
    <row r="438" spans="13:26" ht="25.5">
      <c r="M438" s="289">
        <f>IF(ISNUMBER(SEARCH(ZAKL_DATA!$B$29,N438)),MAX($M$2:M437)+1,0)</f>
        <v>436</v>
      </c>
      <c r="N438" s="482" t="s">
        <v>2024</v>
      </c>
      <c r="O438" s="482" t="s">
        <v>3242</v>
      </c>
      <c r="Q438" s="291" t="str">
        <f>IFERROR(VLOOKUP(ROWS($Q$3:Q438),$M$3:$N$718,2,0),"")</f>
        <v>Velkoobchod s ostatními výrobky převážně pro domácnost</v>
      </c>
      <c r="R438">
        <f>IF(ISNUMBER(SEARCH('1Př1'!$A$32,N438)),MAX($M$2:M437)+1,0)</f>
        <v>436</v>
      </c>
      <c r="S438" s="290" t="s">
        <v>1813</v>
      </c>
      <c r="T438" t="str">
        <f>IFERROR(VLOOKUP(ROWS($T$3:T438),$R$3:$S$718,2,0),"")</f>
        <v>Chov ostatních zvířat j. n.</v>
      </c>
      <c r="U438">
        <f>IF(ISNUMBER(SEARCH('1Př1'!$A$33,N438)),MAX($M$2:M437)+1,0)</f>
        <v>436</v>
      </c>
      <c r="V438" s="290" t="s">
        <v>1813</v>
      </c>
      <c r="W438" t="str">
        <f>IFERROR(VLOOKUP(ROWS($W$3:W438),$U$3:$V$718,2,0),"")</f>
        <v>Chov ostatních zvířat j. n.</v>
      </c>
      <c r="X438">
        <f>IF(ISNUMBER(SEARCH('1Př1'!$A$34,N438)),MAX($M$2:M437)+1,0)</f>
        <v>436</v>
      </c>
      <c r="Y438" s="290" t="s">
        <v>1813</v>
      </c>
      <c r="Z438" t="str">
        <f>IFERROR(VLOOKUP(ROWS($Z$3:Z438),$X$3:$Y$718,2,0),"")</f>
        <v>Chov ostatních zvířat j. n.</v>
      </c>
    </row>
    <row r="439" spans="13:26" ht="12.75">
      <c r="M439" s="289">
        <f>IF(ISNUMBER(SEARCH(ZAKL_DATA!$B$29,N439)),MAX($M$2:M438)+1,0)</f>
        <v>437</v>
      </c>
      <c r="N439" s="482" t="s">
        <v>2007</v>
      </c>
      <c r="O439" s="482" t="s">
        <v>3243</v>
      </c>
      <c r="Q439" s="291" t="str">
        <f>IFERROR(VLOOKUP(ROWS($Q$3:Q439),$M$3:$N$718,2,0),"")</f>
        <v>Velkoobchod s ovocem a zeleninou</v>
      </c>
      <c r="R439">
        <f>IF(ISNUMBER(SEARCH('1Př1'!$A$32,N439)),MAX($M$2:M438)+1,0)</f>
        <v>437</v>
      </c>
      <c r="S439" s="290" t="s">
        <v>1814</v>
      </c>
      <c r="T439" t="str">
        <f>IFERROR(VLOOKUP(ROWS($T$3:T439),$R$3:$S$718,2,0),"")</f>
        <v>Činění a úprava usní (vyčiněných kůží); zpracování a barvení kožešin</v>
      </c>
      <c r="U439">
        <f>IF(ISNUMBER(SEARCH('1Př1'!$A$33,N439)),MAX($M$2:M438)+1,0)</f>
        <v>437</v>
      </c>
      <c r="V439" s="290" t="s">
        <v>1814</v>
      </c>
      <c r="W439" t="str">
        <f>IFERROR(VLOOKUP(ROWS($W$3:W439),$U$3:$V$718,2,0),"")</f>
        <v>Činění a úprava usní (vyčiněných kůží); zpracování a barvení kožešin</v>
      </c>
      <c r="X439">
        <f>IF(ISNUMBER(SEARCH('1Př1'!$A$34,N439)),MAX($M$2:M438)+1,0)</f>
        <v>437</v>
      </c>
      <c r="Y439" s="290" t="s">
        <v>1814</v>
      </c>
      <c r="Z439" t="str">
        <f>IFERROR(VLOOKUP(ROWS($Z$3:Z439),$X$3:$Y$718,2,0),"")</f>
        <v>Činění a úprava usní (vyčiněných kůží); zpracování a barvení kožešin</v>
      </c>
    </row>
    <row r="440" spans="13:26" ht="12.75">
      <c r="M440" s="289">
        <f>IF(ISNUMBER(SEARCH(ZAKL_DATA!$B$29,N440)),MAX($M$2:M439)+1,0)</f>
        <v>438</v>
      </c>
      <c r="N440" s="482" t="s">
        <v>3244</v>
      </c>
      <c r="O440" s="482" t="s">
        <v>3245</v>
      </c>
      <c r="Q440" s="291" t="str">
        <f>IFERROR(VLOOKUP(ROWS($Q$3:Q440),$M$3:$N$718,2,0),"")</f>
        <v>Velkoobchod s parfémy a kosmetickými přípravky</v>
      </c>
      <c r="R440">
        <f>IF(ISNUMBER(SEARCH('1Př1'!$A$32,N440)),MAX($M$2:M439)+1,0)</f>
        <v>438</v>
      </c>
      <c r="S440" s="290" t="s">
        <v>1815</v>
      </c>
      <c r="T440" t="str">
        <f>IFERROR(VLOOKUP(ROWS($T$3:T440),$R$3:$S$718,2,0),"")</f>
        <v>Výroba brašnářských, sedlářských a podobných výrobků</v>
      </c>
      <c r="U440">
        <f>IF(ISNUMBER(SEARCH('1Př1'!$A$33,N440)),MAX($M$2:M439)+1,0)</f>
        <v>438</v>
      </c>
      <c r="V440" s="290" t="s">
        <v>1815</v>
      </c>
      <c r="W440" t="str">
        <f>IFERROR(VLOOKUP(ROWS($W$3:W440),$U$3:$V$718,2,0),"")</f>
        <v>Výroba brašnářských, sedlářských a podobných výrobků</v>
      </c>
      <c r="X440">
        <f>IF(ISNUMBER(SEARCH('1Př1'!$A$34,N440)),MAX($M$2:M439)+1,0)</f>
        <v>438</v>
      </c>
      <c r="Y440" s="290" t="s">
        <v>1815</v>
      </c>
      <c r="Z440" t="str">
        <f>IFERROR(VLOOKUP(ROWS($Z$3:Z440),$X$3:$Y$718,2,0),"")</f>
        <v>Výroba brašnářských, sedlářských a podobných výrobků</v>
      </c>
    </row>
    <row r="441" spans="13:26" ht="25.5">
      <c r="M441" s="289">
        <f>IF(ISNUMBER(SEARCH(ZAKL_DATA!$B$29,N441)),MAX($M$2:M440)+1,0)</f>
        <v>439</v>
      </c>
      <c r="N441" s="482" t="s">
        <v>2034</v>
      </c>
      <c r="O441" s="482" t="s">
        <v>3246</v>
      </c>
      <c r="Q441" s="291" t="str">
        <f>IFERROR(VLOOKUP(ROWS($Q$3:Q441),$M$3:$N$718,2,0),"")</f>
        <v>Velkoobchod s pevnými, kapalnými a plynnými palivy a příbuznými výrobky</v>
      </c>
      <c r="R441">
        <f>IF(ISNUMBER(SEARCH('1Př1'!$A$32,N441)),MAX($M$2:M440)+1,0)</f>
        <v>439</v>
      </c>
      <c r="S441" s="290" t="s">
        <v>1816</v>
      </c>
      <c r="T441" t="str">
        <f>IFERROR(VLOOKUP(ROWS($T$3:T441),$R$3:$S$718,2,0),"")</f>
        <v>Výroba dýh a desek na bázi dřeva</v>
      </c>
      <c r="U441">
        <f>IF(ISNUMBER(SEARCH('1Př1'!$A$33,N441)),MAX($M$2:M440)+1,0)</f>
        <v>439</v>
      </c>
      <c r="V441" s="290" t="s">
        <v>1816</v>
      </c>
      <c r="W441" t="str">
        <f>IFERROR(VLOOKUP(ROWS($W$3:W441),$U$3:$V$718,2,0),"")</f>
        <v>Výroba dýh a desek na bázi dřeva</v>
      </c>
      <c r="X441">
        <f>IF(ISNUMBER(SEARCH('1Př1'!$A$34,N441)),MAX($M$2:M440)+1,0)</f>
        <v>439</v>
      </c>
      <c r="Y441" s="290" t="s">
        <v>1816</v>
      </c>
      <c r="Z441" t="str">
        <f>IFERROR(VLOOKUP(ROWS($Z$3:Z441),$X$3:$Y$718,2,0),"")</f>
        <v>Výroba dýh a desek na bázi dřeva</v>
      </c>
    </row>
    <row r="442" spans="13:26" ht="25.5">
      <c r="M442" s="289">
        <f>IF(ISNUMBER(SEARCH(ZAKL_DATA!$B$29,N442)),MAX($M$2:M441)+1,0)</f>
        <v>440</v>
      </c>
      <c r="N442" s="482" t="s">
        <v>3247</v>
      </c>
      <c r="O442" s="482" t="s">
        <v>3248</v>
      </c>
      <c r="Q442" s="291" t="str">
        <f>IFERROR(VLOOKUP(ROWS($Q$3:Q442),$M$3:$N$718,2,0),"")</f>
        <v>Velkoobchod s počítačovými a komunikačními zařízeními</v>
      </c>
      <c r="R442">
        <f>IF(ISNUMBER(SEARCH('1Př1'!$A$32,N442)),MAX($M$2:M441)+1,0)</f>
        <v>440</v>
      </c>
      <c r="S442" s="290" t="s">
        <v>1817</v>
      </c>
      <c r="T442" t="str">
        <f>IFERROR(VLOOKUP(ROWS($T$3:T442),$R$3:$S$718,2,0),"")</f>
        <v>Výroba sestavených parketových podlah</v>
      </c>
      <c r="U442">
        <f>IF(ISNUMBER(SEARCH('1Př1'!$A$33,N442)),MAX($M$2:M441)+1,0)</f>
        <v>440</v>
      </c>
      <c r="V442" s="290" t="s">
        <v>1817</v>
      </c>
      <c r="W442" t="str">
        <f>IFERROR(VLOOKUP(ROWS($W$3:W442),$U$3:$V$718,2,0),"")</f>
        <v>Výroba sestavených parketových podlah</v>
      </c>
      <c r="X442">
        <f>IF(ISNUMBER(SEARCH('1Př1'!$A$34,N442)),MAX($M$2:M441)+1,0)</f>
        <v>440</v>
      </c>
      <c r="Y442" s="290" t="s">
        <v>1817</v>
      </c>
      <c r="Z442" t="str">
        <f>IFERROR(VLOOKUP(ROWS($Z$3:Z442),$X$3:$Y$718,2,0),"")</f>
        <v>Výroba sestavených parketových podlah</v>
      </c>
    </row>
    <row r="443" spans="13:26" ht="25.5">
      <c r="M443" s="289">
        <f>IF(ISNUMBER(SEARCH(ZAKL_DATA!$B$29,N443)),MAX($M$2:M442)+1,0)</f>
        <v>441</v>
      </c>
      <c r="N443" s="482" t="s">
        <v>3249</v>
      </c>
      <c r="O443" s="482" t="s">
        <v>3250</v>
      </c>
      <c r="Q443" s="291" t="str">
        <f>IFERROR(VLOOKUP(ROWS($Q$3:Q443),$M$3:$N$718,2,0),"")</f>
        <v>Velkoobchod s porcelánovými, keramickými a skleněnými výrobky a čisticími prostředky</v>
      </c>
      <c r="R443">
        <f>IF(ISNUMBER(SEARCH('1Př1'!$A$32,N443)),MAX($M$2:M442)+1,0)</f>
        <v>441</v>
      </c>
      <c r="S443" s="290" t="s">
        <v>1818</v>
      </c>
      <c r="T443" t="str">
        <f>IFERROR(VLOOKUP(ROWS($T$3:T443),$R$3:$S$718,2,0),"")</f>
        <v>Výroba ostatních výrobků stavebního truhlářství a tesařství</v>
      </c>
      <c r="U443">
        <f>IF(ISNUMBER(SEARCH('1Př1'!$A$33,N443)),MAX($M$2:M442)+1,0)</f>
        <v>441</v>
      </c>
      <c r="V443" s="290" t="s">
        <v>1818</v>
      </c>
      <c r="W443" t="str">
        <f>IFERROR(VLOOKUP(ROWS($W$3:W443),$U$3:$V$718,2,0),"")</f>
        <v>Výroba ostatních výrobků stavebního truhlářství a tesařství</v>
      </c>
      <c r="X443">
        <f>IF(ISNUMBER(SEARCH('1Př1'!$A$34,N443)),MAX($M$2:M442)+1,0)</f>
        <v>441</v>
      </c>
      <c r="Y443" s="290" t="s">
        <v>1818</v>
      </c>
      <c r="Z443" t="str">
        <f>IFERROR(VLOOKUP(ROWS($Z$3:Z443),$X$3:$Y$718,2,0),"")</f>
        <v>Výroba ostatních výrobků stavebního truhlářství a tesařství</v>
      </c>
    </row>
    <row r="444" spans="13:26" ht="12.75">
      <c r="M444" s="289">
        <f>IF(ISNUMBER(SEARCH(ZAKL_DATA!$B$29,N444)),MAX($M$2:M443)+1,0)</f>
        <v>442</v>
      </c>
      <c r="N444" s="482" t="s">
        <v>2035</v>
      </c>
      <c r="O444" s="482" t="s">
        <v>3251</v>
      </c>
      <c r="Q444" s="291" t="str">
        <f>IFERROR(VLOOKUP(ROWS($Q$3:Q444),$M$3:$N$718,2,0),"")</f>
        <v>Velkoobchod s rudami, kovy a hutními výrobky</v>
      </c>
      <c r="R444">
        <f>IF(ISNUMBER(SEARCH('1Př1'!$A$32,N444)),MAX($M$2:M443)+1,0)</f>
        <v>442</v>
      </c>
      <c r="S444" s="290" t="s">
        <v>1819</v>
      </c>
      <c r="T444" t="str">
        <f>IFERROR(VLOOKUP(ROWS($T$3:T444),$R$3:$S$718,2,0),"")</f>
        <v>Výroba dřevěných obalů</v>
      </c>
      <c r="U444">
        <f>IF(ISNUMBER(SEARCH('1Př1'!$A$33,N444)),MAX($M$2:M443)+1,0)</f>
        <v>442</v>
      </c>
      <c r="V444" s="290" t="s">
        <v>1819</v>
      </c>
      <c r="W444" t="str">
        <f>IFERROR(VLOOKUP(ROWS($W$3:W444),$U$3:$V$718,2,0),"")</f>
        <v>Výroba dřevěných obalů</v>
      </c>
      <c r="X444">
        <f>IF(ISNUMBER(SEARCH('1Př1'!$A$34,N444)),MAX($M$2:M443)+1,0)</f>
        <v>442</v>
      </c>
      <c r="Y444" s="290" t="s">
        <v>1819</v>
      </c>
      <c r="Z444" t="str">
        <f>IFERROR(VLOOKUP(ROWS($Z$3:Z444),$X$3:$Y$718,2,0),"")</f>
        <v>Výroba dřevěných obalů</v>
      </c>
    </row>
    <row r="445" spans="13:26" ht="12.75">
      <c r="M445" s="289">
        <f>IF(ISNUMBER(SEARCH(ZAKL_DATA!$B$29,N445)),MAX($M$2:M444)+1,0)</f>
        <v>443</v>
      </c>
      <c r="N445" s="482" t="s">
        <v>2011</v>
      </c>
      <c r="O445" s="482" t="s">
        <v>3252</v>
      </c>
      <c r="Q445" s="291" t="str">
        <f>IFERROR(VLOOKUP(ROWS($Q$3:Q445),$M$3:$N$718,2,0),"")</f>
        <v>Velkoobchod s tabákovými výrobky</v>
      </c>
      <c r="R445">
        <f>IF(ISNUMBER(SEARCH('1Př1'!$A$32,N445)),MAX($M$2:M444)+1,0)</f>
        <v>443</v>
      </c>
      <c r="S445" s="290" t="s">
        <v>1820</v>
      </c>
      <c r="T445" t="str">
        <f>IFERROR(VLOOKUP(ROWS($T$3:T445),$R$3:$S$718,2,0),"")</f>
        <v>Výroba ost.dřevěných,korkových,proutěných a slaměných výr.,kromě nábytku</v>
      </c>
      <c r="U445">
        <f>IF(ISNUMBER(SEARCH('1Př1'!$A$33,N445)),MAX($M$2:M444)+1,0)</f>
        <v>443</v>
      </c>
      <c r="V445" s="290" t="s">
        <v>1820</v>
      </c>
      <c r="W445" t="str">
        <f>IFERROR(VLOOKUP(ROWS($W$3:W445),$U$3:$V$718,2,0),"")</f>
        <v>Výroba ost.dřevěných,korkových,proutěných a slaměných výr.,kromě nábytku</v>
      </c>
      <c r="X445">
        <f>IF(ISNUMBER(SEARCH('1Př1'!$A$34,N445)),MAX($M$2:M444)+1,0)</f>
        <v>443</v>
      </c>
      <c r="Y445" s="290" t="s">
        <v>1820</v>
      </c>
      <c r="Z445" t="str">
        <f>IFERROR(VLOOKUP(ROWS($Z$3:Z445),$X$3:$Y$718,2,0),"")</f>
        <v>Výroba ost.dřevěných,korkových,proutěných a slaměných výr.,kromě nábytku</v>
      </c>
    </row>
    <row r="446" spans="13:26" ht="12.75">
      <c r="M446" s="289">
        <f>IF(ISNUMBER(SEARCH(ZAKL_DATA!$B$29,N446)),MAX($M$2:M445)+1,0)</f>
        <v>444</v>
      </c>
      <c r="N446" s="482" t="s">
        <v>2016</v>
      </c>
      <c r="O446" s="482" t="s">
        <v>3253</v>
      </c>
      <c r="Q446" s="291" t="str">
        <f>IFERROR(VLOOKUP(ROWS($Q$3:Q446),$M$3:$N$718,2,0),"")</f>
        <v>Velkoobchod s textilem</v>
      </c>
      <c r="R446">
        <f>IF(ISNUMBER(SEARCH('1Př1'!$A$32,N446)),MAX($M$2:M445)+1,0)</f>
        <v>444</v>
      </c>
      <c r="S446" s="290" t="s">
        <v>1821</v>
      </c>
      <c r="T446" t="str">
        <f>IFERROR(VLOOKUP(ROWS($T$3:T446),$R$3:$S$718,2,0),"")</f>
        <v>Výroba buničiny</v>
      </c>
      <c r="U446">
        <f>IF(ISNUMBER(SEARCH('1Př1'!$A$33,N446)),MAX($M$2:M445)+1,0)</f>
        <v>444</v>
      </c>
      <c r="V446" s="290" t="s">
        <v>1821</v>
      </c>
      <c r="W446" t="str">
        <f>IFERROR(VLOOKUP(ROWS($W$3:W446),$U$3:$V$718,2,0),"")</f>
        <v>Výroba buničiny</v>
      </c>
      <c r="X446">
        <f>IF(ISNUMBER(SEARCH('1Př1'!$A$34,N446)),MAX($M$2:M445)+1,0)</f>
        <v>444</v>
      </c>
      <c r="Y446" s="290" t="s">
        <v>1821</v>
      </c>
      <c r="Z446" t="str">
        <f>IFERROR(VLOOKUP(ROWS($Z$3:Z446),$X$3:$Y$718,2,0),"")</f>
        <v>Výroba buničiny</v>
      </c>
    </row>
    <row r="447" spans="13:26" ht="25.5">
      <c r="M447" s="289">
        <f>IF(ISNUMBER(SEARCH(ZAKL_DATA!$B$29,N447)),MAX($M$2:M446)+1,0)</f>
        <v>445</v>
      </c>
      <c r="N447" s="482" t="s">
        <v>2029</v>
      </c>
      <c r="O447" s="482" t="s">
        <v>3254</v>
      </c>
      <c r="Q447" s="291" t="str">
        <f>IFERROR(VLOOKUP(ROWS($Q$3:Q447),$M$3:$N$718,2,0),"")</f>
        <v>Velkoobchod s těžebními a stavebními stroji a zařízením</v>
      </c>
      <c r="R447">
        <f>IF(ISNUMBER(SEARCH('1Př1'!$A$32,N447)),MAX($M$2:M446)+1,0)</f>
        <v>445</v>
      </c>
      <c r="S447" s="290" t="s">
        <v>1822</v>
      </c>
      <c r="T447" t="str">
        <f>IFERROR(VLOOKUP(ROWS($T$3:T447),$R$3:$S$718,2,0),"")</f>
        <v>Výroba papíru a lepenky</v>
      </c>
      <c r="U447">
        <f>IF(ISNUMBER(SEARCH('1Př1'!$A$33,N447)),MAX($M$2:M446)+1,0)</f>
        <v>445</v>
      </c>
      <c r="V447" s="290" t="s">
        <v>1822</v>
      </c>
      <c r="W447" t="str">
        <f>IFERROR(VLOOKUP(ROWS($W$3:W447),$U$3:$V$718,2,0),"")</f>
        <v>Výroba papíru a lepenky</v>
      </c>
      <c r="X447">
        <f>IF(ISNUMBER(SEARCH('1Př1'!$A$34,N447)),MAX($M$2:M446)+1,0)</f>
        <v>445</v>
      </c>
      <c r="Y447" s="290" t="s">
        <v>1822</v>
      </c>
      <c r="Z447" t="str">
        <f>IFERROR(VLOOKUP(ROWS($Z$3:Z447),$X$3:$Y$718,2,0),"")</f>
        <v>Výroba papíru a lepenky</v>
      </c>
    </row>
    <row r="448" spans="13:26" ht="25.5">
      <c r="M448" s="289">
        <f>IF(ISNUMBER(SEARCH(ZAKL_DATA!$B$29,N448)),MAX($M$2:M447)+1,0)</f>
        <v>446</v>
      </c>
      <c r="N448" s="482" t="s">
        <v>3255</v>
      </c>
      <c r="O448" s="482" t="s">
        <v>3256</v>
      </c>
      <c r="Q448" s="291" t="str">
        <f>IFERROR(VLOOKUP(ROWS($Q$3:Q448),$M$3:$N$718,2,0),"")</f>
        <v>Velkoobchod s železářským zbožím a instalatérskými a topenářskými potřebami</v>
      </c>
      <c r="R448">
        <f>IF(ISNUMBER(SEARCH('1Př1'!$A$32,N448)),MAX($M$2:M447)+1,0)</f>
        <v>446</v>
      </c>
      <c r="S448" s="290" t="s">
        <v>1823</v>
      </c>
      <c r="T448" t="str">
        <f>IFERROR(VLOOKUP(ROWS($T$3:T448),$R$3:$S$718,2,0),"")</f>
        <v>Výroba vlnitého papíru a lepenky, papírových a lepenkových obalů</v>
      </c>
      <c r="U448">
        <f>IF(ISNUMBER(SEARCH('1Př1'!$A$33,N448)),MAX($M$2:M447)+1,0)</f>
        <v>446</v>
      </c>
      <c r="V448" s="290" t="s">
        <v>1823</v>
      </c>
      <c r="W448" t="str">
        <f>IFERROR(VLOOKUP(ROWS($W$3:W448),$U$3:$V$718,2,0),"")</f>
        <v>Výroba vlnitého papíru a lepenky, papírových a lepenkových obalů</v>
      </c>
      <c r="X448">
        <f>IF(ISNUMBER(SEARCH('1Př1'!$A$34,N448)),MAX($M$2:M447)+1,0)</f>
        <v>446</v>
      </c>
      <c r="Y448" s="290" t="s">
        <v>1823</v>
      </c>
      <c r="Z448" t="str">
        <f>IFERROR(VLOOKUP(ROWS($Z$3:Z448),$X$3:$Y$718,2,0),"")</f>
        <v>Výroba vlnitého papíru a lepenky, papírových a lepenkových obalů</v>
      </c>
    </row>
    <row r="449" spans="13:26" ht="12.75">
      <c r="M449" s="289">
        <f>IF(ISNUMBER(SEARCH(ZAKL_DATA!$B$29,N449)),MAX($M$2:M448)+1,0)</f>
        <v>447</v>
      </c>
      <c r="N449" s="482" t="s">
        <v>2005</v>
      </c>
      <c r="O449" s="482" t="s">
        <v>3257</v>
      </c>
      <c r="Q449" s="291" t="str">
        <f>IFERROR(VLOOKUP(ROWS($Q$3:Q449),$M$3:$N$718,2,0),"")</f>
        <v>Velkoobchod s živými zvířaty</v>
      </c>
      <c r="R449">
        <f>IF(ISNUMBER(SEARCH('1Př1'!$A$32,N449)),MAX($M$2:M448)+1,0)</f>
        <v>447</v>
      </c>
      <c r="S449" s="290" t="s">
        <v>1824</v>
      </c>
      <c r="T449" t="str">
        <f>IFERROR(VLOOKUP(ROWS($T$3:T449),$R$3:$S$718,2,0),"")</f>
        <v>Výroba domácích potřeb, hygienických a toaletních výrobků z papíru</v>
      </c>
      <c r="U449">
        <f>IF(ISNUMBER(SEARCH('1Př1'!$A$33,N449)),MAX($M$2:M448)+1,0)</f>
        <v>447</v>
      </c>
      <c r="V449" s="290" t="s">
        <v>1824</v>
      </c>
      <c r="W449" t="str">
        <f>IFERROR(VLOOKUP(ROWS($W$3:W449),$U$3:$V$718,2,0),"")</f>
        <v>Výroba domácích potřeb, hygienických a toaletních výrobků z papíru</v>
      </c>
      <c r="X449">
        <f>IF(ISNUMBER(SEARCH('1Př1'!$A$34,N449)),MAX($M$2:M448)+1,0)</f>
        <v>447</v>
      </c>
      <c r="Y449" s="290" t="s">
        <v>1824</v>
      </c>
      <c r="Z449" t="str">
        <f>IFERROR(VLOOKUP(ROWS($Z$3:Z449),$X$3:$Y$718,2,0),"")</f>
        <v>Výroba domácích potřeb, hygienických a toaletních výrobků z papíru</v>
      </c>
    </row>
    <row r="450" spans="13:26" ht="25.5">
      <c r="M450" s="289">
        <f>IF(ISNUMBER(SEARCH(ZAKL_DATA!$B$29,N450)),MAX($M$2:M449)+1,0)</f>
        <v>448</v>
      </c>
      <c r="N450" s="482" t="s">
        <v>2036</v>
      </c>
      <c r="O450" s="482" t="s">
        <v>3258</v>
      </c>
      <c r="Q450" s="291" t="str">
        <f>IFERROR(VLOOKUP(ROWS($Q$3:Q450),$M$3:$N$718,2,0),"")</f>
        <v>Velkoobchod se dřevem, stavebními materiály a sanitárním vybavením</v>
      </c>
      <c r="R450">
        <f>IF(ISNUMBER(SEARCH('1Př1'!$A$32,N450)),MAX($M$2:M449)+1,0)</f>
        <v>448</v>
      </c>
      <c r="S450" s="290" t="s">
        <v>1825</v>
      </c>
      <c r="T450" t="str">
        <f>IFERROR(VLOOKUP(ROWS($T$3:T450),$R$3:$S$718,2,0),"")</f>
        <v>Výroba kancelářských potřeb z papíru</v>
      </c>
      <c r="U450">
        <f>IF(ISNUMBER(SEARCH('1Př1'!$A$33,N450)),MAX($M$2:M449)+1,0)</f>
        <v>448</v>
      </c>
      <c r="V450" s="290" t="s">
        <v>1825</v>
      </c>
      <c r="W450" t="str">
        <f>IFERROR(VLOOKUP(ROWS($W$3:W450),$U$3:$V$718,2,0),"")</f>
        <v>Výroba kancelářských potřeb z papíru</v>
      </c>
      <c r="X450">
        <f>IF(ISNUMBER(SEARCH('1Př1'!$A$34,N450)),MAX($M$2:M449)+1,0)</f>
        <v>448</v>
      </c>
      <c r="Y450" s="290" t="s">
        <v>1825</v>
      </c>
      <c r="Z450" t="str">
        <f>IFERROR(VLOOKUP(ROWS($Z$3:Z450),$X$3:$Y$718,2,0),"")</f>
        <v>Výroba kancelářských potřeb z papíru</v>
      </c>
    </row>
    <row r="451" spans="13:26" ht="25.5">
      <c r="M451" s="289">
        <f>IF(ISNUMBER(SEARCH(ZAKL_DATA!$B$29,N451)),MAX($M$2:M450)+1,0)</f>
        <v>449</v>
      </c>
      <c r="N451" s="482" t="s">
        <v>2006</v>
      </c>
      <c r="O451" s="482" t="s">
        <v>3259</v>
      </c>
      <c r="Q451" s="291" t="str">
        <f>IFERROR(VLOOKUP(ROWS($Q$3:Q451),$M$3:$N$718,2,0),"")</f>
        <v>Velkoobchod se surovými kůžemi, kožešinami a usněmi</v>
      </c>
      <c r="R451">
        <f>IF(ISNUMBER(SEARCH('1Př1'!$A$32,N451)),MAX($M$2:M450)+1,0)</f>
        <v>449</v>
      </c>
      <c r="S451" s="290" t="s">
        <v>1826</v>
      </c>
      <c r="T451" t="str">
        <f>IFERROR(VLOOKUP(ROWS($T$3:T451),$R$3:$S$718,2,0),"")</f>
        <v>Výroba tapet</v>
      </c>
      <c r="U451">
        <f>IF(ISNUMBER(SEARCH('1Př1'!$A$33,N451)),MAX($M$2:M450)+1,0)</f>
        <v>449</v>
      </c>
      <c r="V451" s="290" t="s">
        <v>1826</v>
      </c>
      <c r="W451" t="str">
        <f>IFERROR(VLOOKUP(ROWS($W$3:W451),$U$3:$V$718,2,0),"")</f>
        <v>Výroba tapet</v>
      </c>
      <c r="X451">
        <f>IF(ISNUMBER(SEARCH('1Př1'!$A$34,N451)),MAX($M$2:M450)+1,0)</f>
        <v>449</v>
      </c>
      <c r="Y451" s="290" t="s">
        <v>1826</v>
      </c>
      <c r="Z451" t="str">
        <f>IFERROR(VLOOKUP(ROWS($Z$3:Z451),$X$3:$Y$718,2,0),"")</f>
        <v>Výroba tapet</v>
      </c>
    </row>
    <row r="452" spans="13:26" ht="25.5">
      <c r="M452" s="289">
        <f>IF(ISNUMBER(SEARCH(ZAKL_DATA!$B$29,N452)),MAX($M$2:M451)+1,0)</f>
        <v>450</v>
      </c>
      <c r="N452" s="482" t="s">
        <v>2027</v>
      </c>
      <c r="O452" s="482" t="s">
        <v>3260</v>
      </c>
      <c r="Q452" s="291" t="str">
        <f>IFERROR(VLOOKUP(ROWS($Q$3:Q452),$M$3:$N$718,2,0),"")</f>
        <v>Velkoobchod se zemědělskými stroji, strojním zařízením a příslušenstvím</v>
      </c>
      <c r="R452">
        <f>IF(ISNUMBER(SEARCH('1Př1'!$A$32,N452)),MAX($M$2:M451)+1,0)</f>
        <v>450</v>
      </c>
      <c r="S452" s="290" t="s">
        <v>1827</v>
      </c>
      <c r="T452" t="str">
        <f>IFERROR(VLOOKUP(ROWS($T$3:T452),$R$3:$S$718,2,0),"")</f>
        <v>Výroba ostatních výrobků z papíru a lepenky</v>
      </c>
      <c r="U452">
        <f>IF(ISNUMBER(SEARCH('1Př1'!$A$33,N452)),MAX($M$2:M451)+1,0)</f>
        <v>450</v>
      </c>
      <c r="V452" s="290" t="s">
        <v>1827</v>
      </c>
      <c r="W452" t="str">
        <f>IFERROR(VLOOKUP(ROWS($W$3:W452),$U$3:$V$718,2,0),"")</f>
        <v>Výroba ostatních výrobků z papíru a lepenky</v>
      </c>
      <c r="X452">
        <f>IF(ISNUMBER(SEARCH('1Př1'!$A$34,N452)),MAX($M$2:M451)+1,0)</f>
        <v>450</v>
      </c>
      <c r="Y452" s="290" t="s">
        <v>1827</v>
      </c>
      <c r="Z452" t="str">
        <f>IFERROR(VLOOKUP(ROWS($Z$3:Z452),$X$3:$Y$718,2,0),"")</f>
        <v>Výroba ostatních výrobků z papíru a lepenky</v>
      </c>
    </row>
    <row r="453" spans="13:26" ht="12.75">
      <c r="M453" s="289">
        <f>IF(ISNUMBER(SEARCH(ZAKL_DATA!$B$29,N453)),MAX($M$2:M452)+1,0)</f>
        <v>451</v>
      </c>
      <c r="N453" s="482" t="s">
        <v>1019</v>
      </c>
      <c r="O453" s="482" t="s">
        <v>3261</v>
      </c>
      <c r="Q453" s="291" t="str">
        <f>IFERROR(VLOOKUP(ROWS($Q$3:Q453),$M$3:$N$718,2,0),"")</f>
        <v>Veterinární činnosti</v>
      </c>
      <c r="R453">
        <f>IF(ISNUMBER(SEARCH('1Př1'!$A$32,N453)),MAX($M$2:M452)+1,0)</f>
        <v>451</v>
      </c>
      <c r="S453" s="290" t="s">
        <v>1828</v>
      </c>
      <c r="T453" t="str">
        <f>IFERROR(VLOOKUP(ROWS($T$3:T453),$R$3:$S$718,2,0),"")</f>
        <v>Tisk novin</v>
      </c>
      <c r="U453">
        <f>IF(ISNUMBER(SEARCH('1Př1'!$A$33,N453)),MAX($M$2:M452)+1,0)</f>
        <v>451</v>
      </c>
      <c r="V453" s="290" t="s">
        <v>1828</v>
      </c>
      <c r="W453" t="str">
        <f>IFERROR(VLOOKUP(ROWS($W$3:W453),$U$3:$V$718,2,0),"")</f>
        <v>Tisk novin</v>
      </c>
      <c r="X453">
        <f>IF(ISNUMBER(SEARCH('1Př1'!$A$34,N453)),MAX($M$2:M452)+1,0)</f>
        <v>451</v>
      </c>
      <c r="Y453" s="290" t="s">
        <v>1828</v>
      </c>
      <c r="Z453" t="str">
        <f>IFERROR(VLOOKUP(ROWS($Z$3:Z453),$X$3:$Y$718,2,0),"")</f>
        <v>Tisk novin</v>
      </c>
    </row>
    <row r="454" spans="13:26" ht="12.75">
      <c r="M454" s="289">
        <f>IF(ISNUMBER(SEARCH(ZAKL_DATA!$B$29,N454)),MAX($M$2:M453)+1,0)</f>
        <v>452</v>
      </c>
      <c r="N454" s="482" t="s">
        <v>1658</v>
      </c>
      <c r="O454" s="482" t="s">
        <v>3262</v>
      </c>
      <c r="Q454" s="291" t="str">
        <f>IFERROR(VLOOKUP(ROWS($Q$3:Q454),$M$3:$N$718,2,0),"")</f>
        <v>Vnitrozemská vodní nákladní doprava</v>
      </c>
      <c r="R454">
        <f>IF(ISNUMBER(SEARCH('1Př1'!$A$32,N454)),MAX($M$2:M453)+1,0)</f>
        <v>452</v>
      </c>
      <c r="S454" s="290" t="s">
        <v>1829</v>
      </c>
      <c r="T454" t="str">
        <f>IFERROR(VLOOKUP(ROWS($T$3:T454),$R$3:$S$718,2,0),"")</f>
        <v>Tisk ostatní, kromě novin</v>
      </c>
      <c r="U454">
        <f>IF(ISNUMBER(SEARCH('1Př1'!$A$33,N454)),MAX($M$2:M453)+1,0)</f>
        <v>452</v>
      </c>
      <c r="V454" s="290" t="s">
        <v>1829</v>
      </c>
      <c r="W454" t="str">
        <f>IFERROR(VLOOKUP(ROWS($W$3:W454),$U$3:$V$718,2,0),"")</f>
        <v>Tisk ostatní, kromě novin</v>
      </c>
      <c r="X454">
        <f>IF(ISNUMBER(SEARCH('1Př1'!$A$34,N454)),MAX($M$2:M453)+1,0)</f>
        <v>452</v>
      </c>
      <c r="Y454" s="290" t="s">
        <v>1829</v>
      </c>
      <c r="Z454" t="str">
        <f>IFERROR(VLOOKUP(ROWS($Z$3:Z454),$X$3:$Y$718,2,0),"")</f>
        <v>Tisk ostatní, kromě novin</v>
      </c>
    </row>
    <row r="455" spans="13:26" ht="12.75">
      <c r="M455" s="289">
        <f>IF(ISNUMBER(SEARCH(ZAKL_DATA!$B$29,N455)),MAX($M$2:M454)+1,0)</f>
        <v>453</v>
      </c>
      <c r="N455" s="482" t="s">
        <v>1657</v>
      </c>
      <c r="O455" s="482" t="s">
        <v>3263</v>
      </c>
      <c r="Q455" s="291" t="str">
        <f>IFERROR(VLOOKUP(ROWS($Q$3:Q455),$M$3:$N$718,2,0),"")</f>
        <v>Vnitrozemská vodní osobní doprava</v>
      </c>
      <c r="R455">
        <f>IF(ISNUMBER(SEARCH('1Př1'!$A$32,N455)),MAX($M$2:M454)+1,0)</f>
        <v>453</v>
      </c>
      <c r="S455" s="290" t="s">
        <v>1830</v>
      </c>
      <c r="T455" t="str">
        <f>IFERROR(VLOOKUP(ROWS($T$3:T455),$R$3:$S$718,2,0),"")</f>
        <v>Příprava tisku a digitálních dat</v>
      </c>
      <c r="U455">
        <f>IF(ISNUMBER(SEARCH('1Př1'!$A$33,N455)),MAX($M$2:M454)+1,0)</f>
        <v>453</v>
      </c>
      <c r="V455" s="290" t="s">
        <v>1830</v>
      </c>
      <c r="W455" t="str">
        <f>IFERROR(VLOOKUP(ROWS($W$3:W455),$U$3:$V$718,2,0),"")</f>
        <v>Příprava tisku a digitálních dat</v>
      </c>
      <c r="X455">
        <f>IF(ISNUMBER(SEARCH('1Př1'!$A$34,N455)),MAX($M$2:M454)+1,0)</f>
        <v>453</v>
      </c>
      <c r="Y455" s="290" t="s">
        <v>1830</v>
      </c>
      <c r="Z455" t="str">
        <f>IFERROR(VLOOKUP(ROWS($Z$3:Z455),$X$3:$Y$718,2,0),"")</f>
        <v>Příprava tisku a digitálních dat</v>
      </c>
    </row>
    <row r="456" spans="13:26" ht="25.5">
      <c r="M456" s="289">
        <f>IF(ISNUMBER(SEARCH(ZAKL_DATA!$B$29,N456)),MAX($M$2:M455)+1,0)</f>
        <v>454</v>
      </c>
      <c r="N456" s="482" t="s">
        <v>3264</v>
      </c>
      <c r="O456" s="482" t="s">
        <v>3265</v>
      </c>
      <c r="Q456" s="291" t="str">
        <f>IFERROR(VLOOKUP(ROWS($Q$3:Q456),$M$3:$N$718,2,0),"")</f>
        <v>Všechny ostatní odborné, vědecké a technické činnosti j. n.</v>
      </c>
      <c r="R456">
        <f>IF(ISNUMBER(SEARCH('1Př1'!$A$32,N456)),MAX($M$2:M455)+1,0)</f>
        <v>454</v>
      </c>
      <c r="S456" s="290" t="s">
        <v>1831</v>
      </c>
      <c r="T456" t="str">
        <f>IFERROR(VLOOKUP(ROWS($T$3:T456),$R$3:$S$718,2,0),"")</f>
        <v>Vázání a související činnosti</v>
      </c>
      <c r="U456">
        <f>IF(ISNUMBER(SEARCH('1Př1'!$A$33,N456)),MAX($M$2:M455)+1,0)</f>
        <v>454</v>
      </c>
      <c r="V456" s="290" t="s">
        <v>1831</v>
      </c>
      <c r="W456" t="str">
        <f>IFERROR(VLOOKUP(ROWS($W$3:W456),$U$3:$V$718,2,0),"")</f>
        <v>Vázání a související činnosti</v>
      </c>
      <c r="X456">
        <f>IF(ISNUMBER(SEARCH('1Př1'!$A$34,N456)),MAX($M$2:M455)+1,0)</f>
        <v>454</v>
      </c>
      <c r="Y456" s="290" t="s">
        <v>1831</v>
      </c>
      <c r="Z456" t="str">
        <f>IFERROR(VLOOKUP(ROWS($Z$3:Z456),$X$3:$Y$718,2,0),"")</f>
        <v>Vázání a související činnosti</v>
      </c>
    </row>
    <row r="457" spans="13:26" ht="12.75">
      <c r="M457" s="289">
        <f>IF(ISNUMBER(SEARCH(ZAKL_DATA!$B$29,N457)),MAX($M$2:M456)+1,0)</f>
        <v>455</v>
      </c>
      <c r="N457" s="482" t="s">
        <v>2133</v>
      </c>
      <c r="O457" s="482" t="s">
        <v>3266</v>
      </c>
      <c r="Q457" s="291" t="str">
        <f>IFERROR(VLOOKUP(ROWS($Q$3:Q457),$M$3:$N$718,2,0),"")</f>
        <v>Všeobecná ambulantní zdravotní péče</v>
      </c>
      <c r="R457">
        <f>IF(ISNUMBER(SEARCH('1Př1'!$A$32,N457)),MAX($M$2:M456)+1,0)</f>
        <v>455</v>
      </c>
      <c r="S457" s="290" t="s">
        <v>1832</v>
      </c>
      <c r="T457" t="str">
        <f>IFERROR(VLOOKUP(ROWS($T$3:T457),$R$3:$S$718,2,0),"")</f>
        <v>Výroba technických plynů</v>
      </c>
      <c r="U457">
        <f>IF(ISNUMBER(SEARCH('1Př1'!$A$33,N457)),MAX($M$2:M456)+1,0)</f>
        <v>455</v>
      </c>
      <c r="V457" s="290" t="s">
        <v>1832</v>
      </c>
      <c r="W457" t="str">
        <f>IFERROR(VLOOKUP(ROWS($W$3:W457),$U$3:$V$718,2,0),"")</f>
        <v>Výroba technických plynů</v>
      </c>
      <c r="X457">
        <f>IF(ISNUMBER(SEARCH('1Př1'!$A$34,N457)),MAX($M$2:M456)+1,0)</f>
        <v>455</v>
      </c>
      <c r="Y457" s="290" t="s">
        <v>1832</v>
      </c>
      <c r="Z457" t="str">
        <f>IFERROR(VLOOKUP(ROWS($Z$3:Z457),$X$3:$Y$718,2,0),"")</f>
        <v>Výroba technických plynů</v>
      </c>
    </row>
    <row r="458" spans="13:26" ht="12.75">
      <c r="M458" s="289">
        <f>IF(ISNUMBER(SEARCH(ZAKL_DATA!$B$29,N458)),MAX($M$2:M457)+1,0)</f>
        <v>456</v>
      </c>
      <c r="N458" s="482" t="s">
        <v>2125</v>
      </c>
      <c r="O458" s="482" t="s">
        <v>3267</v>
      </c>
      <c r="Q458" s="291" t="str">
        <f>IFERROR(VLOOKUP(ROWS($Q$3:Q458),$M$3:$N$718,2,0),"")</f>
        <v>Všeobecné činnosti veřejné správy</v>
      </c>
      <c r="R458">
        <f>IF(ISNUMBER(SEARCH('1Př1'!$A$32,N458)),MAX($M$2:M457)+1,0)</f>
        <v>456</v>
      </c>
      <c r="S458" s="290" t="s">
        <v>1833</v>
      </c>
      <c r="T458" t="str">
        <f>IFERROR(VLOOKUP(ROWS($T$3:T458),$R$3:$S$718,2,0),"")</f>
        <v>Výroba barviv a pigmentů</v>
      </c>
      <c r="U458">
        <f>IF(ISNUMBER(SEARCH('1Př1'!$A$33,N458)),MAX($M$2:M457)+1,0)</f>
        <v>456</v>
      </c>
      <c r="V458" s="290" t="s">
        <v>1833</v>
      </c>
      <c r="W458" t="str">
        <f>IFERROR(VLOOKUP(ROWS($W$3:W458),$U$3:$V$718,2,0),"")</f>
        <v>Výroba barviv a pigmentů</v>
      </c>
      <c r="X458">
        <f>IF(ISNUMBER(SEARCH('1Př1'!$A$34,N458)),MAX($M$2:M457)+1,0)</f>
        <v>456</v>
      </c>
      <c r="Y458" s="290" t="s">
        <v>1833</v>
      </c>
      <c r="Z458" t="str">
        <f>IFERROR(VLOOKUP(ROWS($Z$3:Z458),$X$3:$Y$718,2,0),"")</f>
        <v>Výroba barviv a pigmentů</v>
      </c>
    </row>
    <row r="459" spans="13:26" ht="12.75">
      <c r="M459" s="289">
        <f>IF(ISNUMBER(SEARCH(ZAKL_DATA!$B$29,N459)),MAX($M$2:M458)+1,0)</f>
        <v>457</v>
      </c>
      <c r="N459" s="482" t="s">
        <v>2119</v>
      </c>
      <c r="O459" s="482" t="s">
        <v>3268</v>
      </c>
      <c r="Q459" s="291" t="str">
        <f>IFERROR(VLOOKUP(ROWS($Q$3:Q459),$M$3:$N$718,2,0),"")</f>
        <v>Všeobecný úklid budov</v>
      </c>
      <c r="R459">
        <f>IF(ISNUMBER(SEARCH('1Př1'!$A$32,N459)),MAX($M$2:M458)+1,0)</f>
        <v>457</v>
      </c>
      <c r="S459" s="290" t="s">
        <v>1834</v>
      </c>
      <c r="T459" t="str">
        <f>IFERROR(VLOOKUP(ROWS($T$3:T459),$R$3:$S$718,2,0),"")</f>
        <v>Výroba jiných základních anorganických chemických látek</v>
      </c>
      <c r="U459">
        <f>IF(ISNUMBER(SEARCH('1Př1'!$A$33,N459)),MAX($M$2:M458)+1,0)</f>
        <v>457</v>
      </c>
      <c r="V459" s="290" t="s">
        <v>1834</v>
      </c>
      <c r="W459" t="str">
        <f>IFERROR(VLOOKUP(ROWS($W$3:W459),$U$3:$V$718,2,0),"")</f>
        <v>Výroba jiných základních anorganických chemických látek</v>
      </c>
      <c r="X459">
        <f>IF(ISNUMBER(SEARCH('1Př1'!$A$34,N459)),MAX($M$2:M458)+1,0)</f>
        <v>457</v>
      </c>
      <c r="Y459" s="290" t="s">
        <v>1834</v>
      </c>
      <c r="Z459" t="str">
        <f>IFERROR(VLOOKUP(ROWS($Z$3:Z459),$X$3:$Y$718,2,0),"")</f>
        <v>Výroba jiných základních anorganických chemických látek</v>
      </c>
    </row>
    <row r="460" spans="13:26" ht="12.75">
      <c r="M460" s="289">
        <f>IF(ISNUMBER(SEARCH(ZAKL_DATA!$B$29,N460)),MAX($M$2:M459)+1,0)</f>
        <v>458</v>
      </c>
      <c r="N460" s="482" t="s">
        <v>3269</v>
      </c>
      <c r="O460" s="482" t="s">
        <v>3270</v>
      </c>
      <c r="Q460" s="291" t="str">
        <f>IFERROR(VLOOKUP(ROWS($Q$3:Q460),$M$3:$N$718,2,0),"")</f>
        <v>Vydávání časopisů v jiných formách než tištěných</v>
      </c>
      <c r="R460">
        <f>IF(ISNUMBER(SEARCH('1Př1'!$A$32,N460)),MAX($M$2:M459)+1,0)</f>
        <v>458</v>
      </c>
      <c r="S460" s="290" t="s">
        <v>1835</v>
      </c>
      <c r="T460" t="str">
        <f>IFERROR(VLOOKUP(ROWS($T$3:T460),$R$3:$S$718,2,0),"")</f>
        <v>Výroba jiných základních organických chemických látek</v>
      </c>
      <c r="U460">
        <f>IF(ISNUMBER(SEARCH('1Př1'!$A$33,N460)),MAX($M$2:M459)+1,0)</f>
        <v>458</v>
      </c>
      <c r="V460" s="290" t="s">
        <v>1835</v>
      </c>
      <c r="W460" t="str">
        <f>IFERROR(VLOOKUP(ROWS($W$3:W460),$U$3:$V$718,2,0),"")</f>
        <v>Výroba jiných základních organických chemických látek</v>
      </c>
      <c r="X460">
        <f>IF(ISNUMBER(SEARCH('1Př1'!$A$34,N460)),MAX($M$2:M459)+1,0)</f>
        <v>458</v>
      </c>
      <c r="Y460" s="290" t="s">
        <v>1835</v>
      </c>
      <c r="Z460" t="str">
        <f>IFERROR(VLOOKUP(ROWS($Z$3:Z460),$X$3:$Y$718,2,0),"")</f>
        <v>Výroba jiných základních organických chemických látek</v>
      </c>
    </row>
    <row r="461" spans="13:26" ht="12.75">
      <c r="M461" s="289">
        <f>IF(ISNUMBER(SEARCH(ZAKL_DATA!$B$29,N461)),MAX($M$2:M460)+1,0)</f>
        <v>459</v>
      </c>
      <c r="N461" s="482" t="s">
        <v>2094</v>
      </c>
      <c r="O461" s="482" t="s">
        <v>3271</v>
      </c>
      <c r="Q461" s="291" t="str">
        <f>IFERROR(VLOOKUP(ROWS($Q$3:Q461),$M$3:$N$718,2,0),"")</f>
        <v>Vydávání knih</v>
      </c>
      <c r="R461">
        <f>IF(ISNUMBER(SEARCH('1Př1'!$A$32,N461)),MAX($M$2:M460)+1,0)</f>
        <v>459</v>
      </c>
      <c r="S461" s="290" t="s">
        <v>1836</v>
      </c>
      <c r="T461" t="str">
        <f>IFERROR(VLOOKUP(ROWS($T$3:T461),$R$3:$S$718,2,0),"")</f>
        <v>Výroba hnojiv a dusíkatých sloučenin</v>
      </c>
      <c r="U461">
        <f>IF(ISNUMBER(SEARCH('1Př1'!$A$33,N461)),MAX($M$2:M460)+1,0)</f>
        <v>459</v>
      </c>
      <c r="V461" s="290" t="s">
        <v>1836</v>
      </c>
      <c r="W461" t="str">
        <f>IFERROR(VLOOKUP(ROWS($W$3:W461),$U$3:$V$718,2,0),"")</f>
        <v>Výroba hnojiv a dusíkatých sloučenin</v>
      </c>
      <c r="X461">
        <f>IF(ISNUMBER(SEARCH('1Př1'!$A$34,N461)),MAX($M$2:M460)+1,0)</f>
        <v>459</v>
      </c>
      <c r="Y461" s="290" t="s">
        <v>1836</v>
      </c>
      <c r="Z461" t="str">
        <f>IFERROR(VLOOKUP(ROWS($Z$3:Z461),$X$3:$Y$718,2,0),"")</f>
        <v>Výroba hnojiv a dusíkatých sloučenin</v>
      </c>
    </row>
    <row r="462" spans="13:26" ht="12.75">
      <c r="M462" s="289">
        <f>IF(ISNUMBER(SEARCH(ZAKL_DATA!$B$29,N462)),MAX($M$2:M461)+1,0)</f>
        <v>460</v>
      </c>
      <c r="N462" s="482" t="s">
        <v>3272</v>
      </c>
      <c r="O462" s="482" t="s">
        <v>3273</v>
      </c>
      <c r="Q462" s="291" t="str">
        <f>IFERROR(VLOOKUP(ROWS($Q$3:Q462),$M$3:$N$718,2,0),"")</f>
        <v>Vydávání novin v jiných formách než tištěných</v>
      </c>
      <c r="R462">
        <f>IF(ISNUMBER(SEARCH('1Př1'!$A$32,N462)),MAX($M$2:M461)+1,0)</f>
        <v>460</v>
      </c>
      <c r="S462" s="290" t="s">
        <v>1837</v>
      </c>
      <c r="T462" t="str">
        <f>IFERROR(VLOOKUP(ROWS($T$3:T462),$R$3:$S$718,2,0),"")</f>
        <v>Výroba plastů v primárních formách</v>
      </c>
      <c r="U462">
        <f>IF(ISNUMBER(SEARCH('1Př1'!$A$33,N462)),MAX($M$2:M461)+1,0)</f>
        <v>460</v>
      </c>
      <c r="V462" s="290" t="s">
        <v>1837</v>
      </c>
      <c r="W462" t="str">
        <f>IFERROR(VLOOKUP(ROWS($W$3:W462),$U$3:$V$718,2,0),"")</f>
        <v>Výroba plastů v primárních formách</v>
      </c>
      <c r="X462">
        <f>IF(ISNUMBER(SEARCH('1Př1'!$A$34,N462)),MAX($M$2:M461)+1,0)</f>
        <v>460</v>
      </c>
      <c r="Y462" s="290" t="s">
        <v>1837</v>
      </c>
      <c r="Z462" t="str">
        <f>IFERROR(VLOOKUP(ROWS($Z$3:Z462),$X$3:$Y$718,2,0),"")</f>
        <v>Výroba plastů v primárních formách</v>
      </c>
    </row>
    <row r="463" spans="13:26" ht="12.75">
      <c r="M463" s="289">
        <f>IF(ISNUMBER(SEARCH(ZAKL_DATA!$B$29,N463)),MAX($M$2:M462)+1,0)</f>
        <v>461</v>
      </c>
      <c r="N463" s="482" t="s">
        <v>3274</v>
      </c>
      <c r="O463" s="482" t="s">
        <v>3275</v>
      </c>
      <c r="Q463" s="291" t="str">
        <f>IFERROR(VLOOKUP(ROWS($Q$3:Q463),$M$3:$N$718,2,0),"")</f>
        <v>Vydávání ostatních periodik</v>
      </c>
      <c r="R463">
        <f>IF(ISNUMBER(SEARCH('1Př1'!$A$32,N463)),MAX($M$2:M462)+1,0)</f>
        <v>461</v>
      </c>
      <c r="S463" s="290" t="s">
        <v>1838</v>
      </c>
      <c r="T463" t="str">
        <f>IFERROR(VLOOKUP(ROWS($T$3:T463),$R$3:$S$718,2,0),"")</f>
        <v>Výroba syntetického kaučuku v primárních formách</v>
      </c>
      <c r="U463">
        <f>IF(ISNUMBER(SEARCH('1Př1'!$A$33,N463)),MAX($M$2:M462)+1,0)</f>
        <v>461</v>
      </c>
      <c r="V463" s="290" t="s">
        <v>1838</v>
      </c>
      <c r="W463" t="str">
        <f>IFERROR(VLOOKUP(ROWS($W$3:W463),$U$3:$V$718,2,0),"")</f>
        <v>Výroba syntetického kaučuku v primárních formách</v>
      </c>
      <c r="X463">
        <f>IF(ISNUMBER(SEARCH('1Př1'!$A$34,N463)),MAX($M$2:M462)+1,0)</f>
        <v>461</v>
      </c>
      <c r="Y463" s="290" t="s">
        <v>1838</v>
      </c>
      <c r="Z463" t="str">
        <f>IFERROR(VLOOKUP(ROWS($Z$3:Z463),$X$3:$Y$718,2,0),"")</f>
        <v>Výroba syntetického kaučuku v primárních formách</v>
      </c>
    </row>
    <row r="464" spans="13:26" ht="12.75">
      <c r="M464" s="289">
        <f>IF(ISNUMBER(SEARCH(ZAKL_DATA!$B$29,N464)),MAX($M$2:M463)+1,0)</f>
        <v>462</v>
      </c>
      <c r="N464" s="482" t="s">
        <v>3276</v>
      </c>
      <c r="O464" s="482" t="s">
        <v>3277</v>
      </c>
      <c r="Q464" s="291" t="str">
        <f>IFERROR(VLOOKUP(ROWS($Q$3:Q464),$M$3:$N$718,2,0),"")</f>
        <v>Vydávání tištěných časopisů</v>
      </c>
      <c r="R464">
        <f>IF(ISNUMBER(SEARCH('1Př1'!$A$32,N464)),MAX($M$2:M463)+1,0)</f>
        <v>462</v>
      </c>
      <c r="S464" s="290" t="s">
        <v>1839</v>
      </c>
      <c r="T464" t="str">
        <f>IFERROR(VLOOKUP(ROWS($T$3:T464),$R$3:$S$718,2,0),"")</f>
        <v>Výroba mýdel a detergentů, čisticích a lešticích prostředků</v>
      </c>
      <c r="U464">
        <f>IF(ISNUMBER(SEARCH('1Př1'!$A$33,N464)),MAX($M$2:M463)+1,0)</f>
        <v>462</v>
      </c>
      <c r="V464" s="290" t="s">
        <v>1839</v>
      </c>
      <c r="W464" t="str">
        <f>IFERROR(VLOOKUP(ROWS($W$3:W464),$U$3:$V$718,2,0),"")</f>
        <v>Výroba mýdel a detergentů, čisticích a lešticích prostředků</v>
      </c>
      <c r="X464">
        <f>IF(ISNUMBER(SEARCH('1Př1'!$A$34,N464)),MAX($M$2:M463)+1,0)</f>
        <v>462</v>
      </c>
      <c r="Y464" s="290" t="s">
        <v>1839</v>
      </c>
      <c r="Z464" t="str">
        <f>IFERROR(VLOOKUP(ROWS($Z$3:Z464),$X$3:$Y$718,2,0),"")</f>
        <v>Výroba mýdel a detergentů, čisticích a lešticích prostředků</v>
      </c>
    </row>
    <row r="465" spans="13:26" ht="12.75">
      <c r="M465" s="289">
        <f>IF(ISNUMBER(SEARCH(ZAKL_DATA!$B$29,N465)),MAX($M$2:M464)+1,0)</f>
        <v>463</v>
      </c>
      <c r="N465" s="482" t="s">
        <v>3278</v>
      </c>
      <c r="O465" s="482" t="s">
        <v>3279</v>
      </c>
      <c r="Q465" s="291" t="str">
        <f>IFERROR(VLOOKUP(ROWS($Q$3:Q465),$M$3:$N$718,2,0),"")</f>
        <v>Vydávání tištěných novin</v>
      </c>
      <c r="R465">
        <f>IF(ISNUMBER(SEARCH('1Př1'!$A$32,N465)),MAX($M$2:M464)+1,0)</f>
        <v>463</v>
      </c>
      <c r="S465" s="290" t="s">
        <v>1840</v>
      </c>
      <c r="T465" t="str">
        <f>IFERROR(VLOOKUP(ROWS($T$3:T465),$R$3:$S$718,2,0),"")</f>
        <v>Výroba parfémů a toaletních přípravků</v>
      </c>
      <c r="U465">
        <f>IF(ISNUMBER(SEARCH('1Př1'!$A$33,N465)),MAX($M$2:M464)+1,0)</f>
        <v>463</v>
      </c>
      <c r="V465" s="290" t="s">
        <v>1840</v>
      </c>
      <c r="W465" t="str">
        <f>IFERROR(VLOOKUP(ROWS($W$3:W465),$U$3:$V$718,2,0),"")</f>
        <v>Výroba parfémů a toaletních přípravků</v>
      </c>
      <c r="X465">
        <f>IF(ISNUMBER(SEARCH('1Př1'!$A$34,N465)),MAX($M$2:M464)+1,0)</f>
        <v>463</v>
      </c>
      <c r="Y465" s="290" t="s">
        <v>1840</v>
      </c>
      <c r="Z465" t="str">
        <f>IFERROR(VLOOKUP(ROWS($Z$3:Z465),$X$3:$Y$718,2,0),"")</f>
        <v>Výroba parfémů a toaletních přípravků</v>
      </c>
    </row>
    <row r="466" spans="13:26" ht="12.75">
      <c r="M466" s="289">
        <f>IF(ISNUMBER(SEARCH(ZAKL_DATA!$B$29,N466)),MAX($M$2:M465)+1,0)</f>
        <v>464</v>
      </c>
      <c r="N466" s="482" t="s">
        <v>3280</v>
      </c>
      <c r="O466" s="482" t="s">
        <v>3281</v>
      </c>
      <c r="Q466" s="291" t="str">
        <f>IFERROR(VLOOKUP(ROWS($Q$3:Q466),$M$3:$N$718,2,0),"")</f>
        <v>Vydávání videoher</v>
      </c>
      <c r="R466">
        <f>IF(ISNUMBER(SEARCH('1Př1'!$A$32,N466)),MAX($M$2:M465)+1,0)</f>
        <v>464</v>
      </c>
      <c r="S466" s="290" t="s">
        <v>1841</v>
      </c>
      <c r="T466" t="str">
        <f>IFERROR(VLOOKUP(ROWS($T$3:T466),$R$3:$S$718,2,0),"")</f>
        <v>Výroba výbušnin</v>
      </c>
      <c r="U466">
        <f>IF(ISNUMBER(SEARCH('1Př1'!$A$33,N466)),MAX($M$2:M465)+1,0)</f>
        <v>464</v>
      </c>
      <c r="V466" s="290" t="s">
        <v>1841</v>
      </c>
      <c r="W466" t="str">
        <f>IFERROR(VLOOKUP(ROWS($W$3:W466),$U$3:$V$718,2,0),"")</f>
        <v>Výroba výbušnin</v>
      </c>
      <c r="X466">
        <f>IF(ISNUMBER(SEARCH('1Př1'!$A$34,N466)),MAX($M$2:M465)+1,0)</f>
        <v>464</v>
      </c>
      <c r="Y466" s="290" t="s">
        <v>1841</v>
      </c>
      <c r="Z466" t="str">
        <f>IFERROR(VLOOKUP(ROWS($Z$3:Z466),$X$3:$Y$718,2,0),"")</f>
        <v>Výroba výbušnin</v>
      </c>
    </row>
    <row r="467" spans="13:26" ht="12.75">
      <c r="M467" s="289">
        <f>IF(ISNUMBER(SEARCH(ZAKL_DATA!$B$29,N467)),MAX($M$2:M466)+1,0)</f>
        <v>465</v>
      </c>
      <c r="N467" s="482" t="s">
        <v>2102</v>
      </c>
      <c r="O467" s="482" t="s">
        <v>3282</v>
      </c>
      <c r="Q467" s="291" t="str">
        <f>IFERROR(VLOOKUP(ROWS($Q$3:Q467),$M$3:$N$718,2,0),"")</f>
        <v>Vyhodnocování rizik a škod</v>
      </c>
      <c r="R467">
        <f>IF(ISNUMBER(SEARCH('1Př1'!$A$32,N467)),MAX($M$2:M466)+1,0)</f>
        <v>465</v>
      </c>
      <c r="S467" s="290" t="s">
        <v>1842</v>
      </c>
      <c r="T467" t="str">
        <f>IFERROR(VLOOKUP(ROWS($T$3:T467),$R$3:$S$718,2,0),"")</f>
        <v>Výroba klihů</v>
      </c>
      <c r="U467">
        <f>IF(ISNUMBER(SEARCH('1Př1'!$A$33,N467)),MAX($M$2:M466)+1,0)</f>
        <v>465</v>
      </c>
      <c r="V467" s="290" t="s">
        <v>1842</v>
      </c>
      <c r="W467" t="str">
        <f>IFERROR(VLOOKUP(ROWS($W$3:W467),$U$3:$V$718,2,0),"")</f>
        <v>Výroba klihů</v>
      </c>
      <c r="X467">
        <f>IF(ISNUMBER(SEARCH('1Př1'!$A$34,N467)),MAX($M$2:M466)+1,0)</f>
        <v>465</v>
      </c>
      <c r="Y467" s="290" t="s">
        <v>1842</v>
      </c>
      <c r="Z467" t="str">
        <f>IFERROR(VLOOKUP(ROWS($Z$3:Z467),$X$3:$Y$718,2,0),"")</f>
        <v>Výroba klihů</v>
      </c>
    </row>
    <row r="468" spans="13:26" ht="12.75">
      <c r="M468" s="289">
        <f>IF(ISNUMBER(SEARCH(ZAKL_DATA!$B$29,N468)),MAX($M$2:M467)+1,0)</f>
        <v>466</v>
      </c>
      <c r="N468" s="482" t="s">
        <v>3283</v>
      </c>
      <c r="O468" s="482" t="s">
        <v>3284</v>
      </c>
      <c r="Q468" s="291" t="str">
        <f>IFERROR(VLOOKUP(ROWS($Q$3:Q468),$M$3:$N$718,2,0),"")</f>
        <v>Výroba a distribuce chladicí vody</v>
      </c>
      <c r="R468">
        <f>IF(ISNUMBER(SEARCH('1Př1'!$A$32,N468)),MAX($M$2:M467)+1,0)</f>
        <v>466</v>
      </c>
      <c r="S468" s="290" t="s">
        <v>1843</v>
      </c>
      <c r="T468" t="str">
        <f>IFERROR(VLOOKUP(ROWS($T$3:T468),$R$3:$S$718,2,0),"")</f>
        <v>Výroba vonných silic</v>
      </c>
      <c r="U468">
        <f>IF(ISNUMBER(SEARCH('1Př1'!$A$33,N468)),MAX($M$2:M467)+1,0)</f>
        <v>466</v>
      </c>
      <c r="V468" s="290" t="s">
        <v>1843</v>
      </c>
      <c r="W468" t="str">
        <f>IFERROR(VLOOKUP(ROWS($W$3:W468),$U$3:$V$718,2,0),"")</f>
        <v>Výroba vonných silic</v>
      </c>
      <c r="X468">
        <f>IF(ISNUMBER(SEARCH('1Př1'!$A$34,N468)),MAX($M$2:M467)+1,0)</f>
        <v>466</v>
      </c>
      <c r="Y468" s="290" t="s">
        <v>1843</v>
      </c>
      <c r="Z468" t="str">
        <f>IFERROR(VLOOKUP(ROWS($Z$3:Z468),$X$3:$Y$718,2,0),"")</f>
        <v>Výroba vonných silic</v>
      </c>
    </row>
    <row r="469" spans="13:26" ht="12.75">
      <c r="M469" s="289">
        <f>IF(ISNUMBER(SEARCH(ZAKL_DATA!$B$29,N469)),MAX($M$2:M468)+1,0)</f>
        <v>467</v>
      </c>
      <c r="N469" s="482" t="s">
        <v>3285</v>
      </c>
      <c r="O469" s="482" t="s">
        <v>3286</v>
      </c>
      <c r="Q469" s="291" t="str">
        <f>IFERROR(VLOOKUP(ROWS($Q$3:Q469),$M$3:$N$718,2,0),"")</f>
        <v>Výroba a distribuce klimatizovaného vzduchu</v>
      </c>
      <c r="R469">
        <f>IF(ISNUMBER(SEARCH('1Př1'!$A$32,N469)),MAX($M$2:M468)+1,0)</f>
        <v>467</v>
      </c>
      <c r="S469" s="290" t="s">
        <v>1844</v>
      </c>
      <c r="T469" t="str">
        <f>IFERROR(VLOOKUP(ROWS($T$3:T469),$R$3:$S$718,2,0),"")</f>
        <v>Výroba ostatních chemických výrobků j. n.</v>
      </c>
      <c r="U469">
        <f>IF(ISNUMBER(SEARCH('1Př1'!$A$33,N469)),MAX($M$2:M468)+1,0)</f>
        <v>467</v>
      </c>
      <c r="V469" s="290" t="s">
        <v>1844</v>
      </c>
      <c r="W469" t="str">
        <f>IFERROR(VLOOKUP(ROWS($W$3:W469),$U$3:$V$718,2,0),"")</f>
        <v>Výroba ostatních chemických výrobků j. n.</v>
      </c>
      <c r="X469">
        <f>IF(ISNUMBER(SEARCH('1Př1'!$A$34,N469)),MAX($M$2:M468)+1,0)</f>
        <v>467</v>
      </c>
      <c r="Y469" s="290" t="s">
        <v>1844</v>
      </c>
      <c r="Z469" t="str">
        <f>IFERROR(VLOOKUP(ROWS($Z$3:Z469),$X$3:$Y$718,2,0),"")</f>
        <v>Výroba ostatních chemických výrobků j. n.</v>
      </c>
    </row>
    <row r="470" spans="13:26" ht="12.75">
      <c r="M470" s="289">
        <f>IF(ISNUMBER(SEARCH(ZAKL_DATA!$B$29,N470)),MAX($M$2:M469)+1,0)</f>
        <v>468</v>
      </c>
      <c r="N470" s="482" t="s">
        <v>3287</v>
      </c>
      <c r="O470" s="482" t="s">
        <v>3288</v>
      </c>
      <c r="Q470" s="291" t="str">
        <f>IFERROR(VLOOKUP(ROWS($Q$3:Q470),$M$3:$N$718,2,0),"")</f>
        <v>Výroba a distribuce páry</v>
      </c>
      <c r="R470">
        <f>IF(ISNUMBER(SEARCH('1Př1'!$A$32,N470)),MAX($M$2:M469)+1,0)</f>
        <v>468</v>
      </c>
      <c r="S470" s="290" t="s">
        <v>1845</v>
      </c>
      <c r="T470" t="str">
        <f>IFERROR(VLOOKUP(ROWS($T$3:T470),$R$3:$S$718,2,0),"")</f>
        <v>Výroba pryžových plášťů a duší; protektorování pneumatik</v>
      </c>
      <c r="U470">
        <f>IF(ISNUMBER(SEARCH('1Př1'!$A$33,N470)),MAX($M$2:M469)+1,0)</f>
        <v>468</v>
      </c>
      <c r="V470" s="290" t="s">
        <v>1845</v>
      </c>
      <c r="W470" t="str">
        <f>IFERROR(VLOOKUP(ROWS($W$3:W470),$U$3:$V$718,2,0),"")</f>
        <v>Výroba pryžových plášťů a duší; protektorování pneumatik</v>
      </c>
      <c r="X470">
        <f>IF(ISNUMBER(SEARCH('1Př1'!$A$34,N470)),MAX($M$2:M469)+1,0)</f>
        <v>468</v>
      </c>
      <c r="Y470" s="290" t="s">
        <v>1845</v>
      </c>
      <c r="Z470" t="str">
        <f>IFERROR(VLOOKUP(ROWS($Z$3:Z470),$X$3:$Y$718,2,0),"")</f>
        <v>Výroba pryžových plášťů a duší; protektorování pneumatik</v>
      </c>
    </row>
    <row r="471" spans="13:26" ht="12.75">
      <c r="M471" s="289">
        <f>IF(ISNUMBER(SEARCH(ZAKL_DATA!$B$29,N471)),MAX($M$2:M470)+1,0)</f>
        <v>469</v>
      </c>
      <c r="N471" s="482" t="s">
        <v>1877</v>
      </c>
      <c r="O471" s="482" t="s">
        <v>3289</v>
      </c>
      <c r="Q471" s="291" t="str">
        <f>IFERROR(VLOOKUP(ROWS($Q$3:Q471),$M$3:$N$718,2,0),"")</f>
        <v>Výroba a hutní zpracování drahých kovů</v>
      </c>
      <c r="R471">
        <f>IF(ISNUMBER(SEARCH('1Př1'!$A$32,N471)),MAX($M$2:M470)+1,0)</f>
        <v>469</v>
      </c>
      <c r="S471" s="290" t="s">
        <v>1846</v>
      </c>
      <c r="T471" t="str">
        <f>IFERROR(VLOOKUP(ROWS($T$3:T471),$R$3:$S$718,2,0),"")</f>
        <v>Výroba ostatních pryžových výrobků</v>
      </c>
      <c r="U471">
        <f>IF(ISNUMBER(SEARCH('1Př1'!$A$33,N471)),MAX($M$2:M470)+1,0)</f>
        <v>469</v>
      </c>
      <c r="V471" s="290" t="s">
        <v>1846</v>
      </c>
      <c r="W471" t="str">
        <f>IFERROR(VLOOKUP(ROWS($W$3:W471),$U$3:$V$718,2,0),"")</f>
        <v>Výroba ostatních pryžových výrobků</v>
      </c>
      <c r="X471">
        <f>IF(ISNUMBER(SEARCH('1Př1'!$A$34,N471)),MAX($M$2:M470)+1,0)</f>
        <v>469</v>
      </c>
      <c r="Y471" s="290" t="s">
        <v>1846</v>
      </c>
      <c r="Z471" t="str">
        <f>IFERROR(VLOOKUP(ROWS($Z$3:Z471),$X$3:$Y$718,2,0),"")</f>
        <v>Výroba ostatních pryžových výrobků</v>
      </c>
    </row>
    <row r="472" spans="13:26" ht="12.75">
      <c r="M472" s="289">
        <f>IF(ISNUMBER(SEARCH(ZAKL_DATA!$B$29,N472)),MAX($M$2:M471)+1,0)</f>
        <v>470</v>
      </c>
      <c r="N472" s="482" t="s">
        <v>1878</v>
      </c>
      <c r="O472" s="482" t="s">
        <v>3290</v>
      </c>
      <c r="Q472" s="291" t="str">
        <f>IFERROR(VLOOKUP(ROWS($Q$3:Q472),$M$3:$N$718,2,0),"")</f>
        <v>Výroba a hutní zpracování hliníku</v>
      </c>
      <c r="R472">
        <f>IF(ISNUMBER(SEARCH('1Př1'!$A$32,N472)),MAX($M$2:M471)+1,0)</f>
        <v>470</v>
      </c>
      <c r="S472" s="290" t="s">
        <v>1847</v>
      </c>
      <c r="T472" t="str">
        <f>IFERROR(VLOOKUP(ROWS($T$3:T472),$R$3:$S$718,2,0),"")</f>
        <v>Výroba plastových desek, fólií, hadic, trubek a profilů</v>
      </c>
      <c r="U472">
        <f>IF(ISNUMBER(SEARCH('1Př1'!$A$33,N472)),MAX($M$2:M471)+1,0)</f>
        <v>470</v>
      </c>
      <c r="V472" s="290" t="s">
        <v>1847</v>
      </c>
      <c r="W472" t="str">
        <f>IFERROR(VLOOKUP(ROWS($W$3:W472),$U$3:$V$718,2,0),"")</f>
        <v>Výroba plastových desek, fólií, hadic, trubek a profilů</v>
      </c>
      <c r="X472">
        <f>IF(ISNUMBER(SEARCH('1Př1'!$A$34,N472)),MAX($M$2:M471)+1,0)</f>
        <v>470</v>
      </c>
      <c r="Y472" s="290" t="s">
        <v>1847</v>
      </c>
      <c r="Z472" t="str">
        <f>IFERROR(VLOOKUP(ROWS($Z$3:Z472),$X$3:$Y$718,2,0),"")</f>
        <v>Výroba plastových desek, fólií, hadic, trubek a profilů</v>
      </c>
    </row>
    <row r="473" spans="13:26" ht="12.75">
      <c r="M473" s="289">
        <f>IF(ISNUMBER(SEARCH(ZAKL_DATA!$B$29,N473)),MAX($M$2:M472)+1,0)</f>
        <v>471</v>
      </c>
      <c r="N473" s="482" t="s">
        <v>1880</v>
      </c>
      <c r="O473" s="482" t="s">
        <v>3291</v>
      </c>
      <c r="Q473" s="291" t="str">
        <f>IFERROR(VLOOKUP(ROWS($Q$3:Q473),$M$3:$N$718,2,0),"")</f>
        <v>Výroba a hutní zpracování mědi</v>
      </c>
      <c r="R473">
        <f>IF(ISNUMBER(SEARCH('1Př1'!$A$32,N473)),MAX($M$2:M472)+1,0)</f>
        <v>471</v>
      </c>
      <c r="S473" s="290" t="s">
        <v>1848</v>
      </c>
      <c r="T473" t="str">
        <f>IFERROR(VLOOKUP(ROWS($T$3:T473),$R$3:$S$718,2,0),"")</f>
        <v>Výroba plastových obalů</v>
      </c>
      <c r="U473">
        <f>IF(ISNUMBER(SEARCH('1Př1'!$A$33,N473)),MAX($M$2:M472)+1,0)</f>
        <v>471</v>
      </c>
      <c r="V473" s="290" t="s">
        <v>1848</v>
      </c>
      <c r="W473" t="str">
        <f>IFERROR(VLOOKUP(ROWS($W$3:W473),$U$3:$V$718,2,0),"")</f>
        <v>Výroba plastových obalů</v>
      </c>
      <c r="X473">
        <f>IF(ISNUMBER(SEARCH('1Př1'!$A$34,N473)),MAX($M$2:M472)+1,0)</f>
        <v>471</v>
      </c>
      <c r="Y473" s="290" t="s">
        <v>1848</v>
      </c>
      <c r="Z473" t="str">
        <f>IFERROR(VLOOKUP(ROWS($Z$3:Z473),$X$3:$Y$718,2,0),"")</f>
        <v>Výroba plastových obalů</v>
      </c>
    </row>
    <row r="474" spans="13:26" ht="12.75">
      <c r="M474" s="289">
        <f>IF(ISNUMBER(SEARCH(ZAKL_DATA!$B$29,N474)),MAX($M$2:M473)+1,0)</f>
        <v>472</v>
      </c>
      <c r="N474" s="482" t="s">
        <v>1879</v>
      </c>
      <c r="O474" s="482" t="s">
        <v>3292</v>
      </c>
      <c r="Q474" s="291" t="str">
        <f>IFERROR(VLOOKUP(ROWS($Q$3:Q474),$M$3:$N$718,2,0),"")</f>
        <v>Výroba a hutní zpracování olova, zinku a cínu</v>
      </c>
      <c r="R474">
        <f>IF(ISNUMBER(SEARCH('1Př1'!$A$32,N474)),MAX($M$2:M473)+1,0)</f>
        <v>472</v>
      </c>
      <c r="S474" s="290" t="s">
        <v>1849</v>
      </c>
      <c r="T474" t="str">
        <f>IFERROR(VLOOKUP(ROWS($T$3:T474),$R$3:$S$718,2,0),"")</f>
        <v>Výroba plastových výrobků pro stavebnictví</v>
      </c>
      <c r="U474">
        <f>IF(ISNUMBER(SEARCH('1Př1'!$A$33,N474)),MAX($M$2:M473)+1,0)</f>
        <v>472</v>
      </c>
      <c r="V474" s="290" t="s">
        <v>1849</v>
      </c>
      <c r="W474" t="str">
        <f>IFERROR(VLOOKUP(ROWS($W$3:W474),$U$3:$V$718,2,0),"")</f>
        <v>Výroba plastových výrobků pro stavebnictví</v>
      </c>
      <c r="X474">
        <f>IF(ISNUMBER(SEARCH('1Př1'!$A$34,N474)),MAX($M$2:M473)+1,0)</f>
        <v>472</v>
      </c>
      <c r="Y474" s="290" t="s">
        <v>1849</v>
      </c>
      <c r="Z474" t="str">
        <f>IFERROR(VLOOKUP(ROWS($Z$3:Z474),$X$3:$Y$718,2,0),"")</f>
        <v>Výroba plastových výrobků pro stavebnictví</v>
      </c>
    </row>
    <row r="475" spans="13:26" ht="25.5">
      <c r="M475" s="289">
        <f>IF(ISNUMBER(SEARCH(ZAKL_DATA!$B$29,N475)),MAX($M$2:M474)+1,0)</f>
        <v>473</v>
      </c>
      <c r="N475" s="482" t="s">
        <v>1881</v>
      </c>
      <c r="O475" s="482" t="s">
        <v>3293</v>
      </c>
      <c r="Q475" s="291" t="str">
        <f>IFERROR(VLOOKUP(ROWS($Q$3:Q475),$M$3:$N$718,2,0),"")</f>
        <v>Výroba a hutní zpracování ostatních neželezných kovů</v>
      </c>
      <c r="R475">
        <f>IF(ISNUMBER(SEARCH('1Př1'!$A$32,N475)),MAX($M$2:M474)+1,0)</f>
        <v>473</v>
      </c>
      <c r="S475" s="290" t="s">
        <v>1850</v>
      </c>
      <c r="T475" t="str">
        <f>IFERROR(VLOOKUP(ROWS($T$3:T475),$R$3:$S$718,2,0),"")</f>
        <v>Výroba ostatních plastových výrobků</v>
      </c>
      <c r="U475">
        <f>IF(ISNUMBER(SEARCH('1Př1'!$A$33,N475)),MAX($M$2:M474)+1,0)</f>
        <v>473</v>
      </c>
      <c r="V475" s="290" t="s">
        <v>1850</v>
      </c>
      <c r="W475" t="str">
        <f>IFERROR(VLOOKUP(ROWS($W$3:W475),$U$3:$V$718,2,0),"")</f>
        <v>Výroba ostatních plastových výrobků</v>
      </c>
      <c r="X475">
        <f>IF(ISNUMBER(SEARCH('1Př1'!$A$34,N475)),MAX($M$2:M474)+1,0)</f>
        <v>473</v>
      </c>
      <c r="Y475" s="290" t="s">
        <v>1850</v>
      </c>
      <c r="Z475" t="str">
        <f>IFERROR(VLOOKUP(ROWS($Z$3:Z475),$X$3:$Y$718,2,0),"")</f>
        <v>Výroba ostatních plastových výrobků</v>
      </c>
    </row>
    <row r="476" spans="13:26" ht="25.5">
      <c r="M476" s="289">
        <f>IF(ISNUMBER(SEARCH(ZAKL_DATA!$B$29,N476)),MAX($M$2:M475)+1,0)</f>
        <v>474</v>
      </c>
      <c r="N476" s="482" t="s">
        <v>3294</v>
      </c>
      <c r="O476" s="482" t="s">
        <v>3295</v>
      </c>
      <c r="Q476" s="291" t="str">
        <f>IFERROR(VLOOKUP(ROWS($Q$3:Q476),$M$3:$N$718,2,0),"")</f>
        <v>Výroba a zpracování ostatního skla, včetně technického skla</v>
      </c>
      <c r="R476">
        <f>IF(ISNUMBER(SEARCH('1Př1'!$A$32,N476)),MAX($M$2:M475)+1,0)</f>
        <v>474</v>
      </c>
      <c r="S476" s="290" t="s">
        <v>1851</v>
      </c>
      <c r="T476" t="str">
        <f>IFERROR(VLOOKUP(ROWS($T$3:T476),$R$3:$S$718,2,0),"")</f>
        <v>Výroba plochého skla</v>
      </c>
      <c r="U476">
        <f>IF(ISNUMBER(SEARCH('1Př1'!$A$33,N476)),MAX($M$2:M475)+1,0)</f>
        <v>474</v>
      </c>
      <c r="V476" s="290" t="s">
        <v>1851</v>
      </c>
      <c r="W476" t="str">
        <f>IFERROR(VLOOKUP(ROWS($W$3:W476),$U$3:$V$718,2,0),"")</f>
        <v>Výroba plochého skla</v>
      </c>
      <c r="X476">
        <f>IF(ISNUMBER(SEARCH('1Př1'!$A$34,N476)),MAX($M$2:M475)+1,0)</f>
        <v>474</v>
      </c>
      <c r="Y476" s="290" t="s">
        <v>1851</v>
      </c>
      <c r="Z476" t="str">
        <f>IFERROR(VLOOKUP(ROWS($Z$3:Z476),$X$3:$Y$718,2,0),"")</f>
        <v>Výroba plochého skla</v>
      </c>
    </row>
    <row r="477" spans="13:26" ht="38.25">
      <c r="M477" s="289">
        <f>IF(ISNUMBER(SEARCH(ZAKL_DATA!$B$29,N477)),MAX($M$2:M476)+1,0)</f>
        <v>475</v>
      </c>
      <c r="N477" s="482" t="s">
        <v>3296</v>
      </c>
      <c r="O477" s="482" t="s">
        <v>3297</v>
      </c>
      <c r="Q477" s="291" t="str">
        <f>IFERROR(VLOOKUP(ROWS($Q$3:Q477),$M$3:$N$718,2,0),"")</f>
        <v>Výroba aditiv do pohonných hmot na bázi ethyltercbutyléteru (ETBE) a methyltercbutyléteru (MTBE)</v>
      </c>
      <c r="R477">
        <f>IF(ISNUMBER(SEARCH('1Př1'!$A$32,N477)),MAX($M$2:M476)+1,0)</f>
        <v>475</v>
      </c>
      <c r="S477" s="290" t="s">
        <v>1852</v>
      </c>
      <c r="T477" t="str">
        <f>IFERROR(VLOOKUP(ROWS($T$3:T477),$R$3:$S$718,2,0),"")</f>
        <v>Tvarování a zpracování plochého skla</v>
      </c>
      <c r="U477">
        <f>IF(ISNUMBER(SEARCH('1Př1'!$A$33,N477)),MAX($M$2:M476)+1,0)</f>
        <v>475</v>
      </c>
      <c r="V477" s="290" t="s">
        <v>1852</v>
      </c>
      <c r="W477" t="str">
        <f>IFERROR(VLOOKUP(ROWS($W$3:W477),$U$3:$V$718,2,0),"")</f>
        <v>Tvarování a zpracování plochého skla</v>
      </c>
      <c r="X477">
        <f>IF(ISNUMBER(SEARCH('1Př1'!$A$34,N477)),MAX($M$2:M476)+1,0)</f>
        <v>475</v>
      </c>
      <c r="Y477" s="290" t="s">
        <v>1852</v>
      </c>
      <c r="Z477" t="str">
        <f>IFERROR(VLOOKUP(ROWS($Z$3:Z477),$X$3:$Y$718,2,0),"")</f>
        <v>Tvarování a zpracování plochého skla</v>
      </c>
    </row>
    <row r="478" spans="13:26" ht="25.5">
      <c r="M478" s="289">
        <f>IF(ISNUMBER(SEARCH(ZAKL_DATA!$B$29,N478)),MAX($M$2:M477)+1,0)</f>
        <v>476</v>
      </c>
      <c r="N478" s="482" t="s">
        <v>3298</v>
      </c>
      <c r="O478" s="482" t="s">
        <v>3299</v>
      </c>
      <c r="Q478" s="291" t="str">
        <f>IFERROR(VLOOKUP(ROWS($Q$3:Q478),$M$3:$N$718,2,0),"")</f>
        <v>Výroba barev, laků a jiných nátěrových hmot, tiskařských barev a tmelů</v>
      </c>
      <c r="R478">
        <f>IF(ISNUMBER(SEARCH('1Př1'!$A$32,N478)),MAX($M$2:M477)+1,0)</f>
        <v>476</v>
      </c>
      <c r="S478" s="290" t="s">
        <v>1853</v>
      </c>
      <c r="T478" t="str">
        <f>IFERROR(VLOOKUP(ROWS($T$3:T478),$R$3:$S$718,2,0),"")</f>
        <v>Výroba dutého skla</v>
      </c>
      <c r="U478">
        <f>IF(ISNUMBER(SEARCH('1Př1'!$A$33,N478)),MAX($M$2:M477)+1,0)</f>
        <v>476</v>
      </c>
      <c r="V478" s="290" t="s">
        <v>1853</v>
      </c>
      <c r="W478" t="str">
        <f>IFERROR(VLOOKUP(ROWS($W$3:W478),$U$3:$V$718,2,0),"")</f>
        <v>Výroba dutého skla</v>
      </c>
      <c r="X478">
        <f>IF(ISNUMBER(SEARCH('1Př1'!$A$34,N478)),MAX($M$2:M477)+1,0)</f>
        <v>476</v>
      </c>
      <c r="Y478" s="290" t="s">
        <v>1853</v>
      </c>
      <c r="Z478" t="str">
        <f>IFERROR(VLOOKUP(ROWS($Z$3:Z478),$X$3:$Y$718,2,0),"")</f>
        <v>Výroba dutého skla</v>
      </c>
    </row>
    <row r="479" spans="13:26" ht="12.75">
      <c r="M479" s="289">
        <f>IF(ISNUMBER(SEARCH(ZAKL_DATA!$B$29,N479)),MAX($M$2:M478)+1,0)</f>
        <v>477</v>
      </c>
      <c r="N479" s="482" t="s">
        <v>1833</v>
      </c>
      <c r="O479" s="482" t="s">
        <v>3300</v>
      </c>
      <c r="Q479" s="291" t="str">
        <f>IFERROR(VLOOKUP(ROWS($Q$3:Q479),$M$3:$N$718,2,0),"")</f>
        <v>Výroba barviv a pigmentů</v>
      </c>
      <c r="R479">
        <f>IF(ISNUMBER(SEARCH('1Př1'!$A$32,N479)),MAX($M$2:M478)+1,0)</f>
        <v>477</v>
      </c>
      <c r="S479" s="290" t="s">
        <v>1854</v>
      </c>
      <c r="T479" t="str">
        <f>IFERROR(VLOOKUP(ROWS($T$3:T479),$R$3:$S$718,2,0),"")</f>
        <v>Výroba skleněných vláken</v>
      </c>
      <c r="U479">
        <f>IF(ISNUMBER(SEARCH('1Př1'!$A$33,N479)),MAX($M$2:M478)+1,0)</f>
        <v>477</v>
      </c>
      <c r="V479" s="290" t="s">
        <v>1854</v>
      </c>
      <c r="W479" t="str">
        <f>IFERROR(VLOOKUP(ROWS($W$3:W479),$U$3:$V$718,2,0),"")</f>
        <v>Výroba skleněných vláken</v>
      </c>
      <c r="X479">
        <f>IF(ISNUMBER(SEARCH('1Př1'!$A$34,N479)),MAX($M$2:M478)+1,0)</f>
        <v>477</v>
      </c>
      <c r="Y479" s="290" t="s">
        <v>1854</v>
      </c>
      <c r="Z479" t="str">
        <f>IFERROR(VLOOKUP(ROWS($Z$3:Z479),$X$3:$Y$718,2,0),"")</f>
        <v>Výroba skleněných vláken</v>
      </c>
    </row>
    <row r="480" spans="13:26" ht="12.75">
      <c r="M480" s="289">
        <f>IF(ISNUMBER(SEARCH(ZAKL_DATA!$B$29,N480)),MAX($M$2:M479)+1,0)</f>
        <v>478</v>
      </c>
      <c r="N480" s="482" t="s">
        <v>1494</v>
      </c>
      <c r="O480" s="482" t="s">
        <v>3301</v>
      </c>
      <c r="Q480" s="291" t="str">
        <f>IFERROR(VLOOKUP(ROWS($Q$3:Q480),$M$3:$N$718,2,0),"")</f>
        <v>Výroba baterií a akumulátorů</v>
      </c>
      <c r="R480">
        <f>IF(ISNUMBER(SEARCH('1Př1'!$A$32,N480)),MAX($M$2:M479)+1,0)</f>
        <v>478</v>
      </c>
      <c r="S480" s="290" t="s">
        <v>1855</v>
      </c>
      <c r="T480" t="str">
        <f>IFERROR(VLOOKUP(ROWS($T$3:T480),$R$3:$S$718,2,0),"")</f>
        <v>Výroba a zpracování ostatního skla vč. technického</v>
      </c>
      <c r="U480">
        <f>IF(ISNUMBER(SEARCH('1Př1'!$A$33,N480)),MAX($M$2:M479)+1,0)</f>
        <v>478</v>
      </c>
      <c r="V480" s="290" t="s">
        <v>1855</v>
      </c>
      <c r="W480" t="str">
        <f>IFERROR(VLOOKUP(ROWS($W$3:W480),$U$3:$V$718,2,0),"")</f>
        <v>Výroba a zpracování ostatního skla vč. technického</v>
      </c>
      <c r="X480">
        <f>IF(ISNUMBER(SEARCH('1Př1'!$A$34,N480)),MAX($M$2:M479)+1,0)</f>
        <v>478</v>
      </c>
      <c r="Y480" s="290" t="s">
        <v>1855</v>
      </c>
      <c r="Z480" t="str">
        <f>IFERROR(VLOOKUP(ROWS($Z$3:Z480),$X$3:$Y$718,2,0),"")</f>
        <v>Výroba a zpracování ostatního skla vč. technického</v>
      </c>
    </row>
    <row r="481" spans="13:26" ht="12.75">
      <c r="M481" s="289">
        <f>IF(ISNUMBER(SEARCH(ZAKL_DATA!$B$29,N481)),MAX($M$2:M480)+1,0)</f>
        <v>479</v>
      </c>
      <c r="N481" s="482" t="s">
        <v>1865</v>
      </c>
      <c r="O481" s="482" t="s">
        <v>3302</v>
      </c>
      <c r="Q481" s="291" t="str">
        <f>IFERROR(VLOOKUP(ROWS($Q$3:Q481),$M$3:$N$718,2,0),"")</f>
        <v>Výroba betonových výrobků pro stavební účely</v>
      </c>
      <c r="R481">
        <f>IF(ISNUMBER(SEARCH('1Př1'!$A$32,N481)),MAX($M$2:M480)+1,0)</f>
        <v>479</v>
      </c>
      <c r="S481" s="290" t="s">
        <v>1856</v>
      </c>
      <c r="T481" t="str">
        <f>IFERROR(VLOOKUP(ROWS($T$3:T481),$R$3:$S$718,2,0),"")</f>
        <v>Výroba keramických obkládaček a dlaždic</v>
      </c>
      <c r="U481">
        <f>IF(ISNUMBER(SEARCH('1Př1'!$A$33,N481)),MAX($M$2:M480)+1,0)</f>
        <v>479</v>
      </c>
      <c r="V481" s="290" t="s">
        <v>1856</v>
      </c>
      <c r="W481" t="str">
        <f>IFERROR(VLOOKUP(ROWS($W$3:W481),$U$3:$V$718,2,0),"")</f>
        <v>Výroba keramických obkládaček a dlaždic</v>
      </c>
      <c r="X481">
        <f>IF(ISNUMBER(SEARCH('1Př1'!$A$34,N481)),MAX($M$2:M480)+1,0)</f>
        <v>479</v>
      </c>
      <c r="Y481" s="290" t="s">
        <v>1856</v>
      </c>
      <c r="Z481" t="str">
        <f>IFERROR(VLOOKUP(ROWS($Z$3:Z481),$X$3:$Y$718,2,0),"")</f>
        <v>Výroba keramických obkládaček a dlaždic</v>
      </c>
    </row>
    <row r="482" spans="13:26" ht="12.75">
      <c r="M482" s="289">
        <f>IF(ISNUMBER(SEARCH(ZAKL_DATA!$B$29,N482)),MAX($M$2:M481)+1,0)</f>
        <v>480</v>
      </c>
      <c r="N482" s="482" t="s">
        <v>1867</v>
      </c>
      <c r="O482" s="482" t="s">
        <v>3303</v>
      </c>
      <c r="Q482" s="291" t="str">
        <f>IFERROR(VLOOKUP(ROWS($Q$3:Q482),$M$3:$N$718,2,0),"")</f>
        <v>Výroba betonu připraveného k lití</v>
      </c>
      <c r="R482">
        <f>IF(ISNUMBER(SEARCH('1Př1'!$A$32,N482)),MAX($M$2:M481)+1,0)</f>
        <v>480</v>
      </c>
      <c r="S482" s="290" t="s">
        <v>1857</v>
      </c>
      <c r="T482" t="str">
        <f>IFERROR(VLOOKUP(ROWS($T$3:T482),$R$3:$S$718,2,0),"")</f>
        <v>Výroba pálených zdicích materiálů, tašek, dlaždic a podobných výrobků</v>
      </c>
      <c r="U482">
        <f>IF(ISNUMBER(SEARCH('1Př1'!$A$33,N482)),MAX($M$2:M481)+1,0)</f>
        <v>480</v>
      </c>
      <c r="V482" s="290" t="s">
        <v>1857</v>
      </c>
      <c r="W482" t="str">
        <f>IFERROR(VLOOKUP(ROWS($W$3:W482),$U$3:$V$718,2,0),"")</f>
        <v>Výroba pálených zdicích materiálů, tašek, dlaždic a podobných výrobků</v>
      </c>
      <c r="X482">
        <f>IF(ISNUMBER(SEARCH('1Př1'!$A$34,N482)),MAX($M$2:M481)+1,0)</f>
        <v>480</v>
      </c>
      <c r="Y482" s="290" t="s">
        <v>1857</v>
      </c>
      <c r="Z482" t="str">
        <f>IFERROR(VLOOKUP(ROWS($Z$3:Z482),$X$3:$Y$718,2,0),"")</f>
        <v>Výroba pálených zdicích materiálů, tašek, dlaždic a podobných výrobků</v>
      </c>
    </row>
    <row r="483" spans="13:26" ht="12.75">
      <c r="M483" s="289">
        <f>IF(ISNUMBER(SEARCH(ZAKL_DATA!$B$29,N483)),MAX($M$2:M482)+1,0)</f>
        <v>481</v>
      </c>
      <c r="N483" s="482" t="s">
        <v>1945</v>
      </c>
      <c r="O483" s="482" t="s">
        <v>3304</v>
      </c>
      <c r="Q483" s="291" t="str">
        <f>IFERROR(VLOOKUP(ROWS($Q$3:Q483),$M$3:$N$718,2,0),"")</f>
        <v>Výroba bižuterie a příbuzných výrobků</v>
      </c>
      <c r="R483">
        <f>IF(ISNUMBER(SEARCH('1Př1'!$A$32,N483)),MAX($M$2:M482)+1,0)</f>
        <v>481</v>
      </c>
      <c r="S483" s="290" t="s">
        <v>1858</v>
      </c>
      <c r="T483" t="str">
        <f>IFERROR(VLOOKUP(ROWS($T$3:T483),$R$3:$S$718,2,0),"")</f>
        <v>Výroba keram.a porcelán.výrobků převážně pro domácnost a ozdob.předmětů</v>
      </c>
      <c r="U483">
        <f>IF(ISNUMBER(SEARCH('1Př1'!$A$33,N483)),MAX($M$2:M482)+1,0)</f>
        <v>481</v>
      </c>
      <c r="V483" s="290" t="s">
        <v>1858</v>
      </c>
      <c r="W483" t="str">
        <f>IFERROR(VLOOKUP(ROWS($W$3:W483),$U$3:$V$718,2,0),"")</f>
        <v>Výroba keram.a porcelán.výrobků převážně pro domácnost a ozdob.předmětů</v>
      </c>
      <c r="X483">
        <f>IF(ISNUMBER(SEARCH('1Př1'!$A$34,N483)),MAX($M$2:M482)+1,0)</f>
        <v>481</v>
      </c>
      <c r="Y483" s="290" t="s">
        <v>1858</v>
      </c>
      <c r="Z483" t="str">
        <f>IFERROR(VLOOKUP(ROWS($Z$3:Z483),$X$3:$Y$718,2,0),"")</f>
        <v>Výroba keram.a porcelán.výrobků převážně pro domácnost a ozdob.předmětů</v>
      </c>
    </row>
    <row r="484" spans="13:26" ht="12.75">
      <c r="M484" s="289">
        <f>IF(ISNUMBER(SEARCH(ZAKL_DATA!$B$29,N484)),MAX($M$2:M483)+1,0)</f>
        <v>482</v>
      </c>
      <c r="N484" s="482" t="s">
        <v>1871</v>
      </c>
      <c r="O484" s="482" t="s">
        <v>3305</v>
      </c>
      <c r="Q484" s="291" t="str">
        <f>IFERROR(VLOOKUP(ROWS($Q$3:Q484),$M$3:$N$718,2,0),"")</f>
        <v>Výroba brusiv</v>
      </c>
      <c r="R484">
        <f>IF(ISNUMBER(SEARCH('1Př1'!$A$32,N484)),MAX($M$2:M483)+1,0)</f>
        <v>482</v>
      </c>
      <c r="S484" s="290" t="s">
        <v>1859</v>
      </c>
      <c r="T484" t="str">
        <f>IFERROR(VLOOKUP(ROWS($T$3:T484),$R$3:$S$718,2,0),"")</f>
        <v>Výroba keramických sanitárních výrobků</v>
      </c>
      <c r="U484">
        <f>IF(ISNUMBER(SEARCH('1Př1'!$A$33,N484)),MAX($M$2:M483)+1,0)</f>
        <v>482</v>
      </c>
      <c r="V484" s="290" t="s">
        <v>1859</v>
      </c>
      <c r="W484" t="str">
        <f>IFERROR(VLOOKUP(ROWS($W$3:W484),$U$3:$V$718,2,0),"")</f>
        <v>Výroba keramických sanitárních výrobků</v>
      </c>
      <c r="X484">
        <f>IF(ISNUMBER(SEARCH('1Př1'!$A$34,N484)),MAX($M$2:M483)+1,0)</f>
        <v>482</v>
      </c>
      <c r="Y484" s="290" t="s">
        <v>1859</v>
      </c>
      <c r="Z484" t="str">
        <f>IFERROR(VLOOKUP(ROWS($Z$3:Z484),$X$3:$Y$718,2,0),"")</f>
        <v>Výroba keramických sanitárních výrobků</v>
      </c>
    </row>
    <row r="485" spans="13:26" ht="25.5">
      <c r="M485" s="289">
        <f>IF(ISNUMBER(SEARCH(ZAKL_DATA!$B$29,N485)),MAX($M$2:M484)+1,0)</f>
        <v>483</v>
      </c>
      <c r="N485" s="482" t="s">
        <v>3306</v>
      </c>
      <c r="O485" s="482" t="s">
        <v>3307</v>
      </c>
      <c r="Q485" s="291" t="str">
        <f>IFERROR(VLOOKUP(ROWS($Q$3:Q485),$M$3:$N$718,2,0),"")</f>
        <v>Výroba bytového textilu a konfekčních bytových textilií</v>
      </c>
      <c r="R485">
        <f>IF(ISNUMBER(SEARCH('1Př1'!$A$32,N485)),MAX($M$2:M484)+1,0)</f>
        <v>483</v>
      </c>
      <c r="S485" s="290" t="s">
        <v>1860</v>
      </c>
      <c r="T485" t="str">
        <f>IFERROR(VLOOKUP(ROWS($T$3:T485),$R$3:$S$718,2,0),"")</f>
        <v>Výroba keramických izolátorů a izolačního příslušenství</v>
      </c>
      <c r="U485">
        <f>IF(ISNUMBER(SEARCH('1Př1'!$A$33,N485)),MAX($M$2:M484)+1,0)</f>
        <v>483</v>
      </c>
      <c r="V485" s="290" t="s">
        <v>1860</v>
      </c>
      <c r="W485" t="str">
        <f>IFERROR(VLOOKUP(ROWS($W$3:W485),$U$3:$V$718,2,0),"")</f>
        <v>Výroba keramických izolátorů a izolačního příslušenství</v>
      </c>
      <c r="X485">
        <f>IF(ISNUMBER(SEARCH('1Př1'!$A$34,N485)),MAX($M$2:M484)+1,0)</f>
        <v>483</v>
      </c>
      <c r="Y485" s="290" t="s">
        <v>1860</v>
      </c>
      <c r="Z485" t="str">
        <f>IFERROR(VLOOKUP(ROWS($Z$3:Z485),$X$3:$Y$718,2,0),"")</f>
        <v>Výroba keramických izolátorů a izolačního příslušenství</v>
      </c>
    </row>
    <row r="486" spans="13:26" ht="12.75">
      <c r="M486" s="289">
        <f>IF(ISNUMBER(SEARCH(ZAKL_DATA!$B$29,N486)),MAX($M$2:M485)+1,0)</f>
        <v>484</v>
      </c>
      <c r="N486" s="482" t="s">
        <v>1863</v>
      </c>
      <c r="O486" s="482" t="s">
        <v>3308</v>
      </c>
      <c r="Q486" s="291" t="str">
        <f>IFERROR(VLOOKUP(ROWS($Q$3:Q486),$M$3:$N$718,2,0),"")</f>
        <v>Výroba cementu</v>
      </c>
      <c r="R486">
        <f>IF(ISNUMBER(SEARCH('1Př1'!$A$32,N486)),MAX($M$2:M485)+1,0)</f>
        <v>484</v>
      </c>
      <c r="S486" s="290" t="s">
        <v>1861</v>
      </c>
      <c r="T486" t="str">
        <f>IFERROR(VLOOKUP(ROWS($T$3:T486),$R$3:$S$718,2,0),"")</f>
        <v>Výroba ostatních technických keramických výrobků</v>
      </c>
      <c r="U486">
        <f>IF(ISNUMBER(SEARCH('1Př1'!$A$33,N486)),MAX($M$2:M485)+1,0)</f>
        <v>484</v>
      </c>
      <c r="V486" s="290" t="s">
        <v>1861</v>
      </c>
      <c r="W486" t="str">
        <f>IFERROR(VLOOKUP(ROWS($W$3:W486),$U$3:$V$718,2,0),"")</f>
        <v>Výroba ostatních technických keramických výrobků</v>
      </c>
      <c r="X486">
        <f>IF(ISNUMBER(SEARCH('1Př1'!$A$34,N486)),MAX($M$2:M485)+1,0)</f>
        <v>484</v>
      </c>
      <c r="Y486" s="290" t="s">
        <v>1861</v>
      </c>
      <c r="Z486" t="str">
        <f>IFERROR(VLOOKUP(ROWS($Z$3:Z486),$X$3:$Y$718,2,0),"")</f>
        <v>Výroba ostatních technických keramických výrobků</v>
      </c>
    </row>
    <row r="487" spans="13:26" ht="12.75">
      <c r="M487" s="289">
        <f>IF(ISNUMBER(SEARCH(ZAKL_DATA!$B$29,N487)),MAX($M$2:M486)+1,0)</f>
        <v>485</v>
      </c>
      <c r="N487" s="482" t="s">
        <v>3309</v>
      </c>
      <c r="O487" s="482" t="s">
        <v>3310</v>
      </c>
      <c r="Q487" s="291" t="str">
        <f>IFERROR(VLOOKUP(ROWS($Q$3:Q487),$M$3:$N$718,2,0),"")</f>
        <v>Výroba ciderů a jiných kvašených ovocných nápojů</v>
      </c>
      <c r="R487">
        <f>IF(ISNUMBER(SEARCH('1Př1'!$A$32,N487)),MAX($M$2:M486)+1,0)</f>
        <v>485</v>
      </c>
      <c r="S487" s="290" t="s">
        <v>1862</v>
      </c>
      <c r="T487" t="str">
        <f>IFERROR(VLOOKUP(ROWS($T$3:T487),$R$3:$S$718,2,0),"")</f>
        <v>Výroba ostatních keramických výrobků</v>
      </c>
      <c r="U487">
        <f>IF(ISNUMBER(SEARCH('1Př1'!$A$33,N487)),MAX($M$2:M486)+1,0)</f>
        <v>485</v>
      </c>
      <c r="V487" s="290" t="s">
        <v>1862</v>
      </c>
      <c r="W487" t="str">
        <f>IFERROR(VLOOKUP(ROWS($W$3:W487),$U$3:$V$718,2,0),"")</f>
        <v>Výroba ostatních keramických výrobků</v>
      </c>
      <c r="X487">
        <f>IF(ISNUMBER(SEARCH('1Př1'!$A$34,N487)),MAX($M$2:M486)+1,0)</f>
        <v>485</v>
      </c>
      <c r="Y487" s="290" t="s">
        <v>1862</v>
      </c>
      <c r="Z487" t="str">
        <f>IFERROR(VLOOKUP(ROWS($Z$3:Z487),$X$3:$Y$718,2,0),"")</f>
        <v>Výroba ostatních keramických výrobků</v>
      </c>
    </row>
    <row r="488" spans="13:26" ht="25.5">
      <c r="M488" s="289">
        <f>IF(ISNUMBER(SEARCH(ZAKL_DATA!$B$29,N488)),MAX($M$2:M487)+1,0)</f>
        <v>486</v>
      </c>
      <c r="N488" s="482" t="s">
        <v>3311</v>
      </c>
      <c r="O488" s="482" t="s">
        <v>3312</v>
      </c>
      <c r="Q488" s="291" t="str">
        <f>IFERROR(VLOOKUP(ROWS($Q$3:Q488),$M$3:$N$718,2,0),"")</f>
        <v>Výroba civilních letadel, kosmických lodí a souvisejících zařízení</v>
      </c>
      <c r="R488">
        <f>IF(ISNUMBER(SEARCH('1Př1'!$A$32,N488)),MAX($M$2:M487)+1,0)</f>
        <v>486</v>
      </c>
      <c r="S488" s="290" t="s">
        <v>1863</v>
      </c>
      <c r="T488" t="str">
        <f>IFERROR(VLOOKUP(ROWS($T$3:T488),$R$3:$S$718,2,0),"")</f>
        <v>Výroba cementu</v>
      </c>
      <c r="U488">
        <f>IF(ISNUMBER(SEARCH('1Př1'!$A$33,N488)),MAX($M$2:M487)+1,0)</f>
        <v>486</v>
      </c>
      <c r="V488" s="290" t="s">
        <v>1863</v>
      </c>
      <c r="W488" t="str">
        <f>IFERROR(VLOOKUP(ROWS($W$3:W488),$U$3:$V$718,2,0),"")</f>
        <v>Výroba cementu</v>
      </c>
      <c r="X488">
        <f>IF(ISNUMBER(SEARCH('1Př1'!$A$34,N488)),MAX($M$2:M487)+1,0)</f>
        <v>486</v>
      </c>
      <c r="Y488" s="290" t="s">
        <v>1863</v>
      </c>
      <c r="Z488" t="str">
        <f>IFERROR(VLOOKUP(ROWS($Z$3:Z488),$X$3:$Y$718,2,0),"")</f>
        <v>Výroba cementu</v>
      </c>
    </row>
    <row r="489" spans="13:26" ht="12.75">
      <c r="M489" s="289">
        <f>IF(ISNUMBER(SEARCH(ZAKL_DATA!$B$29,N489)),MAX($M$2:M488)+1,0)</f>
        <v>487</v>
      </c>
      <c r="N489" s="482" t="s">
        <v>1780</v>
      </c>
      <c r="O489" s="482" t="s">
        <v>3313</v>
      </c>
      <c r="Q489" s="291" t="str">
        <f>IFERROR(VLOOKUP(ROWS($Q$3:Q489),$M$3:$N$718,2,0),"")</f>
        <v>Výroba cukru</v>
      </c>
      <c r="R489">
        <f>IF(ISNUMBER(SEARCH('1Př1'!$A$32,N489)),MAX($M$2:M488)+1,0)</f>
        <v>487</v>
      </c>
      <c r="S489" s="290" t="s">
        <v>1864</v>
      </c>
      <c r="T489" t="str">
        <f>IFERROR(VLOOKUP(ROWS($T$3:T489),$R$3:$S$718,2,0),"")</f>
        <v>Výroba vápna a sádry</v>
      </c>
      <c r="U489">
        <f>IF(ISNUMBER(SEARCH('1Př1'!$A$33,N489)),MAX($M$2:M488)+1,0)</f>
        <v>487</v>
      </c>
      <c r="V489" s="290" t="s">
        <v>1864</v>
      </c>
      <c r="W489" t="str">
        <f>IFERROR(VLOOKUP(ROWS($W$3:W489),$U$3:$V$718,2,0),"")</f>
        <v>Výroba vápna a sádry</v>
      </c>
      <c r="X489">
        <f>IF(ISNUMBER(SEARCH('1Př1'!$A$34,N489)),MAX($M$2:M488)+1,0)</f>
        <v>487</v>
      </c>
      <c r="Y489" s="290" t="s">
        <v>1864</v>
      </c>
      <c r="Z489" t="str">
        <f>IFERROR(VLOOKUP(ROWS($Z$3:Z489),$X$3:$Y$718,2,0),"")</f>
        <v>Výroba vápna a sádry</v>
      </c>
    </row>
    <row r="490" spans="13:26" ht="12.75">
      <c r="M490" s="289">
        <f>IF(ISNUMBER(SEARCH(ZAKL_DATA!$B$29,N490)),MAX($M$2:M489)+1,0)</f>
        <v>488</v>
      </c>
      <c r="N490" s="482" t="s">
        <v>1904</v>
      </c>
      <c r="O490" s="482" t="s">
        <v>3314</v>
      </c>
      <c r="Q490" s="291" t="str">
        <f>IFERROR(VLOOKUP(ROWS($Q$3:Q490),$M$3:$N$718,2,0),"")</f>
        <v>Výroba časoměrných přístrojů</v>
      </c>
      <c r="R490">
        <f>IF(ISNUMBER(SEARCH('1Př1'!$A$32,N490)),MAX($M$2:M489)+1,0)</f>
        <v>488</v>
      </c>
      <c r="S490" s="290" t="s">
        <v>1865</v>
      </c>
      <c r="T490" t="str">
        <f>IFERROR(VLOOKUP(ROWS($T$3:T490),$R$3:$S$718,2,0),"")</f>
        <v>Výroba betonových výrobků pro stavební účely</v>
      </c>
      <c r="U490">
        <f>IF(ISNUMBER(SEARCH('1Př1'!$A$33,N490)),MAX($M$2:M489)+1,0)</f>
        <v>488</v>
      </c>
      <c r="V490" s="290" t="s">
        <v>1865</v>
      </c>
      <c r="W490" t="str">
        <f>IFERROR(VLOOKUP(ROWS($W$3:W490),$U$3:$V$718,2,0),"")</f>
        <v>Výroba betonových výrobků pro stavební účely</v>
      </c>
      <c r="X490">
        <f>IF(ISNUMBER(SEARCH('1Př1'!$A$34,N490)),MAX($M$2:M489)+1,0)</f>
        <v>488</v>
      </c>
      <c r="Y490" s="290" t="s">
        <v>1865</v>
      </c>
      <c r="Z490" t="str">
        <f>IFERROR(VLOOKUP(ROWS($Z$3:Z490),$X$3:$Y$718,2,0),"")</f>
        <v>Výroba betonových výrobků pro stavební účely</v>
      </c>
    </row>
    <row r="491" spans="13:26" ht="25.5">
      <c r="M491" s="289">
        <f>IF(ISNUMBER(SEARCH(ZAKL_DATA!$B$29,N491)),MAX($M$2:M490)+1,0)</f>
        <v>489</v>
      </c>
      <c r="N491" s="482" t="s">
        <v>1824</v>
      </c>
      <c r="O491" s="482" t="s">
        <v>3315</v>
      </c>
      <c r="Q491" s="291" t="str">
        <f>IFERROR(VLOOKUP(ROWS($Q$3:Q491),$M$3:$N$718,2,0),"")</f>
        <v>Výroba domácích potřeb, hygienických a toaletních výrobků z papíru</v>
      </c>
      <c r="R491">
        <f>IF(ISNUMBER(SEARCH('1Př1'!$A$32,N491)),MAX($M$2:M490)+1,0)</f>
        <v>489</v>
      </c>
      <c r="S491" s="290" t="s">
        <v>1866</v>
      </c>
      <c r="T491" t="str">
        <f>IFERROR(VLOOKUP(ROWS($T$3:T491),$R$3:$S$718,2,0),"")</f>
        <v>Výroba sádrových výrobků pro stavební účely</v>
      </c>
      <c r="U491">
        <f>IF(ISNUMBER(SEARCH('1Př1'!$A$33,N491)),MAX($M$2:M490)+1,0)</f>
        <v>489</v>
      </c>
      <c r="V491" s="290" t="s">
        <v>1866</v>
      </c>
      <c r="W491" t="str">
        <f>IFERROR(VLOOKUP(ROWS($W$3:W491),$U$3:$V$718,2,0),"")</f>
        <v>Výroba sádrových výrobků pro stavební účely</v>
      </c>
      <c r="X491">
        <f>IF(ISNUMBER(SEARCH('1Př1'!$A$34,N491)),MAX($M$2:M490)+1,0)</f>
        <v>489</v>
      </c>
      <c r="Y491" s="290" t="s">
        <v>1866</v>
      </c>
      <c r="Z491" t="str">
        <f>IFERROR(VLOOKUP(ROWS($Z$3:Z491),$X$3:$Y$718,2,0),"")</f>
        <v>Výroba sádrových výrobků pro stavební účely</v>
      </c>
    </row>
    <row r="492" spans="13:26" ht="12.75">
      <c r="M492" s="289">
        <f>IF(ISNUMBER(SEARCH(ZAKL_DATA!$B$29,N492)),MAX($M$2:M491)+1,0)</f>
        <v>490</v>
      </c>
      <c r="N492" s="482" t="s">
        <v>1898</v>
      </c>
      <c r="O492" s="482" t="s">
        <v>3316</v>
      </c>
      <c r="Q492" s="291" t="str">
        <f>IFERROR(VLOOKUP(ROWS($Q$3:Q492),$M$3:$N$718,2,0),"")</f>
        <v>Výroba drátěných výrobků, řetězů a pružin</v>
      </c>
      <c r="R492">
        <f>IF(ISNUMBER(SEARCH('1Př1'!$A$32,N492)),MAX($M$2:M491)+1,0)</f>
        <v>490</v>
      </c>
      <c r="S492" s="290" t="s">
        <v>1867</v>
      </c>
      <c r="T492" t="str">
        <f>IFERROR(VLOOKUP(ROWS($T$3:T492),$R$3:$S$718,2,0),"")</f>
        <v>Výroba betonu připraveného k lití</v>
      </c>
      <c r="U492">
        <f>IF(ISNUMBER(SEARCH('1Př1'!$A$33,N492)),MAX($M$2:M491)+1,0)</f>
        <v>490</v>
      </c>
      <c r="V492" s="290" t="s">
        <v>1867</v>
      </c>
      <c r="W492" t="str">
        <f>IFERROR(VLOOKUP(ROWS($W$3:W492),$U$3:$V$718,2,0),"")</f>
        <v>Výroba betonu připraveného k lití</v>
      </c>
      <c r="X492">
        <f>IF(ISNUMBER(SEARCH('1Př1'!$A$34,N492)),MAX($M$2:M491)+1,0)</f>
        <v>490</v>
      </c>
      <c r="Y492" s="290" t="s">
        <v>1867</v>
      </c>
      <c r="Z492" t="str">
        <f>IFERROR(VLOOKUP(ROWS($Z$3:Z492),$X$3:$Y$718,2,0),"")</f>
        <v>Výroba betonu připraveného k lití</v>
      </c>
    </row>
    <row r="493" spans="13:26" ht="12.75">
      <c r="M493" s="289">
        <f>IF(ISNUMBER(SEARCH(ZAKL_DATA!$B$29,N493)),MAX($M$2:M492)+1,0)</f>
        <v>491</v>
      </c>
      <c r="N493" s="482" t="s">
        <v>3317</v>
      </c>
      <c r="O493" s="482" t="s">
        <v>3318</v>
      </c>
      <c r="Q493" s="291" t="str">
        <f>IFERROR(VLOOKUP(ROWS($Q$3:Q493),$M$3:$N$718,2,0),"")</f>
        <v>Výroba dřevěných dveří a oken</v>
      </c>
      <c r="R493">
        <f>IF(ISNUMBER(SEARCH('1Př1'!$A$32,N493)),MAX($M$2:M492)+1,0)</f>
        <v>491</v>
      </c>
      <c r="S493" s="290" t="s">
        <v>1868</v>
      </c>
      <c r="T493" t="str">
        <f>IFERROR(VLOOKUP(ROWS($T$3:T493),$R$3:$S$718,2,0),"")</f>
        <v>Výroba malt</v>
      </c>
      <c r="U493">
        <f>IF(ISNUMBER(SEARCH('1Př1'!$A$33,N493)),MAX($M$2:M492)+1,0)</f>
        <v>491</v>
      </c>
      <c r="V493" s="290" t="s">
        <v>1868</v>
      </c>
      <c r="W493" t="str">
        <f>IFERROR(VLOOKUP(ROWS($W$3:W493),$U$3:$V$718,2,0),"")</f>
        <v>Výroba malt</v>
      </c>
      <c r="X493">
        <f>IF(ISNUMBER(SEARCH('1Př1'!$A$34,N493)),MAX($M$2:M492)+1,0)</f>
        <v>491</v>
      </c>
      <c r="Y493" s="290" t="s">
        <v>1868</v>
      </c>
      <c r="Z493" t="str">
        <f>IFERROR(VLOOKUP(ROWS($Z$3:Z493),$X$3:$Y$718,2,0),"")</f>
        <v>Výroba malt</v>
      </c>
    </row>
    <row r="494" spans="13:26" ht="12.75">
      <c r="M494" s="289">
        <f>IF(ISNUMBER(SEARCH(ZAKL_DATA!$B$29,N494)),MAX($M$2:M493)+1,0)</f>
        <v>492</v>
      </c>
      <c r="N494" s="482" t="s">
        <v>1819</v>
      </c>
      <c r="O494" s="482" t="s">
        <v>3319</v>
      </c>
      <c r="Q494" s="291" t="str">
        <f>IFERROR(VLOOKUP(ROWS($Q$3:Q494),$M$3:$N$718,2,0),"")</f>
        <v>Výroba dřevěných obalů</v>
      </c>
      <c r="R494">
        <f>IF(ISNUMBER(SEARCH('1Př1'!$A$32,N494)),MAX($M$2:M493)+1,0)</f>
        <v>492</v>
      </c>
      <c r="S494" s="290" t="s">
        <v>1869</v>
      </c>
      <c r="T494" t="str">
        <f>IFERROR(VLOOKUP(ROWS($T$3:T494),$R$3:$S$718,2,0),"")</f>
        <v>Výroba vláknitých cementů</v>
      </c>
      <c r="U494">
        <f>IF(ISNUMBER(SEARCH('1Př1'!$A$33,N494)),MAX($M$2:M493)+1,0)</f>
        <v>492</v>
      </c>
      <c r="V494" s="290" t="s">
        <v>1869</v>
      </c>
      <c r="W494" t="str">
        <f>IFERROR(VLOOKUP(ROWS($W$3:W494),$U$3:$V$718,2,0),"")</f>
        <v>Výroba vláknitých cementů</v>
      </c>
      <c r="X494">
        <f>IF(ISNUMBER(SEARCH('1Př1'!$A$34,N494)),MAX($M$2:M493)+1,0)</f>
        <v>492</v>
      </c>
      <c r="Y494" s="290" t="s">
        <v>1869</v>
      </c>
      <c r="Z494" t="str">
        <f>IFERROR(VLOOKUP(ROWS($Z$3:Z494),$X$3:$Y$718,2,0),"")</f>
        <v>Výroba vláknitých cementů</v>
      </c>
    </row>
    <row r="495" spans="13:26" ht="12.75">
      <c r="M495" s="289">
        <f>IF(ISNUMBER(SEARCH(ZAKL_DATA!$B$29,N495)),MAX($M$2:M494)+1,0)</f>
        <v>493</v>
      </c>
      <c r="N495" s="482" t="s">
        <v>1853</v>
      </c>
      <c r="O495" s="482" t="s">
        <v>3320</v>
      </c>
      <c r="Q495" s="291" t="str">
        <f>IFERROR(VLOOKUP(ROWS($Q$3:Q495),$M$3:$N$718,2,0),"")</f>
        <v>Výroba dutého skla</v>
      </c>
      <c r="R495">
        <f>IF(ISNUMBER(SEARCH('1Př1'!$A$32,N495)),MAX($M$2:M494)+1,0)</f>
        <v>493</v>
      </c>
      <c r="S495" s="290" t="s">
        <v>1870</v>
      </c>
      <c r="T495" t="str">
        <f>IFERROR(VLOOKUP(ROWS($T$3:T495),$R$3:$S$718,2,0),"")</f>
        <v>Výroba ostatních betonových, cementových a sádrových výrobků</v>
      </c>
      <c r="U495">
        <f>IF(ISNUMBER(SEARCH('1Př1'!$A$33,N495)),MAX($M$2:M494)+1,0)</f>
        <v>493</v>
      </c>
      <c r="V495" s="290" t="s">
        <v>1870</v>
      </c>
      <c r="W495" t="str">
        <f>IFERROR(VLOOKUP(ROWS($W$3:W495),$U$3:$V$718,2,0),"")</f>
        <v>Výroba ostatních betonových, cementových a sádrových výrobků</v>
      </c>
      <c r="X495">
        <f>IF(ISNUMBER(SEARCH('1Př1'!$A$34,N495)),MAX($M$2:M494)+1,0)</f>
        <v>493</v>
      </c>
      <c r="Y495" s="290" t="s">
        <v>1870</v>
      </c>
      <c r="Z495" t="str">
        <f>IFERROR(VLOOKUP(ROWS($Z$3:Z495),$X$3:$Y$718,2,0),"")</f>
        <v>Výroba ostatních betonových, cementových a sádrových výrobků</v>
      </c>
    </row>
    <row r="496" spans="13:26" ht="12.75">
      <c r="M496" s="289">
        <f>IF(ISNUMBER(SEARCH(ZAKL_DATA!$B$29,N496)),MAX($M$2:M495)+1,0)</f>
        <v>494</v>
      </c>
      <c r="N496" s="482" t="s">
        <v>1816</v>
      </c>
      <c r="O496" s="482" t="s">
        <v>3321</v>
      </c>
      <c r="Q496" s="291" t="str">
        <f>IFERROR(VLOOKUP(ROWS($Q$3:Q496),$M$3:$N$718,2,0),"")</f>
        <v>Výroba dýh a desek na bázi dřeva</v>
      </c>
      <c r="R496">
        <f>IF(ISNUMBER(SEARCH('1Př1'!$A$32,N496)),MAX($M$2:M495)+1,0)</f>
        <v>494</v>
      </c>
      <c r="S496" s="290" t="s">
        <v>1871</v>
      </c>
      <c r="T496" t="str">
        <f>IFERROR(VLOOKUP(ROWS($T$3:T496),$R$3:$S$718,2,0),"")</f>
        <v>Výroba brusiv</v>
      </c>
      <c r="U496">
        <f>IF(ISNUMBER(SEARCH('1Př1'!$A$33,N496)),MAX($M$2:M495)+1,0)</f>
        <v>494</v>
      </c>
      <c r="V496" s="290" t="s">
        <v>1871</v>
      </c>
      <c r="W496" t="str">
        <f>IFERROR(VLOOKUP(ROWS($W$3:W496),$U$3:$V$718,2,0),"")</f>
        <v>Výroba brusiv</v>
      </c>
      <c r="X496">
        <f>IF(ISNUMBER(SEARCH('1Př1'!$A$34,N496)),MAX($M$2:M495)+1,0)</f>
        <v>494</v>
      </c>
      <c r="Y496" s="290" t="s">
        <v>1871</v>
      </c>
      <c r="Z496" t="str">
        <f>IFERROR(VLOOKUP(ROWS($Z$3:Z496),$X$3:$Y$718,2,0),"")</f>
        <v>Výroba brusiv</v>
      </c>
    </row>
    <row r="497" spans="13:26" ht="25.5">
      <c r="M497" s="289">
        <f>IF(ISNUMBER(SEARCH(ZAKL_DATA!$B$29,N497)),MAX($M$2:M496)+1,0)</f>
        <v>495</v>
      </c>
      <c r="N497" s="482" t="s">
        <v>1932</v>
      </c>
      <c r="O497" s="482" t="s">
        <v>3322</v>
      </c>
      <c r="Q497" s="291" t="str">
        <f>IFERROR(VLOOKUP(ROWS($Q$3:Q497),$M$3:$N$718,2,0),"")</f>
        <v>Výroba elektrického a elektronického zařízení pro motorová vozidla</v>
      </c>
      <c r="R497">
        <f>IF(ISNUMBER(SEARCH('1Př1'!$A$32,N497)),MAX($M$2:M496)+1,0)</f>
        <v>495</v>
      </c>
      <c r="S497" s="290" t="s">
        <v>1872</v>
      </c>
      <c r="T497" t="str">
        <f>IFERROR(VLOOKUP(ROWS($T$3:T497),$R$3:$S$718,2,0),"")</f>
        <v>Výroba ostatních nekovových minerálních výrobků j.n.</v>
      </c>
      <c r="U497">
        <f>IF(ISNUMBER(SEARCH('1Př1'!$A$33,N497)),MAX($M$2:M496)+1,0)</f>
        <v>495</v>
      </c>
      <c r="V497" s="290" t="s">
        <v>1872</v>
      </c>
      <c r="W497" t="str">
        <f>IFERROR(VLOOKUP(ROWS($W$3:W497),$U$3:$V$718,2,0),"")</f>
        <v>Výroba ostatních nekovových minerálních výrobků j.n.</v>
      </c>
      <c r="X497">
        <f>IF(ISNUMBER(SEARCH('1Př1'!$A$34,N497)),MAX($M$2:M496)+1,0)</f>
        <v>495</v>
      </c>
      <c r="Y497" s="290" t="s">
        <v>1872</v>
      </c>
      <c r="Z497" t="str">
        <f>IFERROR(VLOOKUP(ROWS($Z$3:Z497),$X$3:$Y$718,2,0),"")</f>
        <v>Výroba ostatních nekovových minerálních výrobků j.n.</v>
      </c>
    </row>
    <row r="498" spans="13:26" ht="25.5">
      <c r="M498" s="289">
        <f>IF(ISNUMBER(SEARCH(ZAKL_DATA!$B$29,N498)),MAX($M$2:M497)+1,0)</f>
        <v>496</v>
      </c>
      <c r="N498" s="482" t="s">
        <v>1905</v>
      </c>
      <c r="O498" s="482" t="s">
        <v>3323</v>
      </c>
      <c r="Q498" s="291" t="str">
        <f>IFERROR(VLOOKUP(ROWS($Q$3:Q498),$M$3:$N$718,2,0),"")</f>
        <v>Výroba elektrických motorů, generátorů a transformátorů</v>
      </c>
      <c r="R498">
        <f>IF(ISNUMBER(SEARCH('1Př1'!$A$32,N498)),MAX($M$2:M497)+1,0)</f>
        <v>496</v>
      </c>
      <c r="S498" s="290" t="s">
        <v>1873</v>
      </c>
      <c r="T498" t="str">
        <f>IFERROR(VLOOKUP(ROWS($T$3:T498),$R$3:$S$718,2,0),"")</f>
        <v>Tažení tyčí za studena</v>
      </c>
      <c r="U498">
        <f>IF(ISNUMBER(SEARCH('1Př1'!$A$33,N498)),MAX($M$2:M497)+1,0)</f>
        <v>496</v>
      </c>
      <c r="V498" s="290" t="s">
        <v>1873</v>
      </c>
      <c r="W498" t="str">
        <f>IFERROR(VLOOKUP(ROWS($W$3:W498),$U$3:$V$718,2,0),"")</f>
        <v>Tažení tyčí za studena</v>
      </c>
      <c r="X498">
        <f>IF(ISNUMBER(SEARCH('1Př1'!$A$34,N498)),MAX($M$2:M497)+1,0)</f>
        <v>496</v>
      </c>
      <c r="Y498" s="290" t="s">
        <v>1873</v>
      </c>
      <c r="Z498" t="str">
        <f>IFERROR(VLOOKUP(ROWS($Z$3:Z498),$X$3:$Y$718,2,0),"")</f>
        <v>Tažení tyčí za studena</v>
      </c>
    </row>
    <row r="499" spans="13:26" ht="25.5">
      <c r="M499" s="289">
        <f>IF(ISNUMBER(SEARCH(ZAKL_DATA!$B$29,N499)),MAX($M$2:M498)+1,0)</f>
        <v>497</v>
      </c>
      <c r="N499" s="482" t="s">
        <v>1906</v>
      </c>
      <c r="O499" s="482" t="s">
        <v>3324</v>
      </c>
      <c r="Q499" s="291" t="str">
        <f>IFERROR(VLOOKUP(ROWS($Q$3:Q499),$M$3:$N$718,2,0),"")</f>
        <v>Výroba elektrických rozvodných a kontrolních zařízení</v>
      </c>
      <c r="R499">
        <f>IF(ISNUMBER(SEARCH('1Př1'!$A$32,N499)),MAX($M$2:M498)+1,0)</f>
        <v>497</v>
      </c>
      <c r="S499" s="290" t="s">
        <v>1874</v>
      </c>
      <c r="T499" t="str">
        <f>IFERROR(VLOOKUP(ROWS($T$3:T499),$R$3:$S$718,2,0),"")</f>
        <v>Válcování ocelových úzkých pásů za studena</v>
      </c>
      <c r="U499">
        <f>IF(ISNUMBER(SEARCH('1Př1'!$A$33,N499)),MAX($M$2:M498)+1,0)</f>
        <v>497</v>
      </c>
      <c r="V499" s="290" t="s">
        <v>1874</v>
      </c>
      <c r="W499" t="str">
        <f>IFERROR(VLOOKUP(ROWS($W$3:W499),$U$3:$V$718,2,0),"")</f>
        <v>Válcování ocelových úzkých pásů za studena</v>
      </c>
      <c r="X499">
        <f>IF(ISNUMBER(SEARCH('1Př1'!$A$34,N499)),MAX($M$2:M498)+1,0)</f>
        <v>497</v>
      </c>
      <c r="Y499" s="290" t="s">
        <v>1874</v>
      </c>
      <c r="Z499" t="str">
        <f>IFERROR(VLOOKUP(ROWS($Z$3:Z499),$X$3:$Y$718,2,0),"")</f>
        <v>Válcování ocelových úzkých pásů za studena</v>
      </c>
    </row>
    <row r="500" spans="13:26" ht="25.5">
      <c r="M500" s="289">
        <f>IF(ISNUMBER(SEARCH(ZAKL_DATA!$B$29,N500)),MAX($M$2:M499)+1,0)</f>
        <v>498</v>
      </c>
      <c r="N500" s="482" t="s">
        <v>1910</v>
      </c>
      <c r="O500" s="482" t="s">
        <v>3325</v>
      </c>
      <c r="Q500" s="291" t="str">
        <f>IFERROR(VLOOKUP(ROWS($Q$3:Q500),$M$3:$N$718,2,0),"")</f>
        <v>Výroba elektrických spotřebičů převážně pro domácnost</v>
      </c>
      <c r="R500">
        <f>IF(ISNUMBER(SEARCH('1Př1'!$A$32,N500)),MAX($M$2:M499)+1,0)</f>
        <v>498</v>
      </c>
      <c r="S500" s="290" t="s">
        <v>1875</v>
      </c>
      <c r="T500" t="str">
        <f>IFERROR(VLOOKUP(ROWS($T$3:T500),$R$3:$S$718,2,0),"")</f>
        <v>Tváření ocelových profilů za studena</v>
      </c>
      <c r="U500">
        <f>IF(ISNUMBER(SEARCH('1Př1'!$A$33,N500)),MAX($M$2:M499)+1,0)</f>
        <v>498</v>
      </c>
      <c r="V500" s="290" t="s">
        <v>1875</v>
      </c>
      <c r="W500" t="str">
        <f>IFERROR(VLOOKUP(ROWS($W$3:W500),$U$3:$V$718,2,0),"")</f>
        <v>Tváření ocelových profilů za studena</v>
      </c>
      <c r="X500">
        <f>IF(ISNUMBER(SEARCH('1Př1'!$A$34,N500)),MAX($M$2:M499)+1,0)</f>
        <v>498</v>
      </c>
      <c r="Y500" s="290" t="s">
        <v>1875</v>
      </c>
      <c r="Z500" t="str">
        <f>IFERROR(VLOOKUP(ROWS($Z$3:Z500),$X$3:$Y$718,2,0),"")</f>
        <v>Tváření ocelových profilů za studena</v>
      </c>
    </row>
    <row r="501" spans="13:26" ht="12.75">
      <c r="M501" s="289">
        <f>IF(ISNUMBER(SEARCH(ZAKL_DATA!$B$29,N501)),MAX($M$2:M500)+1,0)</f>
        <v>499</v>
      </c>
      <c r="N501" s="482" t="s">
        <v>1909</v>
      </c>
      <c r="O501" s="482" t="s">
        <v>3326</v>
      </c>
      <c r="Q501" s="291" t="str">
        <f>IFERROR(VLOOKUP(ROWS($Q$3:Q501),$M$3:$N$718,2,0),"")</f>
        <v>Výroba elektroinstalačních zařízení</v>
      </c>
      <c r="R501">
        <f>IF(ISNUMBER(SEARCH('1Př1'!$A$32,N501)),MAX($M$2:M500)+1,0)</f>
        <v>499</v>
      </c>
      <c r="S501" s="290" t="s">
        <v>1876</v>
      </c>
      <c r="T501" t="str">
        <f>IFERROR(VLOOKUP(ROWS($T$3:T501),$R$3:$S$718,2,0),"")</f>
        <v>Tažení ocelového drátu za studena</v>
      </c>
      <c r="U501">
        <f>IF(ISNUMBER(SEARCH('1Př1'!$A$33,N501)),MAX($M$2:M500)+1,0)</f>
        <v>499</v>
      </c>
      <c r="V501" s="290" t="s">
        <v>1876</v>
      </c>
      <c r="W501" t="str">
        <f>IFERROR(VLOOKUP(ROWS($W$3:W501),$U$3:$V$718,2,0),"")</f>
        <v>Tažení ocelového drátu za studena</v>
      </c>
      <c r="X501">
        <f>IF(ISNUMBER(SEARCH('1Př1'!$A$34,N501)),MAX($M$2:M500)+1,0)</f>
        <v>499</v>
      </c>
      <c r="Y501" s="290" t="s">
        <v>1876</v>
      </c>
      <c r="Z501" t="str">
        <f>IFERROR(VLOOKUP(ROWS($Z$3:Z501),$X$3:$Y$718,2,0),"")</f>
        <v>Tažení ocelového drátu za studena</v>
      </c>
    </row>
    <row r="502" spans="13:26" ht="12.75">
      <c r="M502" s="289">
        <f>IF(ISNUMBER(SEARCH(ZAKL_DATA!$B$29,N502)),MAX($M$2:M501)+1,0)</f>
        <v>500</v>
      </c>
      <c r="N502" s="482" t="s">
        <v>1901</v>
      </c>
      <c r="O502" s="482" t="s">
        <v>3327</v>
      </c>
      <c r="Q502" s="291" t="str">
        <f>IFERROR(VLOOKUP(ROWS($Q$3:Q502),$M$3:$N$718,2,0),"")</f>
        <v>Výroba elektronických součástek</v>
      </c>
      <c r="R502">
        <f>IF(ISNUMBER(SEARCH('1Př1'!$A$32,N502)),MAX($M$2:M501)+1,0)</f>
        <v>500</v>
      </c>
      <c r="S502" s="290" t="s">
        <v>1877</v>
      </c>
      <c r="T502" t="str">
        <f>IFERROR(VLOOKUP(ROWS($T$3:T502),$R$3:$S$718,2,0),"")</f>
        <v>Výroba a hutní zpracování drahých kovů</v>
      </c>
      <c r="U502">
        <f>IF(ISNUMBER(SEARCH('1Př1'!$A$33,N502)),MAX($M$2:M501)+1,0)</f>
        <v>500</v>
      </c>
      <c r="V502" s="290" t="s">
        <v>1877</v>
      </c>
      <c r="W502" t="str">
        <f>IFERROR(VLOOKUP(ROWS($W$3:W502),$U$3:$V$718,2,0),"")</f>
        <v>Výroba a hutní zpracování drahých kovů</v>
      </c>
      <c r="X502">
        <f>IF(ISNUMBER(SEARCH('1Př1'!$A$34,N502)),MAX($M$2:M501)+1,0)</f>
        <v>500</v>
      </c>
      <c r="Y502" s="290" t="s">
        <v>1877</v>
      </c>
      <c r="Z502" t="str">
        <f>IFERROR(VLOOKUP(ROWS($Z$3:Z502),$X$3:$Y$718,2,0),"")</f>
        <v>Výroba a hutní zpracování drahých kovů</v>
      </c>
    </row>
    <row r="503" spans="13:26" ht="12.75">
      <c r="M503" s="289">
        <f>IF(ISNUMBER(SEARCH(ZAKL_DATA!$B$29,N503)),MAX($M$2:M502)+1,0)</f>
        <v>501</v>
      </c>
      <c r="N503" s="482" t="s">
        <v>3328</v>
      </c>
      <c r="O503" s="482" t="s">
        <v>3329</v>
      </c>
      <c r="Q503" s="291" t="str">
        <f>IFERROR(VLOOKUP(ROWS($Q$3:Q503),$M$3:$N$718,2,0),"")</f>
        <v>Výroba elektřiny z neobnovitelných zdrojů</v>
      </c>
      <c r="R503">
        <f>IF(ISNUMBER(SEARCH('1Př1'!$A$32,N503)),MAX($M$2:M502)+1,0)</f>
        <v>501</v>
      </c>
      <c r="S503" s="290" t="s">
        <v>1878</v>
      </c>
      <c r="T503" t="str">
        <f>IFERROR(VLOOKUP(ROWS($T$3:T503),$R$3:$S$718,2,0),"")</f>
        <v>Výroba a hutní zpracování hliníku</v>
      </c>
      <c r="U503">
        <f>IF(ISNUMBER(SEARCH('1Př1'!$A$33,N503)),MAX($M$2:M502)+1,0)</f>
        <v>501</v>
      </c>
      <c r="V503" s="290" t="s">
        <v>1878</v>
      </c>
      <c r="W503" t="str">
        <f>IFERROR(VLOOKUP(ROWS($W$3:W503),$U$3:$V$718,2,0),"")</f>
        <v>Výroba a hutní zpracování hliníku</v>
      </c>
      <c r="X503">
        <f>IF(ISNUMBER(SEARCH('1Př1'!$A$34,N503)),MAX($M$2:M502)+1,0)</f>
        <v>501</v>
      </c>
      <c r="Y503" s="290" t="s">
        <v>1878</v>
      </c>
      <c r="Z503" t="str">
        <f>IFERROR(VLOOKUP(ROWS($Z$3:Z503),$X$3:$Y$718,2,0),"")</f>
        <v>Výroba a hutní zpracování hliníku</v>
      </c>
    </row>
    <row r="504" spans="13:26" ht="12.75">
      <c r="M504" s="289">
        <f>IF(ISNUMBER(SEARCH(ZAKL_DATA!$B$29,N504)),MAX($M$2:M503)+1,0)</f>
        <v>502</v>
      </c>
      <c r="N504" s="482" t="s">
        <v>3330</v>
      </c>
      <c r="O504" s="482" t="s">
        <v>3331</v>
      </c>
      <c r="Q504" s="291" t="str">
        <f>IFERROR(VLOOKUP(ROWS($Q$3:Q504),$M$3:$N$718,2,0),"")</f>
        <v>Výroba elektřiny z obnovitelných zdrojů</v>
      </c>
      <c r="R504">
        <f>IF(ISNUMBER(SEARCH('1Př1'!$A$32,N504)),MAX($M$2:M503)+1,0)</f>
        <v>502</v>
      </c>
      <c r="S504" s="290" t="s">
        <v>1879</v>
      </c>
      <c r="T504" t="str">
        <f>IFERROR(VLOOKUP(ROWS($T$3:T504),$R$3:$S$718,2,0),"")</f>
        <v>Výroba a hutní zpracování olova, zinku a cínu</v>
      </c>
      <c r="U504">
        <f>IF(ISNUMBER(SEARCH('1Př1'!$A$33,N504)),MAX($M$2:M503)+1,0)</f>
        <v>502</v>
      </c>
      <c r="V504" s="290" t="s">
        <v>1879</v>
      </c>
      <c r="W504" t="str">
        <f>IFERROR(VLOOKUP(ROWS($W$3:W504),$U$3:$V$718,2,0),"")</f>
        <v>Výroba a hutní zpracování olova, zinku a cínu</v>
      </c>
      <c r="X504">
        <f>IF(ISNUMBER(SEARCH('1Př1'!$A$34,N504)),MAX($M$2:M503)+1,0)</f>
        <v>502</v>
      </c>
      <c r="Y504" s="290" t="s">
        <v>1879</v>
      </c>
      <c r="Z504" t="str">
        <f>IFERROR(VLOOKUP(ROWS($Z$3:Z504),$X$3:$Y$718,2,0),"")</f>
        <v>Výroba a hutní zpracování olova, zinku a cínu</v>
      </c>
    </row>
    <row r="505" spans="13:26" ht="12.75">
      <c r="M505" s="289">
        <f>IF(ISNUMBER(SEARCH(ZAKL_DATA!$B$29,N505)),MAX($M$2:M504)+1,0)</f>
        <v>503</v>
      </c>
      <c r="N505" s="482" t="s">
        <v>1367</v>
      </c>
      <c r="O505" s="482" t="s">
        <v>3332</v>
      </c>
      <c r="Q505" s="291" t="str">
        <f>IFERROR(VLOOKUP(ROWS($Q$3:Q505),$M$3:$N$718,2,0),"")</f>
        <v>Výroba farmaceutických přípravků</v>
      </c>
      <c r="R505">
        <f>IF(ISNUMBER(SEARCH('1Př1'!$A$32,N505)),MAX($M$2:M504)+1,0)</f>
        <v>503</v>
      </c>
      <c r="S505" s="290" t="s">
        <v>1880</v>
      </c>
      <c r="T505" t="str">
        <f>IFERROR(VLOOKUP(ROWS($T$3:T505),$R$3:$S$718,2,0),"")</f>
        <v>Výroba a hutní zpracování mědi</v>
      </c>
      <c r="U505">
        <f>IF(ISNUMBER(SEARCH('1Př1'!$A$33,N505)),MAX($M$2:M504)+1,0)</f>
        <v>503</v>
      </c>
      <c r="V505" s="290" t="s">
        <v>1880</v>
      </c>
      <c r="W505" t="str">
        <f>IFERROR(VLOOKUP(ROWS($W$3:W505),$U$3:$V$718,2,0),"")</f>
        <v>Výroba a hutní zpracování mědi</v>
      </c>
      <c r="X505">
        <f>IF(ISNUMBER(SEARCH('1Př1'!$A$34,N505)),MAX($M$2:M504)+1,0)</f>
        <v>503</v>
      </c>
      <c r="Y505" s="290" t="s">
        <v>1880</v>
      </c>
      <c r="Z505" t="str">
        <f>IFERROR(VLOOKUP(ROWS($Z$3:Z505),$X$3:$Y$718,2,0),"")</f>
        <v>Výroba a hutní zpracování mědi</v>
      </c>
    </row>
    <row r="506" spans="13:26" ht="12.75">
      <c r="M506" s="289">
        <f>IF(ISNUMBER(SEARCH(ZAKL_DATA!$B$29,N506)),MAX($M$2:M505)+1,0)</f>
        <v>504</v>
      </c>
      <c r="N506" s="482" t="s">
        <v>1569</v>
      </c>
      <c r="O506" s="482" t="s">
        <v>3333</v>
      </c>
      <c r="Q506" s="291" t="str">
        <f>IFERROR(VLOOKUP(ROWS($Q$3:Q506),$M$3:$N$718,2,0),"")</f>
        <v>Výroba her a hraček</v>
      </c>
      <c r="R506">
        <f>IF(ISNUMBER(SEARCH('1Př1'!$A$32,N506)),MAX($M$2:M505)+1,0)</f>
        <v>504</v>
      </c>
      <c r="S506" s="290" t="s">
        <v>1881</v>
      </c>
      <c r="T506" t="str">
        <f>IFERROR(VLOOKUP(ROWS($T$3:T506),$R$3:$S$718,2,0),"")</f>
        <v>Výroba a hutní zpracování ostatních neželezných kovů</v>
      </c>
      <c r="U506">
        <f>IF(ISNUMBER(SEARCH('1Př1'!$A$33,N506)),MAX($M$2:M505)+1,0)</f>
        <v>504</v>
      </c>
      <c r="V506" s="290" t="s">
        <v>1881</v>
      </c>
      <c r="W506" t="str">
        <f>IFERROR(VLOOKUP(ROWS($W$3:W506),$U$3:$V$718,2,0),"")</f>
        <v>Výroba a hutní zpracování ostatních neželezných kovů</v>
      </c>
      <c r="X506">
        <f>IF(ISNUMBER(SEARCH('1Př1'!$A$34,N506)),MAX($M$2:M505)+1,0)</f>
        <v>504</v>
      </c>
      <c r="Y506" s="290" t="s">
        <v>1881</v>
      </c>
      <c r="Z506" t="str">
        <f>IFERROR(VLOOKUP(ROWS($Z$3:Z506),$X$3:$Y$718,2,0),"")</f>
        <v>Výroba a hutní zpracování ostatních neželezných kovů</v>
      </c>
    </row>
    <row r="507" spans="13:26" ht="12.75">
      <c r="M507" s="289">
        <f>IF(ISNUMBER(SEARCH(ZAKL_DATA!$B$29,N507)),MAX($M$2:M506)+1,0)</f>
        <v>505</v>
      </c>
      <c r="N507" s="482" t="s">
        <v>1836</v>
      </c>
      <c r="O507" s="482" t="s">
        <v>3334</v>
      </c>
      <c r="Q507" s="291" t="str">
        <f>IFERROR(VLOOKUP(ROWS($Q$3:Q507),$M$3:$N$718,2,0),"")</f>
        <v>Výroba hnojiv a dusíkatých sloučenin</v>
      </c>
      <c r="R507">
        <f>IF(ISNUMBER(SEARCH('1Př1'!$A$32,N507)),MAX($M$2:M506)+1,0)</f>
        <v>505</v>
      </c>
      <c r="S507" s="290" t="s">
        <v>1882</v>
      </c>
      <c r="T507" t="str">
        <f>IFERROR(VLOOKUP(ROWS($T$3:T507),$R$3:$S$718,2,0),"")</f>
        <v>Zpracování jaderného paliva</v>
      </c>
      <c r="U507">
        <f>IF(ISNUMBER(SEARCH('1Př1'!$A$33,N507)),MAX($M$2:M506)+1,0)</f>
        <v>505</v>
      </c>
      <c r="V507" s="290" t="s">
        <v>1882</v>
      </c>
      <c r="W507" t="str">
        <f>IFERROR(VLOOKUP(ROWS($W$3:W507),$U$3:$V$718,2,0),"")</f>
        <v>Zpracování jaderného paliva</v>
      </c>
      <c r="X507">
        <f>IF(ISNUMBER(SEARCH('1Př1'!$A$34,N507)),MAX($M$2:M506)+1,0)</f>
        <v>505</v>
      </c>
      <c r="Y507" s="290" t="s">
        <v>1882</v>
      </c>
      <c r="Z507" t="str">
        <f>IFERROR(VLOOKUP(ROWS($Z$3:Z507),$X$3:$Y$718,2,0),"")</f>
        <v>Zpracování jaderného paliva</v>
      </c>
    </row>
    <row r="508" spans="13:26" ht="25.5">
      <c r="M508" s="289">
        <f>IF(ISNUMBER(SEARCH(ZAKL_DATA!$B$29,N508)),MAX($M$2:M507)+1,0)</f>
        <v>506</v>
      </c>
      <c r="N508" s="482" t="s">
        <v>3335</v>
      </c>
      <c r="O508" s="482" t="s">
        <v>3336</v>
      </c>
      <c r="Q508" s="291" t="str">
        <f>IFERROR(VLOOKUP(ROWS($Q$3:Q508),$M$3:$N$718,2,0),"")</f>
        <v>Výroba homogenizovaných potravinářských přípravků a dietetických potravin</v>
      </c>
      <c r="R508">
        <f>IF(ISNUMBER(SEARCH('1Př1'!$A$32,N508)),MAX($M$2:M507)+1,0)</f>
        <v>506</v>
      </c>
      <c r="S508" s="290" t="s">
        <v>1883</v>
      </c>
      <c r="T508" t="str">
        <f>IFERROR(VLOOKUP(ROWS($T$3:T508),$R$3:$S$718,2,0),"")</f>
        <v>Výroba odlitků z litiny</v>
      </c>
      <c r="U508">
        <f>IF(ISNUMBER(SEARCH('1Př1'!$A$33,N508)),MAX($M$2:M507)+1,0)</f>
        <v>506</v>
      </c>
      <c r="V508" s="290" t="s">
        <v>1883</v>
      </c>
      <c r="W508" t="str">
        <f>IFERROR(VLOOKUP(ROWS($W$3:W508),$U$3:$V$718,2,0),"")</f>
        <v>Výroba odlitků z litiny</v>
      </c>
      <c r="X508">
        <f>IF(ISNUMBER(SEARCH('1Př1'!$A$34,N508)),MAX($M$2:M507)+1,0)</f>
        <v>506</v>
      </c>
      <c r="Y508" s="290" t="s">
        <v>1883</v>
      </c>
      <c r="Z508" t="str">
        <f>IFERROR(VLOOKUP(ROWS($Z$3:Z508),$X$3:$Y$718,2,0),"")</f>
        <v>Výroba odlitků z litiny</v>
      </c>
    </row>
    <row r="509" spans="13:26" ht="12.75">
      <c r="M509" s="289">
        <f>IF(ISNUMBER(SEARCH(ZAKL_DATA!$B$29,N509)),MAX($M$2:M508)+1,0)</f>
        <v>507</v>
      </c>
      <c r="N509" s="482" t="s">
        <v>1784</v>
      </c>
      <c r="O509" s="482" t="s">
        <v>3337</v>
      </c>
      <c r="Q509" s="291" t="str">
        <f>IFERROR(VLOOKUP(ROWS($Q$3:Q509),$M$3:$N$718,2,0),"")</f>
        <v>Výroba hotových pokrmů</v>
      </c>
      <c r="R509">
        <f>IF(ISNUMBER(SEARCH('1Př1'!$A$32,N509)),MAX($M$2:M508)+1,0)</f>
        <v>507</v>
      </c>
      <c r="S509" s="290" t="s">
        <v>1884</v>
      </c>
      <c r="T509" t="str">
        <f>IFERROR(VLOOKUP(ROWS($T$3:T509),$R$3:$S$718,2,0),"")</f>
        <v>Výroba odlitků z oceli</v>
      </c>
      <c r="U509">
        <f>IF(ISNUMBER(SEARCH('1Př1'!$A$33,N509)),MAX($M$2:M508)+1,0)</f>
        <v>507</v>
      </c>
      <c r="V509" s="290" t="s">
        <v>1884</v>
      </c>
      <c r="W509" t="str">
        <f>IFERROR(VLOOKUP(ROWS($W$3:W509),$U$3:$V$718,2,0),"")</f>
        <v>Výroba odlitků z oceli</v>
      </c>
      <c r="X509">
        <f>IF(ISNUMBER(SEARCH('1Př1'!$A$34,N509)),MAX($M$2:M508)+1,0)</f>
        <v>507</v>
      </c>
      <c r="Y509" s="290" t="s">
        <v>1884</v>
      </c>
      <c r="Z509" t="str">
        <f>IFERROR(VLOOKUP(ROWS($Z$3:Z509),$X$3:$Y$718,2,0),"")</f>
        <v>Výroba odlitků z oceli</v>
      </c>
    </row>
    <row r="510" spans="13:26" ht="12.75">
      <c r="M510" s="289">
        <f>IF(ISNUMBER(SEARCH(ZAKL_DATA!$B$29,N510)),MAX($M$2:M509)+1,0)</f>
        <v>508</v>
      </c>
      <c r="N510" s="482" t="s">
        <v>1560</v>
      </c>
      <c r="O510" s="482" t="s">
        <v>3338</v>
      </c>
      <c r="Q510" s="291" t="str">
        <f>IFERROR(VLOOKUP(ROWS($Q$3:Q510),$M$3:$N$718,2,0),"")</f>
        <v>Výroba hudebních nástrojů</v>
      </c>
      <c r="R510">
        <f>IF(ISNUMBER(SEARCH('1Př1'!$A$32,N510)),MAX($M$2:M509)+1,0)</f>
        <v>508</v>
      </c>
      <c r="S510" s="290" t="s">
        <v>1885</v>
      </c>
      <c r="T510" t="str">
        <f>IFERROR(VLOOKUP(ROWS($T$3:T510),$R$3:$S$718,2,0),"")</f>
        <v>Výroba odlitků z lehkých neželezných kovů</v>
      </c>
      <c r="U510">
        <f>IF(ISNUMBER(SEARCH('1Př1'!$A$33,N510)),MAX($M$2:M509)+1,0)</f>
        <v>508</v>
      </c>
      <c r="V510" s="290" t="s">
        <v>1885</v>
      </c>
      <c r="W510" t="str">
        <f>IFERROR(VLOOKUP(ROWS($W$3:W510),$U$3:$V$718,2,0),"")</f>
        <v>Výroba odlitků z lehkých neželezných kovů</v>
      </c>
      <c r="X510">
        <f>IF(ISNUMBER(SEARCH('1Př1'!$A$34,N510)),MAX($M$2:M509)+1,0)</f>
        <v>508</v>
      </c>
      <c r="Y510" s="290" t="s">
        <v>1885</v>
      </c>
      <c r="Z510" t="str">
        <f>IFERROR(VLOOKUP(ROWS($Z$3:Z510),$X$3:$Y$718,2,0),"")</f>
        <v>Výroba odlitků z lehkých neželezných kovů</v>
      </c>
    </row>
    <row r="511" spans="13:26" ht="12.75">
      <c r="M511" s="289">
        <f>IF(ISNUMBER(SEARCH(ZAKL_DATA!$B$29,N511)),MAX($M$2:M510)+1,0)</f>
        <v>509</v>
      </c>
      <c r="N511" s="482" t="s">
        <v>3339</v>
      </c>
      <c r="O511" s="482" t="s">
        <v>3340</v>
      </c>
      <c r="Q511" s="291" t="str">
        <f>IFERROR(VLOOKUP(ROWS($Q$3:Q511),$M$3:$N$718,2,0),"")</f>
        <v>Výroba hydraulických zařízení</v>
      </c>
      <c r="R511">
        <f>IF(ISNUMBER(SEARCH('1Př1'!$A$32,N511)),MAX($M$2:M510)+1,0)</f>
        <v>509</v>
      </c>
      <c r="S511" s="290" t="s">
        <v>1886</v>
      </c>
      <c r="T511" t="str">
        <f>IFERROR(VLOOKUP(ROWS($T$3:T511),$R$3:$S$718,2,0),"")</f>
        <v>Výroba odlitků z ostatních neželezných kovů</v>
      </c>
      <c r="U511">
        <f>IF(ISNUMBER(SEARCH('1Př1'!$A$33,N511)),MAX($M$2:M510)+1,0)</f>
        <v>509</v>
      </c>
      <c r="V511" s="290" t="s">
        <v>1886</v>
      </c>
      <c r="W511" t="str">
        <f>IFERROR(VLOOKUP(ROWS($W$3:W511),$U$3:$V$718,2,0),"")</f>
        <v>Výroba odlitků z ostatních neželezných kovů</v>
      </c>
      <c r="X511">
        <f>IF(ISNUMBER(SEARCH('1Př1'!$A$34,N511)),MAX($M$2:M510)+1,0)</f>
        <v>509</v>
      </c>
      <c r="Y511" s="290" t="s">
        <v>1886</v>
      </c>
      <c r="Z511" t="str">
        <f>IFERROR(VLOOKUP(ROWS($Z$3:Z511),$X$3:$Y$718,2,0),"")</f>
        <v>Výroba odlitků z ostatních neželezných kovů</v>
      </c>
    </row>
    <row r="512" spans="13:26" ht="12.75">
      <c r="M512" s="289">
        <f>IF(ISNUMBER(SEARCH(ZAKL_DATA!$B$29,N512)),MAX($M$2:M511)+1,0)</f>
        <v>510</v>
      </c>
      <c r="N512" s="482" t="s">
        <v>2146</v>
      </c>
      <c r="O512" s="482" t="s">
        <v>3341</v>
      </c>
      <c r="Q512" s="291" t="str">
        <f>IFERROR(VLOOKUP(ROWS($Q$3:Q512),$M$3:$N$718,2,0),"")</f>
        <v>Výroba chemických buničin</v>
      </c>
      <c r="R512">
        <f>IF(ISNUMBER(SEARCH('1Př1'!$A$32,N512)),MAX($M$2:M511)+1,0)</f>
        <v>510</v>
      </c>
      <c r="S512" s="290" t="s">
        <v>1887</v>
      </c>
      <c r="T512" t="str">
        <f>IFERROR(VLOOKUP(ROWS($T$3:T512),$R$3:$S$718,2,0),"")</f>
        <v>Výroba kovových konstrukcí a jejich dílů</v>
      </c>
      <c r="U512">
        <f>IF(ISNUMBER(SEARCH('1Př1'!$A$33,N512)),MAX($M$2:M511)+1,0)</f>
        <v>510</v>
      </c>
      <c r="V512" s="290" t="s">
        <v>1887</v>
      </c>
      <c r="W512" t="str">
        <f>IFERROR(VLOOKUP(ROWS($W$3:W512),$U$3:$V$718,2,0),"")</f>
        <v>Výroba kovových konstrukcí a jejich dílů</v>
      </c>
      <c r="X512">
        <f>IF(ISNUMBER(SEARCH('1Př1'!$A$34,N512)),MAX($M$2:M511)+1,0)</f>
        <v>510</v>
      </c>
      <c r="Y512" s="290" t="s">
        <v>1887</v>
      </c>
      <c r="Z512" t="str">
        <f>IFERROR(VLOOKUP(ROWS($Z$3:Z512),$X$3:$Y$718,2,0),"")</f>
        <v>Výroba kovových konstrukcí a jejich dílů</v>
      </c>
    </row>
    <row r="513" spans="13:26" ht="12.75">
      <c r="M513" s="289">
        <f>IF(ISNUMBER(SEARCH(ZAKL_DATA!$B$29,N513)),MAX($M$2:M512)+1,0)</f>
        <v>511</v>
      </c>
      <c r="N513" s="482" t="s">
        <v>1359</v>
      </c>
      <c r="O513" s="482" t="s">
        <v>3342</v>
      </c>
      <c r="Q513" s="291" t="str">
        <f>IFERROR(VLOOKUP(ROWS($Q$3:Q513),$M$3:$N$718,2,0),"")</f>
        <v>Výroba chemických vláken</v>
      </c>
      <c r="R513">
        <f>IF(ISNUMBER(SEARCH('1Př1'!$A$32,N513)),MAX($M$2:M512)+1,0)</f>
        <v>511</v>
      </c>
      <c r="S513" s="290" t="s">
        <v>1888</v>
      </c>
      <c r="T513" t="str">
        <f>IFERROR(VLOOKUP(ROWS($T$3:T513),$R$3:$S$718,2,0),"")</f>
        <v>Výroba kovových dveří a oken</v>
      </c>
      <c r="U513">
        <f>IF(ISNUMBER(SEARCH('1Př1'!$A$33,N513)),MAX($M$2:M512)+1,0)</f>
        <v>511</v>
      </c>
      <c r="V513" s="290" t="s">
        <v>1888</v>
      </c>
      <c r="W513" t="str">
        <f>IFERROR(VLOOKUP(ROWS($W$3:W513),$U$3:$V$718,2,0),"")</f>
        <v>Výroba kovových dveří a oken</v>
      </c>
      <c r="X513">
        <f>IF(ISNUMBER(SEARCH('1Př1'!$A$34,N513)),MAX($M$2:M512)+1,0)</f>
        <v>511</v>
      </c>
      <c r="Y513" s="290" t="s">
        <v>1888</v>
      </c>
      <c r="Z513" t="str">
        <f>IFERROR(VLOOKUP(ROWS($Z$3:Z513),$X$3:$Y$718,2,0),"")</f>
        <v>Výroba kovových dveří a oken</v>
      </c>
    </row>
    <row r="514" spans="13:26" ht="12.75">
      <c r="M514" s="289">
        <f>IF(ISNUMBER(SEARCH(ZAKL_DATA!$B$29,N514)),MAX($M$2:M513)+1,0)</f>
        <v>512</v>
      </c>
      <c r="N514" s="482" t="s">
        <v>2149</v>
      </c>
      <c r="O514" s="482" t="s">
        <v>3343</v>
      </c>
      <c r="Q514" s="291" t="str">
        <f>IFERROR(VLOOKUP(ROWS($Q$3:Q514),$M$3:$N$718,2,0),"")</f>
        <v>Výroba jiných chemických výrobků j. n.</v>
      </c>
      <c r="R514">
        <f>IF(ISNUMBER(SEARCH('1Př1'!$A$32,N514)),MAX($M$2:M513)+1,0)</f>
        <v>512</v>
      </c>
      <c r="S514" s="290" t="s">
        <v>1889</v>
      </c>
      <c r="T514" t="str">
        <f>IFERROR(VLOOKUP(ROWS($T$3:T514),$R$3:$S$718,2,0),"")</f>
        <v>Výroba radiátorů a kotlů k ústřednímu topení</v>
      </c>
      <c r="U514">
        <f>IF(ISNUMBER(SEARCH('1Př1'!$A$33,N514)),MAX($M$2:M513)+1,0)</f>
        <v>512</v>
      </c>
      <c r="V514" s="290" t="s">
        <v>1889</v>
      </c>
      <c r="W514" t="str">
        <f>IFERROR(VLOOKUP(ROWS($W$3:W514),$U$3:$V$718,2,0),"")</f>
        <v>Výroba radiátorů a kotlů k ústřednímu topení</v>
      </c>
      <c r="X514">
        <f>IF(ISNUMBER(SEARCH('1Př1'!$A$34,N514)),MAX($M$2:M513)+1,0)</f>
        <v>512</v>
      </c>
      <c r="Y514" s="290" t="s">
        <v>1889</v>
      </c>
      <c r="Z514" t="str">
        <f>IFERROR(VLOOKUP(ROWS($Z$3:Z514),$X$3:$Y$718,2,0),"")</f>
        <v>Výroba radiátorů a kotlů k ústřednímu topení</v>
      </c>
    </row>
    <row r="515" spans="13:26" ht="25.5">
      <c r="M515" s="289">
        <f>IF(ISNUMBER(SEARCH(ZAKL_DATA!$B$29,N515)),MAX($M$2:M514)+1,0)</f>
        <v>513</v>
      </c>
      <c r="N515" s="482" t="s">
        <v>1834</v>
      </c>
      <c r="O515" s="482" t="s">
        <v>3344</v>
      </c>
      <c r="Q515" s="291" t="str">
        <f>IFERROR(VLOOKUP(ROWS($Q$3:Q515),$M$3:$N$718,2,0),"")</f>
        <v>Výroba jiných základních anorganických chemických látek</v>
      </c>
      <c r="R515">
        <f>IF(ISNUMBER(SEARCH('1Př1'!$A$32,N515)),MAX($M$2:M514)+1,0)</f>
        <v>513</v>
      </c>
      <c r="S515" s="290" t="s">
        <v>1890</v>
      </c>
      <c r="T515" t="str">
        <f>IFERROR(VLOOKUP(ROWS($T$3:T515),$R$3:$S$718,2,0),"")</f>
        <v>Výroba kovových nádrží a zásobníků</v>
      </c>
      <c r="U515">
        <f>IF(ISNUMBER(SEARCH('1Př1'!$A$33,N515)),MAX($M$2:M514)+1,0)</f>
        <v>513</v>
      </c>
      <c r="V515" s="290" t="s">
        <v>1890</v>
      </c>
      <c r="W515" t="str">
        <f>IFERROR(VLOOKUP(ROWS($W$3:W515),$U$3:$V$718,2,0),"")</f>
        <v>Výroba kovových nádrží a zásobníků</v>
      </c>
      <c r="X515">
        <f>IF(ISNUMBER(SEARCH('1Př1'!$A$34,N515)),MAX($M$2:M514)+1,0)</f>
        <v>513</v>
      </c>
      <c r="Y515" s="290" t="s">
        <v>1890</v>
      </c>
      <c r="Z515" t="str">
        <f>IFERROR(VLOOKUP(ROWS($Z$3:Z515),$X$3:$Y$718,2,0),"")</f>
        <v>Výroba kovových nádrží a zásobníků</v>
      </c>
    </row>
    <row r="516" spans="13:26" ht="25.5">
      <c r="M516" s="289">
        <f>IF(ISNUMBER(SEARCH(ZAKL_DATA!$B$29,N516)),MAX($M$2:M515)+1,0)</f>
        <v>514</v>
      </c>
      <c r="N516" s="482" t="s">
        <v>1835</v>
      </c>
      <c r="O516" s="482" t="s">
        <v>3345</v>
      </c>
      <c r="Q516" s="291" t="str">
        <f>IFERROR(VLOOKUP(ROWS($Q$3:Q516),$M$3:$N$718,2,0),"")</f>
        <v>Výroba jiných základních organických chemických látek</v>
      </c>
      <c r="R516">
        <f>IF(ISNUMBER(SEARCH('1Př1'!$A$32,N516)),MAX($M$2:M515)+1,0)</f>
        <v>514</v>
      </c>
      <c r="S516" s="290" t="s">
        <v>1891</v>
      </c>
      <c r="T516" t="str">
        <f>IFERROR(VLOOKUP(ROWS($T$3:T516),$R$3:$S$718,2,0),"")</f>
        <v>Povrchová úprava a zušlechťování kovů</v>
      </c>
      <c r="U516">
        <f>IF(ISNUMBER(SEARCH('1Př1'!$A$33,N516)),MAX($M$2:M515)+1,0)</f>
        <v>514</v>
      </c>
      <c r="V516" s="290" t="s">
        <v>1891</v>
      </c>
      <c r="W516" t="str">
        <f>IFERROR(VLOOKUP(ROWS($W$3:W516),$U$3:$V$718,2,0),"")</f>
        <v>Povrchová úprava a zušlechťování kovů</v>
      </c>
      <c r="X516">
        <f>IF(ISNUMBER(SEARCH('1Př1'!$A$34,N516)),MAX($M$2:M515)+1,0)</f>
        <v>514</v>
      </c>
      <c r="Y516" s="290" t="s">
        <v>1891</v>
      </c>
      <c r="Z516" t="str">
        <f>IFERROR(VLOOKUP(ROWS($Z$3:Z516),$X$3:$Y$718,2,0),"")</f>
        <v>Povrchová úprava a zušlechťování kovů</v>
      </c>
    </row>
    <row r="517" spans="13:26" ht="12.75">
      <c r="M517" s="289">
        <f>IF(ISNUMBER(SEARCH(ZAKL_DATA!$B$29,N517)),MAX($M$2:M516)+1,0)</f>
        <v>515</v>
      </c>
      <c r="N517" s="482" t="s">
        <v>1937</v>
      </c>
      <c r="O517" s="482" t="s">
        <v>3346</v>
      </c>
      <c r="Q517" s="291" t="str">
        <f>IFERROR(VLOOKUP(ROWS($Q$3:Q517),$M$3:$N$718,2,0),"")</f>
        <v>Výroba jízdních kol a vozíků pro invalidy</v>
      </c>
      <c r="R517">
        <f>IF(ISNUMBER(SEARCH('1Př1'!$A$32,N517)),MAX($M$2:M516)+1,0)</f>
        <v>515</v>
      </c>
      <c r="S517" s="290" t="s">
        <v>1892</v>
      </c>
      <c r="T517" t="str">
        <f>IFERROR(VLOOKUP(ROWS($T$3:T517),$R$3:$S$718,2,0),"")</f>
        <v>Obrábění</v>
      </c>
      <c r="U517">
        <f>IF(ISNUMBER(SEARCH('1Př1'!$A$33,N517)),MAX($M$2:M516)+1,0)</f>
        <v>515</v>
      </c>
      <c r="V517" s="290" t="s">
        <v>1892</v>
      </c>
      <c r="W517" t="str">
        <f>IFERROR(VLOOKUP(ROWS($W$3:W517),$U$3:$V$718,2,0),"")</f>
        <v>Obrábění</v>
      </c>
      <c r="X517">
        <f>IF(ISNUMBER(SEARCH('1Př1'!$A$34,N517)),MAX($M$2:M516)+1,0)</f>
        <v>515</v>
      </c>
      <c r="Y517" s="290" t="s">
        <v>1892</v>
      </c>
      <c r="Z517" t="str">
        <f>IFERROR(VLOOKUP(ROWS($Z$3:Z517),$X$3:$Y$718,2,0),"")</f>
        <v>Obrábění</v>
      </c>
    </row>
    <row r="518" spans="13:26" ht="12.75">
      <c r="M518" s="289">
        <f>IF(ISNUMBER(SEARCH(ZAKL_DATA!$B$29,N518)),MAX($M$2:M517)+1,0)</f>
        <v>516</v>
      </c>
      <c r="N518" s="482" t="s">
        <v>1781</v>
      </c>
      <c r="O518" s="482" t="s">
        <v>3347</v>
      </c>
      <c r="Q518" s="291" t="str">
        <f>IFERROR(VLOOKUP(ROWS($Q$3:Q518),$M$3:$N$718,2,0),"")</f>
        <v>Výroba kakaa, čokolády a cukrovinek</v>
      </c>
      <c r="R518">
        <f>IF(ISNUMBER(SEARCH('1Př1'!$A$32,N518)),MAX($M$2:M517)+1,0)</f>
        <v>516</v>
      </c>
      <c r="S518" s="290" t="s">
        <v>1893</v>
      </c>
      <c r="T518" t="str">
        <f>IFERROR(VLOOKUP(ROWS($T$3:T518),$R$3:$S$718,2,0),"")</f>
        <v>Výroba nožířských výrobků</v>
      </c>
      <c r="U518">
        <f>IF(ISNUMBER(SEARCH('1Př1'!$A$33,N518)),MAX($M$2:M517)+1,0)</f>
        <v>516</v>
      </c>
      <c r="V518" s="290" t="s">
        <v>1893</v>
      </c>
      <c r="W518" t="str">
        <f>IFERROR(VLOOKUP(ROWS($W$3:W518),$U$3:$V$718,2,0),"")</f>
        <v>Výroba nožířských výrobků</v>
      </c>
      <c r="X518">
        <f>IF(ISNUMBER(SEARCH('1Př1'!$A$34,N518)),MAX($M$2:M517)+1,0)</f>
        <v>516</v>
      </c>
      <c r="Y518" s="290" t="s">
        <v>1893</v>
      </c>
      <c r="Z518" t="str">
        <f>IFERROR(VLOOKUP(ROWS($Z$3:Z518),$X$3:$Y$718,2,0),"")</f>
        <v>Výroba nožířských výrobků</v>
      </c>
    </row>
    <row r="519" spans="13:26" ht="12.75">
      <c r="M519" s="289">
        <f>IF(ISNUMBER(SEARCH(ZAKL_DATA!$B$29,N519)),MAX($M$2:M518)+1,0)</f>
        <v>517</v>
      </c>
      <c r="N519" s="482" t="s">
        <v>1825</v>
      </c>
      <c r="O519" s="482" t="s">
        <v>3348</v>
      </c>
      <c r="Q519" s="291" t="str">
        <f>IFERROR(VLOOKUP(ROWS($Q$3:Q519),$M$3:$N$718,2,0),"")</f>
        <v>Výroba kancelářských potřeb z papíru</v>
      </c>
      <c r="R519">
        <f>IF(ISNUMBER(SEARCH('1Př1'!$A$32,N519)),MAX($M$2:M518)+1,0)</f>
        <v>517</v>
      </c>
      <c r="S519" s="290" t="s">
        <v>1894</v>
      </c>
      <c r="T519" t="str">
        <f>IFERROR(VLOOKUP(ROWS($T$3:T519),$R$3:$S$718,2,0),"")</f>
        <v>Výroba zámků a kování</v>
      </c>
      <c r="U519">
        <f>IF(ISNUMBER(SEARCH('1Př1'!$A$33,N519)),MAX($M$2:M518)+1,0)</f>
        <v>517</v>
      </c>
      <c r="V519" s="290" t="s">
        <v>1894</v>
      </c>
      <c r="W519" t="str">
        <f>IFERROR(VLOOKUP(ROWS($W$3:W519),$U$3:$V$718,2,0),"")</f>
        <v>Výroba zámků a kování</v>
      </c>
      <c r="X519">
        <f>IF(ISNUMBER(SEARCH('1Př1'!$A$34,N519)),MAX($M$2:M518)+1,0)</f>
        <v>517</v>
      </c>
      <c r="Y519" s="290" t="s">
        <v>1894</v>
      </c>
      <c r="Z519" t="str">
        <f>IFERROR(VLOOKUP(ROWS($Z$3:Z519),$X$3:$Y$718,2,0),"")</f>
        <v>Výroba zámků a kování</v>
      </c>
    </row>
    <row r="520" spans="13:26" ht="25.5">
      <c r="M520" s="289">
        <f>IF(ISNUMBER(SEARCH(ZAKL_DATA!$B$29,N520)),MAX($M$2:M519)+1,0)</f>
        <v>518</v>
      </c>
      <c r="N520" s="482" t="s">
        <v>3349</v>
      </c>
      <c r="O520" s="482" t="s">
        <v>3350</v>
      </c>
      <c r="Q520" s="291" t="str">
        <f>IFERROR(VLOOKUP(ROWS($Q$3:Q520),$M$3:$N$718,2,0),"")</f>
        <v>Výroba kancelářských strojů a zařízení, kromě počítačů a periferních zařízení</v>
      </c>
      <c r="R520">
        <f>IF(ISNUMBER(SEARCH('1Př1'!$A$32,N520)),MAX($M$2:M519)+1,0)</f>
        <v>518</v>
      </c>
      <c r="S520" s="290" t="s">
        <v>1895</v>
      </c>
      <c r="T520" t="str">
        <f>IFERROR(VLOOKUP(ROWS($T$3:T520),$R$3:$S$718,2,0),"")</f>
        <v>Výroba nástrojů a nářadí</v>
      </c>
      <c r="U520">
        <f>IF(ISNUMBER(SEARCH('1Př1'!$A$33,N520)),MAX($M$2:M519)+1,0)</f>
        <v>518</v>
      </c>
      <c r="V520" s="290" t="s">
        <v>1895</v>
      </c>
      <c r="W520" t="str">
        <f>IFERROR(VLOOKUP(ROWS($W$3:W520),$U$3:$V$718,2,0),"")</f>
        <v>Výroba nástrojů a nářadí</v>
      </c>
      <c r="X520">
        <f>IF(ISNUMBER(SEARCH('1Př1'!$A$34,N520)),MAX($M$2:M519)+1,0)</f>
        <v>518</v>
      </c>
      <c r="Y520" s="290" t="s">
        <v>1895</v>
      </c>
      <c r="Z520" t="str">
        <f>IFERROR(VLOOKUP(ROWS($Z$3:Z520),$X$3:$Y$718,2,0),"")</f>
        <v>Výroba nástrojů a nářadí</v>
      </c>
    </row>
    <row r="521" spans="13:26" ht="12.75">
      <c r="M521" s="289">
        <f>IF(ISNUMBER(SEARCH(ZAKL_DATA!$B$29,N521)),MAX($M$2:M520)+1,0)</f>
        <v>519</v>
      </c>
      <c r="N521" s="482" t="s">
        <v>3351</v>
      </c>
      <c r="O521" s="482" t="s">
        <v>3352</v>
      </c>
      <c r="Q521" s="291" t="str">
        <f>IFERROR(VLOOKUP(ROWS($Q$3:Q521),$M$3:$N$718,2,0),"")</f>
        <v>Výroba kapalných biopaliv</v>
      </c>
      <c r="R521">
        <f>IF(ISNUMBER(SEARCH('1Př1'!$A$32,N521)),MAX($M$2:M520)+1,0)</f>
        <v>519</v>
      </c>
      <c r="S521" s="290" t="s">
        <v>1896</v>
      </c>
      <c r="T521" t="str">
        <f>IFERROR(VLOOKUP(ROWS($T$3:T521),$R$3:$S$718,2,0),"")</f>
        <v>Výroba ocelových sudů a podobných nádob</v>
      </c>
      <c r="U521">
        <f>IF(ISNUMBER(SEARCH('1Př1'!$A$33,N521)),MAX($M$2:M520)+1,0)</f>
        <v>519</v>
      </c>
      <c r="V521" s="290" t="s">
        <v>1896</v>
      </c>
      <c r="W521" t="str">
        <f>IFERROR(VLOOKUP(ROWS($W$3:W521),$U$3:$V$718,2,0),"")</f>
        <v>Výroba ocelových sudů a podobných nádob</v>
      </c>
      <c r="X521">
        <f>IF(ISNUMBER(SEARCH('1Př1'!$A$34,N521)),MAX($M$2:M520)+1,0)</f>
        <v>519</v>
      </c>
      <c r="Y521" s="290" t="s">
        <v>1896</v>
      </c>
      <c r="Z521" t="str">
        <f>IFERROR(VLOOKUP(ROWS($Z$3:Z521),$X$3:$Y$718,2,0),"")</f>
        <v>Výroba ocelových sudů a podobných nádob</v>
      </c>
    </row>
    <row r="522" spans="13:26" ht="25.5">
      <c r="M522" s="289">
        <f>IF(ISNUMBER(SEARCH(ZAKL_DATA!$B$29,N522)),MAX($M$2:M521)+1,0)</f>
        <v>520</v>
      </c>
      <c r="N522" s="482" t="s">
        <v>1527</v>
      </c>
      <c r="O522" s="482" t="s">
        <v>3353</v>
      </c>
      <c r="Q522" s="291" t="str">
        <f>IFERROR(VLOOKUP(ROWS($Q$3:Q522),$M$3:$N$718,2,0),"")</f>
        <v>Výroba karoserií motorových vozidel; výroba přívěsů a návěsů</v>
      </c>
      <c r="R522">
        <f>IF(ISNUMBER(SEARCH('1Př1'!$A$32,N522)),MAX($M$2:M521)+1,0)</f>
        <v>520</v>
      </c>
      <c r="S522" s="290" t="s">
        <v>1897</v>
      </c>
      <c r="T522" t="str">
        <f>IFERROR(VLOOKUP(ROWS($T$3:T522),$R$3:$S$718,2,0),"")</f>
        <v>Výroba drobných kovových obalů</v>
      </c>
      <c r="U522">
        <f>IF(ISNUMBER(SEARCH('1Př1'!$A$33,N522)),MAX($M$2:M521)+1,0)</f>
        <v>520</v>
      </c>
      <c r="V522" s="290" t="s">
        <v>1897</v>
      </c>
      <c r="W522" t="str">
        <f>IFERROR(VLOOKUP(ROWS($W$3:W522),$U$3:$V$718,2,0),"")</f>
        <v>Výroba drobných kovových obalů</v>
      </c>
      <c r="X522">
        <f>IF(ISNUMBER(SEARCH('1Př1'!$A$34,N522)),MAX($M$2:M521)+1,0)</f>
        <v>520</v>
      </c>
      <c r="Y522" s="290" t="s">
        <v>1897</v>
      </c>
      <c r="Z522" t="str">
        <f>IFERROR(VLOOKUP(ROWS($Z$3:Z522),$X$3:$Y$718,2,0),"")</f>
        <v>Výroba drobných kovových obalů</v>
      </c>
    </row>
    <row r="523" spans="13:26" ht="25.5">
      <c r="M523" s="289">
        <f>IF(ISNUMBER(SEARCH(ZAKL_DATA!$B$29,N523)),MAX($M$2:M522)+1,0)</f>
        <v>521</v>
      </c>
      <c r="N523" s="482" t="s">
        <v>1860</v>
      </c>
      <c r="O523" s="482" t="s">
        <v>3354</v>
      </c>
      <c r="Q523" s="291" t="str">
        <f>IFERROR(VLOOKUP(ROWS($Q$3:Q523),$M$3:$N$718,2,0),"")</f>
        <v>Výroba keramických izolátorů a izolačního příslušenství</v>
      </c>
      <c r="R523">
        <f>IF(ISNUMBER(SEARCH('1Př1'!$A$32,N523)),MAX($M$2:M522)+1,0)</f>
        <v>521</v>
      </c>
      <c r="S523" s="290" t="s">
        <v>1898</v>
      </c>
      <c r="T523" t="str">
        <f>IFERROR(VLOOKUP(ROWS($T$3:T523),$R$3:$S$718,2,0),"")</f>
        <v>Výroba drátěných výrobků, řetězů a pružin</v>
      </c>
      <c r="U523">
        <f>IF(ISNUMBER(SEARCH('1Př1'!$A$33,N523)),MAX($M$2:M522)+1,0)</f>
        <v>521</v>
      </c>
      <c r="V523" s="290" t="s">
        <v>1898</v>
      </c>
      <c r="W523" t="str">
        <f>IFERROR(VLOOKUP(ROWS($W$3:W523),$U$3:$V$718,2,0),"")</f>
        <v>Výroba drátěných výrobků, řetězů a pružin</v>
      </c>
      <c r="X523">
        <f>IF(ISNUMBER(SEARCH('1Př1'!$A$34,N523)),MAX($M$2:M522)+1,0)</f>
        <v>521</v>
      </c>
      <c r="Y523" s="290" t="s">
        <v>1898</v>
      </c>
      <c r="Z523" t="str">
        <f>IFERROR(VLOOKUP(ROWS($Z$3:Z523),$X$3:$Y$718,2,0),"")</f>
        <v>Výroba drátěných výrobků, řetězů a pružin</v>
      </c>
    </row>
    <row r="524" spans="13:26" ht="12.75">
      <c r="M524" s="289">
        <f>IF(ISNUMBER(SEARCH(ZAKL_DATA!$B$29,N524)),MAX($M$2:M523)+1,0)</f>
        <v>522</v>
      </c>
      <c r="N524" s="482" t="s">
        <v>3355</v>
      </c>
      <c r="O524" s="482" t="s">
        <v>3356</v>
      </c>
      <c r="Q524" s="291" t="str">
        <f>IFERROR(VLOOKUP(ROWS($Q$3:Q524),$M$3:$N$718,2,0),"")</f>
        <v>Výroba keramických obkladaček a dlaždic</v>
      </c>
      <c r="R524">
        <f>IF(ISNUMBER(SEARCH('1Př1'!$A$32,N524)),MAX($M$2:M523)+1,0)</f>
        <v>522</v>
      </c>
      <c r="S524" s="290" t="s">
        <v>1899</v>
      </c>
      <c r="T524" t="str">
        <f>IFERROR(VLOOKUP(ROWS($T$3:T524),$R$3:$S$718,2,0),"")</f>
        <v>Výroba spojovacích materiálů a spojovacích výrobků se závity</v>
      </c>
      <c r="U524">
        <f>IF(ISNUMBER(SEARCH('1Př1'!$A$33,N524)),MAX($M$2:M523)+1,0)</f>
        <v>522</v>
      </c>
      <c r="V524" s="290" t="s">
        <v>1899</v>
      </c>
      <c r="W524" t="str">
        <f>IFERROR(VLOOKUP(ROWS($W$3:W524),$U$3:$V$718,2,0),"")</f>
        <v>Výroba spojovacích materiálů a spojovacích výrobků se závity</v>
      </c>
      <c r="X524">
        <f>IF(ISNUMBER(SEARCH('1Př1'!$A$34,N524)),MAX($M$2:M523)+1,0)</f>
        <v>522</v>
      </c>
      <c r="Y524" s="290" t="s">
        <v>1899</v>
      </c>
      <c r="Z524" t="str">
        <f>IFERROR(VLOOKUP(ROWS($Z$3:Z524),$X$3:$Y$718,2,0),"")</f>
        <v>Výroba spojovacích materiálů a spojovacích výrobků se závity</v>
      </c>
    </row>
    <row r="525" spans="13:26" ht="12.75">
      <c r="M525" s="289">
        <f>IF(ISNUMBER(SEARCH(ZAKL_DATA!$B$29,N525)),MAX($M$2:M524)+1,0)</f>
        <v>523</v>
      </c>
      <c r="N525" s="482" t="s">
        <v>1859</v>
      </c>
      <c r="O525" s="482" t="s">
        <v>3357</v>
      </c>
      <c r="Q525" s="291" t="str">
        <f>IFERROR(VLOOKUP(ROWS($Q$3:Q525),$M$3:$N$718,2,0),"")</f>
        <v>Výroba keramických sanitárních výrobků</v>
      </c>
      <c r="R525">
        <f>IF(ISNUMBER(SEARCH('1Př1'!$A$32,N525)),MAX($M$2:M524)+1,0)</f>
        <v>523</v>
      </c>
      <c r="S525" s="290" t="s">
        <v>1900</v>
      </c>
      <c r="T525" t="str">
        <f>IFERROR(VLOOKUP(ROWS($T$3:T525),$R$3:$S$718,2,0),"")</f>
        <v>Výroba ostatních kovodělných výrobků j. n.</v>
      </c>
      <c r="U525">
        <f>IF(ISNUMBER(SEARCH('1Př1'!$A$33,N525)),MAX($M$2:M524)+1,0)</f>
        <v>523</v>
      </c>
      <c r="V525" s="290" t="s">
        <v>1900</v>
      </c>
      <c r="W525" t="str">
        <f>IFERROR(VLOOKUP(ROWS($W$3:W525),$U$3:$V$718,2,0),"")</f>
        <v>Výroba ostatních kovodělných výrobků j. n.</v>
      </c>
      <c r="X525">
        <f>IF(ISNUMBER(SEARCH('1Př1'!$A$34,N525)),MAX($M$2:M524)+1,0)</f>
        <v>523</v>
      </c>
      <c r="Y525" s="290" t="s">
        <v>1900</v>
      </c>
      <c r="Z525" t="str">
        <f>IFERROR(VLOOKUP(ROWS($Z$3:Z525),$X$3:$Y$718,2,0),"")</f>
        <v>Výroba ostatních kovodělných výrobků j. n.</v>
      </c>
    </row>
    <row r="526" spans="13:26" ht="12.75">
      <c r="M526" s="289">
        <f>IF(ISNUMBER(SEARCH(ZAKL_DATA!$B$29,N526)),MAX($M$2:M525)+1,0)</f>
        <v>524</v>
      </c>
      <c r="N526" s="482" t="s">
        <v>1944</v>
      </c>
      <c r="O526" s="482" t="s">
        <v>3358</v>
      </c>
      <c r="Q526" s="291" t="str">
        <f>IFERROR(VLOOKUP(ROWS($Q$3:Q526),$M$3:$N$718,2,0),"")</f>
        <v>Výroba klenotů a příbuzných výrobků</v>
      </c>
      <c r="R526">
        <f>IF(ISNUMBER(SEARCH('1Př1'!$A$32,N526)),MAX($M$2:M525)+1,0)</f>
        <v>524</v>
      </c>
      <c r="S526" s="290" t="s">
        <v>1901</v>
      </c>
      <c r="T526" t="str">
        <f>IFERROR(VLOOKUP(ROWS($T$3:T526),$R$3:$S$718,2,0),"")</f>
        <v>Výroba elektronických součástek</v>
      </c>
      <c r="U526">
        <f>IF(ISNUMBER(SEARCH('1Př1'!$A$33,N526)),MAX($M$2:M525)+1,0)</f>
        <v>524</v>
      </c>
      <c r="V526" s="290" t="s">
        <v>1901</v>
      </c>
      <c r="W526" t="str">
        <f>IFERROR(VLOOKUP(ROWS($W$3:W526),$U$3:$V$718,2,0),"")</f>
        <v>Výroba elektronických součástek</v>
      </c>
      <c r="X526">
        <f>IF(ISNUMBER(SEARCH('1Př1'!$A$34,N526)),MAX($M$2:M525)+1,0)</f>
        <v>524</v>
      </c>
      <c r="Y526" s="290" t="s">
        <v>1901</v>
      </c>
      <c r="Z526" t="str">
        <f>IFERROR(VLOOKUP(ROWS($Z$3:Z526),$X$3:$Y$718,2,0),"")</f>
        <v>Výroba elektronických součástek</v>
      </c>
    </row>
    <row r="527" spans="13:26" ht="25.5">
      <c r="M527" s="289">
        <f>IF(ISNUMBER(SEARCH(ZAKL_DATA!$B$29,N527)),MAX($M$2:M526)+1,0)</f>
        <v>525</v>
      </c>
      <c r="N527" s="482" t="s">
        <v>3359</v>
      </c>
      <c r="O527" s="482" t="s">
        <v>3360</v>
      </c>
      <c r="Q527" s="291" t="str">
        <f>IFERROR(VLOOKUP(ROWS($Q$3:Q527),$M$3:$N$718,2,0),"")</f>
        <v>Výroba klimatizačních zařízení jiných než pro domácnost</v>
      </c>
      <c r="R527">
        <f>IF(ISNUMBER(SEARCH('1Př1'!$A$32,N527)),MAX($M$2:M526)+1,0)</f>
        <v>525</v>
      </c>
      <c r="S527" s="290" t="s">
        <v>1902</v>
      </c>
      <c r="T527" t="str">
        <f>IFERROR(VLOOKUP(ROWS($T$3:T527),$R$3:$S$718,2,0),"")</f>
        <v>Výroba osazených elektronických desek</v>
      </c>
      <c r="U527">
        <f>IF(ISNUMBER(SEARCH('1Př1'!$A$33,N527)),MAX($M$2:M526)+1,0)</f>
        <v>525</v>
      </c>
      <c r="V527" s="290" t="s">
        <v>1902</v>
      </c>
      <c r="W527" t="str">
        <f>IFERROR(VLOOKUP(ROWS($W$3:W527),$U$3:$V$718,2,0),"")</f>
        <v>Výroba osazených elektronických desek</v>
      </c>
      <c r="X527">
        <f>IF(ISNUMBER(SEARCH('1Př1'!$A$34,N527)),MAX($M$2:M526)+1,0)</f>
        <v>525</v>
      </c>
      <c r="Y527" s="290" t="s">
        <v>1902</v>
      </c>
      <c r="Z527" t="str">
        <f>IFERROR(VLOOKUP(ROWS($Z$3:Z527),$X$3:$Y$718,2,0),"")</f>
        <v>Výroba osazených elektronických desek</v>
      </c>
    </row>
    <row r="528" spans="13:26" ht="12.75">
      <c r="M528" s="289">
        <f>IF(ISNUMBER(SEARCH(ZAKL_DATA!$B$29,N528)),MAX($M$2:M527)+1,0)</f>
        <v>526</v>
      </c>
      <c r="N528" s="482" t="s">
        <v>1798</v>
      </c>
      <c r="O528" s="482" t="s">
        <v>3361</v>
      </c>
      <c r="Q528" s="291" t="str">
        <f>IFERROR(VLOOKUP(ROWS($Q$3:Q528),$M$3:$N$718,2,0),"")</f>
        <v>Výroba koberců a kobercových předložek</v>
      </c>
      <c r="R528">
        <f>IF(ISNUMBER(SEARCH('1Př1'!$A$32,N528)),MAX($M$2:M527)+1,0)</f>
        <v>526</v>
      </c>
      <c r="S528" s="290" t="s">
        <v>1903</v>
      </c>
      <c r="T528" t="str">
        <f>IFERROR(VLOOKUP(ROWS($T$3:T528),$R$3:$S$718,2,0),"")</f>
        <v>Výroba měřicích, zkušebních a navigačních přístrojů</v>
      </c>
      <c r="U528">
        <f>IF(ISNUMBER(SEARCH('1Př1'!$A$33,N528)),MAX($M$2:M527)+1,0)</f>
        <v>526</v>
      </c>
      <c r="V528" s="290" t="s">
        <v>1903</v>
      </c>
      <c r="W528" t="str">
        <f>IFERROR(VLOOKUP(ROWS($W$3:W528),$U$3:$V$718,2,0),"")</f>
        <v>Výroba měřicích, zkušebních a navigačních přístrojů</v>
      </c>
      <c r="X528">
        <f>IF(ISNUMBER(SEARCH('1Př1'!$A$34,N528)),MAX($M$2:M527)+1,0)</f>
        <v>526</v>
      </c>
      <c r="Y528" s="290" t="s">
        <v>1903</v>
      </c>
      <c r="Z528" t="str">
        <f>IFERROR(VLOOKUP(ROWS($Z$3:Z528),$X$3:$Y$718,2,0),"")</f>
        <v>Výroba měřicích, zkušebních a navigačních přístrojů</v>
      </c>
    </row>
    <row r="529" spans="13:26" ht="12.75">
      <c r="M529" s="289">
        <f>IF(ISNUMBER(SEARCH(ZAKL_DATA!$B$29,N529)),MAX($M$2:M528)+1,0)</f>
        <v>527</v>
      </c>
      <c r="N529" s="482" t="s">
        <v>1331</v>
      </c>
      <c r="O529" s="482" t="s">
        <v>3362</v>
      </c>
      <c r="Q529" s="291" t="str">
        <f>IFERROR(VLOOKUP(ROWS($Q$3:Q529),$M$3:$N$718,2,0),"")</f>
        <v>Výroba koksárenských produktů</v>
      </c>
      <c r="R529">
        <f>IF(ISNUMBER(SEARCH('1Př1'!$A$32,N529)),MAX($M$2:M528)+1,0)</f>
        <v>527</v>
      </c>
      <c r="S529" s="290" t="s">
        <v>1904</v>
      </c>
      <c r="T529" t="str">
        <f>IFERROR(VLOOKUP(ROWS($T$3:T529),$R$3:$S$718,2,0),"")</f>
        <v>Výroba časoměrných přístrojů</v>
      </c>
      <c r="U529">
        <f>IF(ISNUMBER(SEARCH('1Př1'!$A$33,N529)),MAX($M$2:M528)+1,0)</f>
        <v>527</v>
      </c>
      <c r="V529" s="290" t="s">
        <v>1904</v>
      </c>
      <c r="W529" t="str">
        <f>IFERROR(VLOOKUP(ROWS($W$3:W529),$U$3:$V$718,2,0),"")</f>
        <v>Výroba časoměrných přístrojů</v>
      </c>
      <c r="X529">
        <f>IF(ISNUMBER(SEARCH('1Př1'!$A$34,N529)),MAX($M$2:M528)+1,0)</f>
        <v>527</v>
      </c>
      <c r="Y529" s="290" t="s">
        <v>1904</v>
      </c>
      <c r="Z529" t="str">
        <f>IFERROR(VLOOKUP(ROWS($Z$3:Z529),$X$3:$Y$718,2,0),"")</f>
        <v>Výroba časoměrných přístrojů</v>
      </c>
    </row>
    <row r="530" spans="13:26" ht="12.75">
      <c r="M530" s="289">
        <f>IF(ISNUMBER(SEARCH(ZAKL_DATA!$B$29,N530)),MAX($M$2:M529)+1,0)</f>
        <v>528</v>
      </c>
      <c r="N530" s="482" t="s">
        <v>1471</v>
      </c>
      <c r="O530" s="482" t="s">
        <v>3363</v>
      </c>
      <c r="Q530" s="291" t="str">
        <f>IFERROR(VLOOKUP(ROWS($Q$3:Q530),$M$3:$N$718,2,0),"")</f>
        <v>Výroba komunikačních zařízení</v>
      </c>
      <c r="R530">
        <f>IF(ISNUMBER(SEARCH('1Př1'!$A$32,N530)),MAX($M$2:M529)+1,0)</f>
        <v>528</v>
      </c>
      <c r="S530" s="290" t="s">
        <v>1905</v>
      </c>
      <c r="T530" t="str">
        <f>IFERROR(VLOOKUP(ROWS($T$3:T530),$R$3:$S$718,2,0),"")</f>
        <v>Výroba elektrických motorů, generátorů a transformátorů</v>
      </c>
      <c r="U530">
        <f>IF(ISNUMBER(SEARCH('1Př1'!$A$33,N530)),MAX($M$2:M529)+1,0)</f>
        <v>528</v>
      </c>
      <c r="V530" s="290" t="s">
        <v>1905</v>
      </c>
      <c r="W530" t="str">
        <f>IFERROR(VLOOKUP(ROWS($W$3:W530),$U$3:$V$718,2,0),"")</f>
        <v>Výroba elektrických motorů, generátorů a transformátorů</v>
      </c>
      <c r="X530">
        <f>IF(ISNUMBER(SEARCH('1Př1'!$A$34,N530)),MAX($M$2:M529)+1,0)</f>
        <v>528</v>
      </c>
      <c r="Y530" s="290" t="s">
        <v>1905</v>
      </c>
      <c r="Z530" t="str">
        <f>IFERROR(VLOOKUP(ROWS($Z$3:Z530),$X$3:$Y$718,2,0),"")</f>
        <v>Výroba elektrických motorů, generátorů a transformátorů</v>
      </c>
    </row>
    <row r="531" spans="13:26" ht="12.75">
      <c r="M531" s="289">
        <f>IF(ISNUMBER(SEARCH(ZAKL_DATA!$B$29,N531)),MAX($M$2:M530)+1,0)</f>
        <v>529</v>
      </c>
      <c r="N531" s="482" t="s">
        <v>3364</v>
      </c>
      <c r="O531" s="482" t="s">
        <v>3365</v>
      </c>
      <c r="Q531" s="291" t="str">
        <f>IFERROR(VLOOKUP(ROWS($Q$3:Q531),$M$3:$N$718,2,0),"")</f>
        <v>Výroba koření a přísad pro ochucení</v>
      </c>
      <c r="R531">
        <f>IF(ISNUMBER(SEARCH('1Př1'!$A$32,N531)),MAX($M$2:M530)+1,0)</f>
        <v>529</v>
      </c>
      <c r="S531" s="290" t="s">
        <v>1906</v>
      </c>
      <c r="T531" t="str">
        <f>IFERROR(VLOOKUP(ROWS($T$3:T531),$R$3:$S$718,2,0),"")</f>
        <v>Výroba elektrických rozvodných a kontrolních zařízení</v>
      </c>
      <c r="U531">
        <f>IF(ISNUMBER(SEARCH('1Př1'!$A$33,N531)),MAX($M$2:M530)+1,0)</f>
        <v>529</v>
      </c>
      <c r="V531" s="290" t="s">
        <v>1906</v>
      </c>
      <c r="W531" t="str">
        <f>IFERROR(VLOOKUP(ROWS($W$3:W531),$U$3:$V$718,2,0),"")</f>
        <v>Výroba elektrických rozvodných a kontrolních zařízení</v>
      </c>
      <c r="X531">
        <f>IF(ISNUMBER(SEARCH('1Př1'!$A$34,N531)),MAX($M$2:M530)+1,0)</f>
        <v>529</v>
      </c>
      <c r="Y531" s="290" t="s">
        <v>1906</v>
      </c>
      <c r="Z531" t="str">
        <f>IFERROR(VLOOKUP(ROWS($Z$3:Z531),$X$3:$Y$718,2,0),"")</f>
        <v>Výroba elektrických rozvodných a kontrolních zařízení</v>
      </c>
    </row>
    <row r="532" spans="13:26" ht="12.75">
      <c r="M532" s="289">
        <f>IF(ISNUMBER(SEARCH(ZAKL_DATA!$B$29,N532)),MAX($M$2:M531)+1,0)</f>
        <v>530</v>
      </c>
      <c r="N532" s="482" t="s">
        <v>1946</v>
      </c>
      <c r="O532" s="482" t="s">
        <v>3366</v>
      </c>
      <c r="Q532" s="291" t="str">
        <f>IFERROR(VLOOKUP(ROWS($Q$3:Q532),$M$3:$N$718,2,0),"")</f>
        <v>Výroba košťat a kartáčnických výrobků</v>
      </c>
      <c r="R532">
        <f>IF(ISNUMBER(SEARCH('1Př1'!$A$32,N532)),MAX($M$2:M531)+1,0)</f>
        <v>530</v>
      </c>
      <c r="S532" s="290" t="s">
        <v>1907</v>
      </c>
      <c r="T532" t="str">
        <f>IFERROR(VLOOKUP(ROWS($T$3:T532),$R$3:$S$718,2,0),"")</f>
        <v>Výroba optických kabelů</v>
      </c>
      <c r="U532">
        <f>IF(ISNUMBER(SEARCH('1Př1'!$A$33,N532)),MAX($M$2:M531)+1,0)</f>
        <v>530</v>
      </c>
      <c r="V532" s="290" t="s">
        <v>1907</v>
      </c>
      <c r="W532" t="str">
        <f>IFERROR(VLOOKUP(ROWS($W$3:W532),$U$3:$V$718,2,0),"")</f>
        <v>Výroba optických kabelů</v>
      </c>
      <c r="X532">
        <f>IF(ISNUMBER(SEARCH('1Př1'!$A$34,N532)),MAX($M$2:M531)+1,0)</f>
        <v>530</v>
      </c>
      <c r="Y532" s="290" t="s">
        <v>1907</v>
      </c>
      <c r="Z532" t="str">
        <f>IFERROR(VLOOKUP(ROWS($Z$3:Z532),$X$3:$Y$718,2,0),"")</f>
        <v>Výroba optických kabelů</v>
      </c>
    </row>
    <row r="533" spans="13:26" ht="12.75">
      <c r="M533" s="289">
        <f>IF(ISNUMBER(SEARCH(ZAKL_DATA!$B$29,N533)),MAX($M$2:M532)+1,0)</f>
        <v>531</v>
      </c>
      <c r="N533" s="482" t="s">
        <v>1888</v>
      </c>
      <c r="O533" s="482" t="s">
        <v>3367</v>
      </c>
      <c r="Q533" s="291" t="str">
        <f>IFERROR(VLOOKUP(ROWS($Q$3:Q533),$M$3:$N$718,2,0),"")</f>
        <v>Výroba kovových dveří a oken</v>
      </c>
      <c r="R533">
        <f>IF(ISNUMBER(SEARCH('1Př1'!$A$32,N533)),MAX($M$2:M532)+1,0)</f>
        <v>531</v>
      </c>
      <c r="S533" s="290" t="s">
        <v>1908</v>
      </c>
      <c r="T533" t="str">
        <f>IFERROR(VLOOKUP(ROWS($T$3:T533),$R$3:$S$718,2,0),"")</f>
        <v>Výroba elektrických vodičů a kabelů j. n.</v>
      </c>
      <c r="U533">
        <f>IF(ISNUMBER(SEARCH('1Př1'!$A$33,N533)),MAX($M$2:M532)+1,0)</f>
        <v>531</v>
      </c>
      <c r="V533" s="290" t="s">
        <v>1908</v>
      </c>
      <c r="W533" t="str">
        <f>IFERROR(VLOOKUP(ROWS($W$3:W533),$U$3:$V$718,2,0),"")</f>
        <v>Výroba elektrických vodičů a kabelů j. n.</v>
      </c>
      <c r="X533">
        <f>IF(ISNUMBER(SEARCH('1Př1'!$A$34,N533)),MAX($M$2:M532)+1,0)</f>
        <v>531</v>
      </c>
      <c r="Y533" s="290" t="s">
        <v>1908</v>
      </c>
      <c r="Z533" t="str">
        <f>IFERROR(VLOOKUP(ROWS($Z$3:Z533),$X$3:$Y$718,2,0),"")</f>
        <v>Výroba elektrických vodičů a kabelů j. n.</v>
      </c>
    </row>
    <row r="534" spans="13:26" ht="12.75">
      <c r="M534" s="289">
        <f>IF(ISNUMBER(SEARCH(ZAKL_DATA!$B$29,N534)),MAX($M$2:M533)+1,0)</f>
        <v>532</v>
      </c>
      <c r="N534" s="482" t="s">
        <v>1887</v>
      </c>
      <c r="O534" s="482" t="s">
        <v>3368</v>
      </c>
      <c r="Q534" s="291" t="str">
        <f>IFERROR(VLOOKUP(ROWS($Q$3:Q534),$M$3:$N$718,2,0),"")</f>
        <v>Výroba kovových konstrukcí a jejich dílů</v>
      </c>
      <c r="R534">
        <f>IF(ISNUMBER(SEARCH('1Př1'!$A$32,N534)),MAX($M$2:M533)+1,0)</f>
        <v>532</v>
      </c>
      <c r="S534" s="290" t="s">
        <v>1909</v>
      </c>
      <c r="T534" t="str">
        <f>IFERROR(VLOOKUP(ROWS($T$3:T534),$R$3:$S$718,2,0),"")</f>
        <v>Výroba elektroinstalačních zařízení</v>
      </c>
      <c r="U534">
        <f>IF(ISNUMBER(SEARCH('1Př1'!$A$33,N534)),MAX($M$2:M533)+1,0)</f>
        <v>532</v>
      </c>
      <c r="V534" s="290" t="s">
        <v>1909</v>
      </c>
      <c r="W534" t="str">
        <f>IFERROR(VLOOKUP(ROWS($W$3:W534),$U$3:$V$718,2,0),"")</f>
        <v>Výroba elektroinstalačních zařízení</v>
      </c>
      <c r="X534">
        <f>IF(ISNUMBER(SEARCH('1Př1'!$A$34,N534)),MAX($M$2:M533)+1,0)</f>
        <v>532</v>
      </c>
      <c r="Y534" s="290" t="s">
        <v>1909</v>
      </c>
      <c r="Z534" t="str">
        <f>IFERROR(VLOOKUP(ROWS($Z$3:Z534),$X$3:$Y$718,2,0),"")</f>
        <v>Výroba elektroinstalačních zařízení</v>
      </c>
    </row>
    <row r="535" spans="13:26" ht="12.75">
      <c r="M535" s="289">
        <f>IF(ISNUMBER(SEARCH(ZAKL_DATA!$B$29,N535)),MAX($M$2:M534)+1,0)</f>
        <v>533</v>
      </c>
      <c r="N535" s="482" t="s">
        <v>3369</v>
      </c>
      <c r="O535" s="482" t="s">
        <v>3370</v>
      </c>
      <c r="Q535" s="291" t="str">
        <f>IFERROR(VLOOKUP(ROWS($Q$3:Q535),$M$3:$N$718,2,0),"")</f>
        <v>Výroba kožených oděvů a kožešinových výrobků</v>
      </c>
      <c r="R535">
        <f>IF(ISNUMBER(SEARCH('1Př1'!$A$32,N535)),MAX($M$2:M534)+1,0)</f>
        <v>533</v>
      </c>
      <c r="S535" s="290" t="s">
        <v>1910</v>
      </c>
      <c r="T535" t="str">
        <f>IFERROR(VLOOKUP(ROWS($T$3:T535),$R$3:$S$718,2,0),"")</f>
        <v>Výroba elektrických spotřebičů převážně pro domácnost</v>
      </c>
      <c r="U535">
        <f>IF(ISNUMBER(SEARCH('1Př1'!$A$33,N535)),MAX($M$2:M534)+1,0)</f>
        <v>533</v>
      </c>
      <c r="V535" s="290" t="s">
        <v>1910</v>
      </c>
      <c r="W535" t="str">
        <f>IFERROR(VLOOKUP(ROWS($W$3:W535),$U$3:$V$718,2,0),"")</f>
        <v>Výroba elektrických spotřebičů převážně pro domácnost</v>
      </c>
      <c r="X535">
        <f>IF(ISNUMBER(SEARCH('1Př1'!$A$34,N535)),MAX($M$2:M534)+1,0)</f>
        <v>533</v>
      </c>
      <c r="Y535" s="290" t="s">
        <v>1910</v>
      </c>
      <c r="Z535" t="str">
        <f>IFERROR(VLOOKUP(ROWS($Z$3:Z535),$X$3:$Y$718,2,0),"")</f>
        <v>Výroba elektrických spotřebičů převážně pro domácnost</v>
      </c>
    </row>
    <row r="536" spans="13:26" ht="12.75">
      <c r="M536" s="289">
        <f>IF(ISNUMBER(SEARCH(ZAKL_DATA!$B$29,N536)),MAX($M$2:M535)+1,0)</f>
        <v>534</v>
      </c>
      <c r="N536" s="482" t="s">
        <v>3371</v>
      </c>
      <c r="O536" s="482" t="s">
        <v>3372</v>
      </c>
      <c r="Q536" s="291" t="str">
        <f>IFERROR(VLOOKUP(ROWS($Q$3:Q536),$M$3:$N$718,2,0),"")</f>
        <v>Výroba krmiv pro hospodářská zvířata</v>
      </c>
      <c r="R536">
        <f>IF(ISNUMBER(SEARCH('1Př1'!$A$32,N536)),MAX($M$2:M535)+1,0)</f>
        <v>534</v>
      </c>
      <c r="S536" s="290" t="s">
        <v>1911</v>
      </c>
      <c r="T536" t="str">
        <f>IFERROR(VLOOKUP(ROWS($T$3:T536),$R$3:$S$718,2,0),"")</f>
        <v>Výroba neelektrických spotřebičů převážně pro domácnost</v>
      </c>
      <c r="U536">
        <f>IF(ISNUMBER(SEARCH('1Př1'!$A$33,N536)),MAX($M$2:M535)+1,0)</f>
        <v>534</v>
      </c>
      <c r="V536" s="290" t="s">
        <v>1911</v>
      </c>
      <c r="W536" t="str">
        <f>IFERROR(VLOOKUP(ROWS($W$3:W536),$U$3:$V$718,2,0),"")</f>
        <v>Výroba neelektrických spotřebičů převážně pro domácnost</v>
      </c>
      <c r="X536">
        <f>IF(ISNUMBER(SEARCH('1Př1'!$A$34,N536)),MAX($M$2:M535)+1,0)</f>
        <v>534</v>
      </c>
      <c r="Y536" s="290" t="s">
        <v>1911</v>
      </c>
      <c r="Z536" t="str">
        <f>IFERROR(VLOOKUP(ROWS($Z$3:Z536),$X$3:$Y$718,2,0),"")</f>
        <v>Výroba neelektrických spotřebičů převážně pro domácnost</v>
      </c>
    </row>
    <row r="537" spans="13:26" ht="12.75">
      <c r="M537" s="289">
        <f>IF(ISNUMBER(SEARCH(ZAKL_DATA!$B$29,N537)),MAX($M$2:M536)+1,0)</f>
        <v>535</v>
      </c>
      <c r="N537" s="482" t="s">
        <v>3373</v>
      </c>
      <c r="O537" s="482" t="s">
        <v>3374</v>
      </c>
      <c r="Q537" s="291" t="str">
        <f>IFERROR(VLOOKUP(ROWS($Q$3:Q537),$M$3:$N$718,2,0),"")</f>
        <v>Výroba krmiv pro zvířata v zájmovém chovu</v>
      </c>
      <c r="R537">
        <f>IF(ISNUMBER(SEARCH('1Př1'!$A$32,N537)),MAX($M$2:M536)+1,0)</f>
        <v>535</v>
      </c>
      <c r="S537" s="290" t="s">
        <v>1912</v>
      </c>
      <c r="T537" t="str">
        <f>IFERROR(VLOOKUP(ROWS($T$3:T537),$R$3:$S$718,2,0),"")</f>
        <v>Výroba motorů a turbín, kromě motorů pro letadla, automobily a motocykly</v>
      </c>
      <c r="U537">
        <f>IF(ISNUMBER(SEARCH('1Př1'!$A$33,N537)),MAX($M$2:M536)+1,0)</f>
        <v>535</v>
      </c>
      <c r="V537" s="290" t="s">
        <v>1912</v>
      </c>
      <c r="W537" t="str">
        <f>IFERROR(VLOOKUP(ROWS($W$3:W537),$U$3:$V$718,2,0),"")</f>
        <v>Výroba motorů a turbín, kromě motorů pro letadla, automobily a motocykly</v>
      </c>
      <c r="X537">
        <f>IF(ISNUMBER(SEARCH('1Př1'!$A$34,N537)),MAX($M$2:M536)+1,0)</f>
        <v>535</v>
      </c>
      <c r="Y537" s="290" t="s">
        <v>1912</v>
      </c>
      <c r="Z537" t="str">
        <f>IFERROR(VLOOKUP(ROWS($Z$3:Z537),$X$3:$Y$718,2,0),"")</f>
        <v>Výroba motorů a turbín, kromě motorů pro letadla, automobily a motocykly</v>
      </c>
    </row>
    <row r="538" spans="13:26" ht="12.75">
      <c r="M538" s="289">
        <f>IF(ISNUMBER(SEARCH(ZAKL_DATA!$B$29,N538)),MAX($M$2:M537)+1,0)</f>
        <v>536</v>
      </c>
      <c r="N538" s="482" t="s">
        <v>1799</v>
      </c>
      <c r="O538" s="482" t="s">
        <v>3375</v>
      </c>
      <c r="Q538" s="291" t="str">
        <f>IFERROR(VLOOKUP(ROWS($Q$3:Q538),$M$3:$N$718,2,0),"")</f>
        <v>Výroba lan, provazů a síťovaných výrobků</v>
      </c>
      <c r="R538">
        <f>IF(ISNUMBER(SEARCH('1Př1'!$A$32,N538)),MAX($M$2:M537)+1,0)</f>
        <v>536</v>
      </c>
      <c r="S538" s="290" t="s">
        <v>1913</v>
      </c>
      <c r="T538" t="str">
        <f>IFERROR(VLOOKUP(ROWS($T$3:T538),$R$3:$S$718,2,0),"")</f>
        <v>Výroba hydraulických a pneumatických zařízení</v>
      </c>
      <c r="U538">
        <f>IF(ISNUMBER(SEARCH('1Př1'!$A$33,N538)),MAX($M$2:M537)+1,0)</f>
        <v>536</v>
      </c>
      <c r="V538" s="290" t="s">
        <v>1913</v>
      </c>
      <c r="W538" t="str">
        <f>IFERROR(VLOOKUP(ROWS($W$3:W538),$U$3:$V$718,2,0),"")</f>
        <v>Výroba hydraulických a pneumatických zařízení</v>
      </c>
      <c r="X538">
        <f>IF(ISNUMBER(SEARCH('1Př1'!$A$34,N538)),MAX($M$2:M537)+1,0)</f>
        <v>536</v>
      </c>
      <c r="Y538" s="290" t="s">
        <v>1913</v>
      </c>
      <c r="Z538" t="str">
        <f>IFERROR(VLOOKUP(ROWS($Z$3:Z538),$X$3:$Y$718,2,0),"")</f>
        <v>Výroba hydraulických a pneumatických zařízení</v>
      </c>
    </row>
    <row r="539" spans="13:26" ht="12.75">
      <c r="M539" s="289">
        <f>IF(ISNUMBER(SEARCH(ZAKL_DATA!$B$29,N539)),MAX($M$2:M538)+1,0)</f>
        <v>537</v>
      </c>
      <c r="N539" s="482" t="s">
        <v>1572</v>
      </c>
      <c r="O539" s="482" t="s">
        <v>3376</v>
      </c>
      <c r="Q539" s="291" t="str">
        <f>IFERROR(VLOOKUP(ROWS($Q$3:Q539),$M$3:$N$718,2,0),"")</f>
        <v>Výroba lékařských a dentálních nástrojů a potřeb</v>
      </c>
      <c r="R539">
        <f>IF(ISNUMBER(SEARCH('1Př1'!$A$32,N539)),MAX($M$2:M538)+1,0)</f>
        <v>537</v>
      </c>
      <c r="S539" s="290" t="s">
        <v>1914</v>
      </c>
      <c r="T539" t="str">
        <f>IFERROR(VLOOKUP(ROWS($T$3:T539),$R$3:$S$718,2,0),"")</f>
        <v>Výroba ostatních čerpadel a kompresorů</v>
      </c>
      <c r="U539">
        <f>IF(ISNUMBER(SEARCH('1Př1'!$A$33,N539)),MAX($M$2:M538)+1,0)</f>
        <v>537</v>
      </c>
      <c r="V539" s="290" t="s">
        <v>1914</v>
      </c>
      <c r="W539" t="str">
        <f>IFERROR(VLOOKUP(ROWS($W$3:W539),$U$3:$V$718,2,0),"")</f>
        <v>Výroba ostatních čerpadel a kompresorů</v>
      </c>
      <c r="X539">
        <f>IF(ISNUMBER(SEARCH('1Př1'!$A$34,N539)),MAX($M$2:M538)+1,0)</f>
        <v>537</v>
      </c>
      <c r="Y539" s="290" t="s">
        <v>1914</v>
      </c>
      <c r="Z539" t="str">
        <f>IFERROR(VLOOKUP(ROWS($Z$3:Z539),$X$3:$Y$718,2,0),"")</f>
        <v>Výroba ostatních čerpadel a kompresorů</v>
      </c>
    </row>
    <row r="540" spans="13:26" ht="25.5">
      <c r="M540" s="289">
        <f>IF(ISNUMBER(SEARCH(ZAKL_DATA!$B$29,N540)),MAX($M$2:M539)+1,0)</f>
        <v>538</v>
      </c>
      <c r="N540" s="482" t="s">
        <v>1916</v>
      </c>
      <c r="O540" s="482" t="s">
        <v>3377</v>
      </c>
      <c r="Q540" s="291" t="str">
        <f>IFERROR(VLOOKUP(ROWS($Q$3:Q540),$M$3:$N$718,2,0),"")</f>
        <v>Výroba ložisek, ozubených kol, převodů a hnacích prvků</v>
      </c>
      <c r="R540">
        <f>IF(ISNUMBER(SEARCH('1Př1'!$A$32,N540)),MAX($M$2:M539)+1,0)</f>
        <v>538</v>
      </c>
      <c r="S540" s="290" t="s">
        <v>1915</v>
      </c>
      <c r="T540" t="str">
        <f>IFERROR(VLOOKUP(ROWS($T$3:T540),$R$3:$S$718,2,0),"")</f>
        <v>Výroba ostatních potrubních armatur</v>
      </c>
      <c r="U540">
        <f>IF(ISNUMBER(SEARCH('1Př1'!$A$33,N540)),MAX($M$2:M539)+1,0)</f>
        <v>538</v>
      </c>
      <c r="V540" s="290" t="s">
        <v>1915</v>
      </c>
      <c r="W540" t="str">
        <f>IFERROR(VLOOKUP(ROWS($W$3:W540),$U$3:$V$718,2,0),"")</f>
        <v>Výroba ostatních potrubních armatur</v>
      </c>
      <c r="X540">
        <f>IF(ISNUMBER(SEARCH('1Př1'!$A$34,N540)),MAX($M$2:M539)+1,0)</f>
        <v>538</v>
      </c>
      <c r="Y540" s="290" t="s">
        <v>1915</v>
      </c>
      <c r="Z540" t="str">
        <f>IFERROR(VLOOKUP(ROWS($Z$3:Z540),$X$3:$Y$718,2,0),"")</f>
        <v>Výroba ostatních potrubních armatur</v>
      </c>
    </row>
    <row r="541" spans="13:26" ht="12.75">
      <c r="M541" s="289">
        <f>IF(ISNUMBER(SEARCH(ZAKL_DATA!$B$29,N541)),MAX($M$2:M540)+1,0)</f>
        <v>539</v>
      </c>
      <c r="N541" s="482" t="s">
        <v>1868</v>
      </c>
      <c r="O541" s="482" t="s">
        <v>3378</v>
      </c>
      <c r="Q541" s="291" t="str">
        <f>IFERROR(VLOOKUP(ROWS($Q$3:Q541),$M$3:$N$718,2,0),"")</f>
        <v>Výroba malt</v>
      </c>
      <c r="R541">
        <f>IF(ISNUMBER(SEARCH('1Př1'!$A$32,N541)),MAX($M$2:M540)+1,0)</f>
        <v>539</v>
      </c>
      <c r="S541" s="290" t="s">
        <v>1916</v>
      </c>
      <c r="T541" t="str">
        <f>IFERROR(VLOOKUP(ROWS($T$3:T541),$R$3:$S$718,2,0),"")</f>
        <v>Výroba ložisek, ozubených kol, převodů a hnacích prvků</v>
      </c>
      <c r="U541">
        <f>IF(ISNUMBER(SEARCH('1Př1'!$A$33,N541)),MAX($M$2:M540)+1,0)</f>
        <v>539</v>
      </c>
      <c r="V541" s="290" t="s">
        <v>1916</v>
      </c>
      <c r="W541" t="str">
        <f>IFERROR(VLOOKUP(ROWS($W$3:W541),$U$3:$V$718,2,0),"")</f>
        <v>Výroba ložisek, ozubených kol, převodů a hnacích prvků</v>
      </c>
      <c r="X541">
        <f>IF(ISNUMBER(SEARCH('1Př1'!$A$34,N541)),MAX($M$2:M540)+1,0)</f>
        <v>539</v>
      </c>
      <c r="Y541" s="290" t="s">
        <v>1916</v>
      </c>
      <c r="Z541" t="str">
        <f>IFERROR(VLOOKUP(ROWS($Z$3:Z541),$X$3:$Y$718,2,0),"")</f>
        <v>Výroba ložisek, ozubených kol, převodů a hnacích prvků</v>
      </c>
    </row>
    <row r="542" spans="13:26" ht="12.75">
      <c r="M542" s="289">
        <f>IF(ISNUMBER(SEARCH(ZAKL_DATA!$B$29,N542)),MAX($M$2:M541)+1,0)</f>
        <v>540</v>
      </c>
      <c r="N542" s="482" t="s">
        <v>1772</v>
      </c>
      <c r="O542" s="482" t="s">
        <v>3379</v>
      </c>
      <c r="Q542" s="291" t="str">
        <f>IFERROR(VLOOKUP(ROWS($Q$3:Q542),$M$3:$N$718,2,0),"")</f>
        <v>Výroba margarínu a podobných jedlých tuků</v>
      </c>
      <c r="R542">
        <f>IF(ISNUMBER(SEARCH('1Př1'!$A$32,N542)),MAX($M$2:M541)+1,0)</f>
        <v>540</v>
      </c>
      <c r="S542" s="290" t="s">
        <v>1917</v>
      </c>
      <c r="T542" t="str">
        <f>IFERROR(VLOOKUP(ROWS($T$3:T542),$R$3:$S$718,2,0),"")</f>
        <v>Výroba pecí a hořáků pro topeniště</v>
      </c>
      <c r="U542">
        <f>IF(ISNUMBER(SEARCH('1Př1'!$A$33,N542)),MAX($M$2:M541)+1,0)</f>
        <v>540</v>
      </c>
      <c r="V542" s="290" t="s">
        <v>1917</v>
      </c>
      <c r="W542" t="str">
        <f>IFERROR(VLOOKUP(ROWS($W$3:W542),$U$3:$V$718,2,0),"")</f>
        <v>Výroba pecí a hořáků pro topeniště</v>
      </c>
      <c r="X542">
        <f>IF(ISNUMBER(SEARCH('1Př1'!$A$34,N542)),MAX($M$2:M541)+1,0)</f>
        <v>540</v>
      </c>
      <c r="Y542" s="290" t="s">
        <v>1917</v>
      </c>
      <c r="Z542" t="str">
        <f>IFERROR(VLOOKUP(ROWS($Z$3:Z542),$X$3:$Y$718,2,0),"")</f>
        <v>Výroba pecí a hořáků pro topeniště</v>
      </c>
    </row>
    <row r="543" spans="13:26" ht="25.5">
      <c r="M543" s="289">
        <f>IF(ISNUMBER(SEARCH(ZAKL_DATA!$B$29,N543)),MAX($M$2:M542)+1,0)</f>
        <v>541</v>
      </c>
      <c r="N543" s="482" t="s">
        <v>1767</v>
      </c>
      <c r="O543" s="482" t="s">
        <v>3380</v>
      </c>
      <c r="Q543" s="291" t="str">
        <f>IFERROR(VLOOKUP(ROWS($Q$3:Q543),$M$3:$N$718,2,0),"")</f>
        <v>Výroba masných výrobků a výrobků z drůbežího masa</v>
      </c>
      <c r="R543">
        <f>IF(ISNUMBER(SEARCH('1Př1'!$A$32,N543)),MAX($M$2:M542)+1,0)</f>
        <v>541</v>
      </c>
      <c r="S543" s="290" t="s">
        <v>1918</v>
      </c>
      <c r="T543" t="str">
        <f>IFERROR(VLOOKUP(ROWS($T$3:T543),$R$3:$S$718,2,0),"")</f>
        <v>Výroba zdvihacích a manipulačních zařízení</v>
      </c>
      <c r="U543">
        <f>IF(ISNUMBER(SEARCH('1Př1'!$A$33,N543)),MAX($M$2:M542)+1,0)</f>
        <v>541</v>
      </c>
      <c r="V543" s="290" t="s">
        <v>1918</v>
      </c>
      <c r="W543" t="str">
        <f>IFERROR(VLOOKUP(ROWS($W$3:W543),$U$3:$V$718,2,0),"")</f>
        <v>Výroba zdvihacích a manipulačních zařízení</v>
      </c>
      <c r="X543">
        <f>IF(ISNUMBER(SEARCH('1Př1'!$A$34,N543)),MAX($M$2:M542)+1,0)</f>
        <v>541</v>
      </c>
      <c r="Y543" s="290" t="s">
        <v>1918</v>
      </c>
      <c r="Z543" t="str">
        <f>IFERROR(VLOOKUP(ROWS($Z$3:Z543),$X$3:$Y$718,2,0),"")</f>
        <v>Výroba zdvihacích a manipulačních zařízení</v>
      </c>
    </row>
    <row r="544" spans="13:26" ht="12.75">
      <c r="M544" s="289">
        <f>IF(ISNUMBER(SEARCH(ZAKL_DATA!$B$29,N544)),MAX($M$2:M543)+1,0)</f>
        <v>542</v>
      </c>
      <c r="N544" s="482" t="s">
        <v>2147</v>
      </c>
      <c r="O544" s="482" t="s">
        <v>3381</v>
      </c>
      <c r="Q544" s="291" t="str">
        <f>IFERROR(VLOOKUP(ROWS($Q$3:Q544),$M$3:$N$718,2,0),"")</f>
        <v>Výroba mechanických vláknin</v>
      </c>
      <c r="R544">
        <f>IF(ISNUMBER(SEARCH('1Př1'!$A$32,N544)),MAX($M$2:M543)+1,0)</f>
        <v>542</v>
      </c>
      <c r="S544" s="290" t="s">
        <v>1919</v>
      </c>
      <c r="T544" t="str">
        <f>IFERROR(VLOOKUP(ROWS($T$3:T544),$R$3:$S$718,2,0),"")</f>
        <v>Výroba kancelářských strojů a zařízení,kromě počítačů a perif.zařízení</v>
      </c>
      <c r="U544">
        <f>IF(ISNUMBER(SEARCH('1Př1'!$A$33,N544)),MAX($M$2:M543)+1,0)</f>
        <v>542</v>
      </c>
      <c r="V544" s="290" t="s">
        <v>1919</v>
      </c>
      <c r="W544" t="str">
        <f>IFERROR(VLOOKUP(ROWS($W$3:W544),$U$3:$V$718,2,0),"")</f>
        <v>Výroba kancelářských strojů a zařízení,kromě počítačů a perif.zařízení</v>
      </c>
      <c r="X544">
        <f>IF(ISNUMBER(SEARCH('1Př1'!$A$34,N544)),MAX($M$2:M543)+1,0)</f>
        <v>542</v>
      </c>
      <c r="Y544" s="290" t="s">
        <v>1919</v>
      </c>
      <c r="Z544" t="str">
        <f>IFERROR(VLOOKUP(ROWS($Z$3:Z544),$X$3:$Y$718,2,0),"")</f>
        <v>Výroba kancelářských strojů a zařízení,kromě počítačů a perif.zařízení</v>
      </c>
    </row>
    <row r="545" spans="13:26" ht="25.5">
      <c r="M545" s="289">
        <f>IF(ISNUMBER(SEARCH(ZAKL_DATA!$B$29,N545)),MAX($M$2:M544)+1,0)</f>
        <v>543</v>
      </c>
      <c r="N545" s="482" t="s">
        <v>1903</v>
      </c>
      <c r="O545" s="482" t="s">
        <v>3382</v>
      </c>
      <c r="Q545" s="291" t="str">
        <f>IFERROR(VLOOKUP(ROWS($Q$3:Q545),$M$3:$N$718,2,0),"")</f>
        <v>Výroba měřicích, zkušebních a navigačních přístrojů</v>
      </c>
      <c r="R545">
        <f>IF(ISNUMBER(SEARCH('1Př1'!$A$32,N545)),MAX($M$2:M544)+1,0)</f>
        <v>543</v>
      </c>
      <c r="S545" s="290" t="s">
        <v>1920</v>
      </c>
      <c r="T545" t="str">
        <f>IFERROR(VLOOKUP(ROWS($T$3:T545),$R$3:$S$718,2,0),"")</f>
        <v>Výroba ručních mechanizovaných nástrojů</v>
      </c>
      <c r="U545">
        <f>IF(ISNUMBER(SEARCH('1Př1'!$A$33,N545)),MAX($M$2:M544)+1,0)</f>
        <v>543</v>
      </c>
      <c r="V545" s="290" t="s">
        <v>1920</v>
      </c>
      <c r="W545" t="str">
        <f>IFERROR(VLOOKUP(ROWS($W$3:W545),$U$3:$V$718,2,0),"")</f>
        <v>Výroba ručních mechanizovaných nástrojů</v>
      </c>
      <c r="X545">
        <f>IF(ISNUMBER(SEARCH('1Př1'!$A$34,N545)),MAX($M$2:M544)+1,0)</f>
        <v>543</v>
      </c>
      <c r="Y545" s="290" t="s">
        <v>1920</v>
      </c>
      <c r="Z545" t="str">
        <f>IFERROR(VLOOKUP(ROWS($Z$3:Z545),$X$3:$Y$718,2,0),"")</f>
        <v>Výroba ručních mechanizovaných nástrojů</v>
      </c>
    </row>
    <row r="546" spans="13:26" ht="12.75">
      <c r="M546" s="289">
        <f>IF(ISNUMBER(SEARCH(ZAKL_DATA!$B$29,N546)),MAX($M$2:M545)+1,0)</f>
        <v>544</v>
      </c>
      <c r="N546" s="482" t="s">
        <v>1139</v>
      </c>
      <c r="O546" s="482" t="s">
        <v>3383</v>
      </c>
      <c r="Q546" s="291" t="str">
        <f>IFERROR(VLOOKUP(ROWS($Q$3:Q546),$M$3:$N$718,2,0),"")</f>
        <v>Výroba mléčných výrobků</v>
      </c>
      <c r="R546">
        <f>IF(ISNUMBER(SEARCH('1Př1'!$A$32,N546)),MAX($M$2:M545)+1,0)</f>
        <v>544</v>
      </c>
      <c r="S546" s="290" t="s">
        <v>1921</v>
      </c>
      <c r="T546" t="str">
        <f>IFERROR(VLOOKUP(ROWS($T$3:T546),$R$3:$S$718,2,0),"")</f>
        <v>Výroba průmyslových chladicích a klimatizačních zařízení</v>
      </c>
      <c r="U546">
        <f>IF(ISNUMBER(SEARCH('1Př1'!$A$33,N546)),MAX($M$2:M545)+1,0)</f>
        <v>544</v>
      </c>
      <c r="V546" s="290" t="s">
        <v>1921</v>
      </c>
      <c r="W546" t="str">
        <f>IFERROR(VLOOKUP(ROWS($W$3:W546),$U$3:$V$718,2,0),"")</f>
        <v>Výroba průmyslových chladicích a klimatizačních zařízení</v>
      </c>
      <c r="X546">
        <f>IF(ISNUMBER(SEARCH('1Př1'!$A$34,N546)),MAX($M$2:M545)+1,0)</f>
        <v>544</v>
      </c>
      <c r="Y546" s="290" t="s">
        <v>1921</v>
      </c>
      <c r="Z546" t="str">
        <f>IFERROR(VLOOKUP(ROWS($Z$3:Z546),$X$3:$Y$718,2,0),"")</f>
        <v>Výroba průmyslových chladicích a klimatizačních zařízení</v>
      </c>
    </row>
    <row r="547" spans="13:26" ht="12.75">
      <c r="M547" s="289">
        <f>IF(ISNUMBER(SEARCH(ZAKL_DATA!$B$29,N547)),MAX($M$2:M546)+1,0)</f>
        <v>545</v>
      </c>
      <c r="N547" s="482" t="s">
        <v>1775</v>
      </c>
      <c r="O547" s="482" t="s">
        <v>3384</v>
      </c>
      <c r="Q547" s="291" t="str">
        <f>IFERROR(VLOOKUP(ROWS($Q$3:Q547),$M$3:$N$718,2,0),"")</f>
        <v>Výroba mlýnských výrobků</v>
      </c>
      <c r="R547">
        <f>IF(ISNUMBER(SEARCH('1Př1'!$A$32,N547)),MAX($M$2:M546)+1,0)</f>
        <v>545</v>
      </c>
      <c r="S547" s="290" t="s">
        <v>1922</v>
      </c>
      <c r="T547" t="str">
        <f>IFERROR(VLOOKUP(ROWS($T$3:T547),$R$3:$S$718,2,0),"")</f>
        <v>Výroba ostatních strojů a zařízení pro všeobecné účely j. n.</v>
      </c>
      <c r="U547">
        <f>IF(ISNUMBER(SEARCH('1Př1'!$A$33,N547)),MAX($M$2:M546)+1,0)</f>
        <v>545</v>
      </c>
      <c r="V547" s="290" t="s">
        <v>1922</v>
      </c>
      <c r="W547" t="str">
        <f>IFERROR(VLOOKUP(ROWS($W$3:W547),$U$3:$V$718,2,0),"")</f>
        <v>Výroba ostatních strojů a zařízení pro všeobecné účely j. n.</v>
      </c>
      <c r="X547">
        <f>IF(ISNUMBER(SEARCH('1Př1'!$A$34,N547)),MAX($M$2:M546)+1,0)</f>
        <v>545</v>
      </c>
      <c r="Y547" s="290" t="s">
        <v>1922</v>
      </c>
      <c r="Z547" t="str">
        <f>IFERROR(VLOOKUP(ROWS($Z$3:Z547),$X$3:$Y$718,2,0),"")</f>
        <v>Výroba ostatních strojů a zařízení pro všeobecné účely j. n.</v>
      </c>
    </row>
    <row r="548" spans="13:26" ht="12.75">
      <c r="M548" s="289">
        <f>IF(ISNUMBER(SEARCH(ZAKL_DATA!$B$29,N548)),MAX($M$2:M547)+1,0)</f>
        <v>546</v>
      </c>
      <c r="N548" s="482" t="s">
        <v>1936</v>
      </c>
      <c r="O548" s="482" t="s">
        <v>3385</v>
      </c>
      <c r="Q548" s="291" t="str">
        <f>IFERROR(VLOOKUP(ROWS($Q$3:Q548),$M$3:$N$718,2,0),"")</f>
        <v>Výroba motocyklů</v>
      </c>
      <c r="R548">
        <f>IF(ISNUMBER(SEARCH('1Př1'!$A$32,N548)),MAX($M$2:M547)+1,0)</f>
        <v>546</v>
      </c>
      <c r="S548" s="290" t="s">
        <v>1923</v>
      </c>
      <c r="T548" t="str">
        <f>IFERROR(VLOOKUP(ROWS($T$3:T548),$R$3:$S$718,2,0),"")</f>
        <v>Výroba kovoobráběcích strojů</v>
      </c>
      <c r="U548">
        <f>IF(ISNUMBER(SEARCH('1Př1'!$A$33,N548)),MAX($M$2:M547)+1,0)</f>
        <v>546</v>
      </c>
      <c r="V548" s="290" t="s">
        <v>1923</v>
      </c>
      <c r="W548" t="str">
        <f>IFERROR(VLOOKUP(ROWS($W$3:W548),$U$3:$V$718,2,0),"")</f>
        <v>Výroba kovoobráběcích strojů</v>
      </c>
      <c r="X548">
        <f>IF(ISNUMBER(SEARCH('1Př1'!$A$34,N548)),MAX($M$2:M547)+1,0)</f>
        <v>546</v>
      </c>
      <c r="Y548" s="290" t="s">
        <v>1923</v>
      </c>
      <c r="Z548" t="str">
        <f>IFERROR(VLOOKUP(ROWS($Z$3:Z548),$X$3:$Y$718,2,0),"")</f>
        <v>Výroba kovoobráběcích strojů</v>
      </c>
    </row>
    <row r="549" spans="13:26" ht="12.75">
      <c r="M549" s="289">
        <f>IF(ISNUMBER(SEARCH(ZAKL_DATA!$B$29,N549)),MAX($M$2:M548)+1,0)</f>
        <v>547</v>
      </c>
      <c r="N549" s="482" t="s">
        <v>3386</v>
      </c>
      <c r="O549" s="482" t="s">
        <v>3387</v>
      </c>
      <c r="Q549" s="291" t="str">
        <f>IFERROR(VLOOKUP(ROWS($Q$3:Q549),$M$3:$N$718,2,0),"")</f>
        <v>Výroba motorových vozidel</v>
      </c>
      <c r="R549">
        <f>IF(ISNUMBER(SEARCH('1Př1'!$A$32,N549)),MAX($M$2:M548)+1,0)</f>
        <v>547</v>
      </c>
      <c r="S549" s="290" t="s">
        <v>1924</v>
      </c>
      <c r="T549" t="str">
        <f>IFERROR(VLOOKUP(ROWS($T$3:T549),$R$3:$S$718,2,0),"")</f>
        <v>Výroba ostatních obráběcích strojů</v>
      </c>
      <c r="U549">
        <f>IF(ISNUMBER(SEARCH('1Př1'!$A$33,N549)),MAX($M$2:M548)+1,0)</f>
        <v>547</v>
      </c>
      <c r="V549" s="290" t="s">
        <v>1924</v>
      </c>
      <c r="W549" t="str">
        <f>IFERROR(VLOOKUP(ROWS($W$3:W549),$U$3:$V$718,2,0),"")</f>
        <v>Výroba ostatních obráběcích strojů</v>
      </c>
      <c r="X549">
        <f>IF(ISNUMBER(SEARCH('1Př1'!$A$34,N549)),MAX($M$2:M548)+1,0)</f>
        <v>547</v>
      </c>
      <c r="Y549" s="290" t="s">
        <v>1924</v>
      </c>
      <c r="Z549" t="str">
        <f>IFERROR(VLOOKUP(ROWS($Z$3:Z549),$X$3:$Y$718,2,0),"")</f>
        <v>Výroba ostatních obráběcích strojů</v>
      </c>
    </row>
    <row r="550" spans="13:26" ht="25.5">
      <c r="M550" s="289">
        <f>IF(ISNUMBER(SEARCH(ZAKL_DATA!$B$29,N550)),MAX($M$2:M549)+1,0)</f>
        <v>548</v>
      </c>
      <c r="N550" s="482" t="s">
        <v>1912</v>
      </c>
      <c r="O550" s="482" t="s">
        <v>3388</v>
      </c>
      <c r="Q550" s="291" t="str">
        <f>IFERROR(VLOOKUP(ROWS($Q$3:Q550),$M$3:$N$718,2,0),"")</f>
        <v>Výroba motorů a turbín, kromě motorů pro letadla, automobily a motocykly</v>
      </c>
      <c r="R550">
        <f>IF(ISNUMBER(SEARCH('1Př1'!$A$32,N550)),MAX($M$2:M549)+1,0)</f>
        <v>548</v>
      </c>
      <c r="S550" s="290" t="s">
        <v>1925</v>
      </c>
      <c r="T550" t="str">
        <f>IFERROR(VLOOKUP(ROWS($T$3:T550),$R$3:$S$718,2,0),"")</f>
        <v>Výroba strojů pro metalurgii</v>
      </c>
      <c r="U550">
        <f>IF(ISNUMBER(SEARCH('1Př1'!$A$33,N550)),MAX($M$2:M549)+1,0)</f>
        <v>548</v>
      </c>
      <c r="V550" s="290" t="s">
        <v>1925</v>
      </c>
      <c r="W550" t="str">
        <f>IFERROR(VLOOKUP(ROWS($W$3:W550),$U$3:$V$718,2,0),"")</f>
        <v>Výroba strojů pro metalurgii</v>
      </c>
      <c r="X550">
        <f>IF(ISNUMBER(SEARCH('1Př1'!$A$34,N550)),MAX($M$2:M549)+1,0)</f>
        <v>548</v>
      </c>
      <c r="Y550" s="290" t="s">
        <v>1925</v>
      </c>
      <c r="Z550" t="str">
        <f>IFERROR(VLOOKUP(ROWS($Z$3:Z550),$X$3:$Y$718,2,0),"")</f>
        <v>Výroba strojů pro metalurgii</v>
      </c>
    </row>
    <row r="551" spans="13:26" ht="12.75">
      <c r="M551" s="289">
        <f>IF(ISNUMBER(SEARCH(ZAKL_DATA!$B$29,N551)),MAX($M$2:M550)+1,0)</f>
        <v>549</v>
      </c>
      <c r="N551" s="482" t="s">
        <v>3389</v>
      </c>
      <c r="O551" s="482" t="s">
        <v>3390</v>
      </c>
      <c r="Q551" s="291" t="str">
        <f>IFERROR(VLOOKUP(ROWS($Q$3:Q551),$M$3:$N$718,2,0),"")</f>
        <v>Výroba moučných výrobků</v>
      </c>
      <c r="R551">
        <f>IF(ISNUMBER(SEARCH('1Př1'!$A$32,N551)),MAX($M$2:M550)+1,0)</f>
        <v>549</v>
      </c>
      <c r="S551" s="290" t="s">
        <v>1926</v>
      </c>
      <c r="T551" t="str">
        <f>IFERROR(VLOOKUP(ROWS($T$3:T551),$R$3:$S$718,2,0),"")</f>
        <v>Výroba strojů pro těžbu, dobývání a stavebnictví</v>
      </c>
      <c r="U551">
        <f>IF(ISNUMBER(SEARCH('1Př1'!$A$33,N551)),MAX($M$2:M550)+1,0)</f>
        <v>549</v>
      </c>
      <c r="V551" s="290" t="s">
        <v>1926</v>
      </c>
      <c r="W551" t="str">
        <f>IFERROR(VLOOKUP(ROWS($W$3:W551),$U$3:$V$718,2,0),"")</f>
        <v>Výroba strojů pro těžbu, dobývání a stavebnictví</v>
      </c>
      <c r="X551">
        <f>IF(ISNUMBER(SEARCH('1Př1'!$A$34,N551)),MAX($M$2:M550)+1,0)</f>
        <v>549</v>
      </c>
      <c r="Y551" s="290" t="s">
        <v>1926</v>
      </c>
      <c r="Z551" t="str">
        <f>IFERROR(VLOOKUP(ROWS($Z$3:Z551),$X$3:$Y$718,2,0),"")</f>
        <v>Výroba strojů pro těžbu, dobývání a stavebnictví</v>
      </c>
    </row>
    <row r="552" spans="13:26" ht="25.5">
      <c r="M552" s="289">
        <f>IF(ISNUMBER(SEARCH(ZAKL_DATA!$B$29,N552)),MAX($M$2:M551)+1,0)</f>
        <v>550</v>
      </c>
      <c r="N552" s="482" t="s">
        <v>3391</v>
      </c>
      <c r="O552" s="482" t="s">
        <v>3392</v>
      </c>
      <c r="Q552" s="291" t="str">
        <f>IFERROR(VLOOKUP(ROWS($Q$3:Q552),$M$3:$N$718,2,0),"")</f>
        <v>Výroba mýdel, detergentů a čisticích a lešticích prostředků</v>
      </c>
      <c r="R552">
        <f>IF(ISNUMBER(SEARCH('1Př1'!$A$32,N552)),MAX($M$2:M551)+1,0)</f>
        <v>550</v>
      </c>
      <c r="S552" s="290" t="s">
        <v>1927</v>
      </c>
      <c r="T552" t="str">
        <f>IFERROR(VLOOKUP(ROWS($T$3:T552),$R$3:$S$718,2,0),"")</f>
        <v>Výroba strojů na výrobu potravin, nápojů a zpracování tabáku</v>
      </c>
      <c r="U552">
        <f>IF(ISNUMBER(SEARCH('1Př1'!$A$33,N552)),MAX($M$2:M551)+1,0)</f>
        <v>550</v>
      </c>
      <c r="V552" s="290" t="s">
        <v>1927</v>
      </c>
      <c r="W552" t="str">
        <f>IFERROR(VLOOKUP(ROWS($W$3:W552),$U$3:$V$718,2,0),"")</f>
        <v>Výroba strojů na výrobu potravin, nápojů a zpracování tabáku</v>
      </c>
      <c r="X552">
        <f>IF(ISNUMBER(SEARCH('1Př1'!$A$34,N552)),MAX($M$2:M551)+1,0)</f>
        <v>550</v>
      </c>
      <c r="Y552" s="290" t="s">
        <v>1927</v>
      </c>
      <c r="Z552" t="str">
        <f>IFERROR(VLOOKUP(ROWS($Z$3:Z552),$X$3:$Y$718,2,0),"")</f>
        <v>Výroba strojů na výrobu potravin, nápojů a zpracování tabáku</v>
      </c>
    </row>
    <row r="553" spans="13:26" ht="12.75">
      <c r="M553" s="289">
        <f>IF(ISNUMBER(SEARCH(ZAKL_DATA!$B$29,N553)),MAX($M$2:M552)+1,0)</f>
        <v>551</v>
      </c>
      <c r="N553" s="482" t="s">
        <v>841</v>
      </c>
      <c r="O553" s="482" t="s">
        <v>3393</v>
      </c>
      <c r="Q553" s="291" t="str">
        <f>IFERROR(VLOOKUP(ROWS($Q$3:Q553),$M$3:$N$718,2,0),"")</f>
        <v>Výroba nábytku</v>
      </c>
      <c r="R553">
        <f>IF(ISNUMBER(SEARCH('1Př1'!$A$32,N553)),MAX($M$2:M552)+1,0)</f>
        <v>551</v>
      </c>
      <c r="S553" s="290" t="s">
        <v>1928</v>
      </c>
      <c r="T553" t="str">
        <f>IFERROR(VLOOKUP(ROWS($T$3:T553),$R$3:$S$718,2,0),"")</f>
        <v>Výroba strojů na výrobu textilu, oděvních výrobků a výrobků z usní</v>
      </c>
      <c r="U553">
        <f>IF(ISNUMBER(SEARCH('1Př1'!$A$33,N553)),MAX($M$2:M552)+1,0)</f>
        <v>551</v>
      </c>
      <c r="V553" s="290" t="s">
        <v>1928</v>
      </c>
      <c r="W553" t="str">
        <f>IFERROR(VLOOKUP(ROWS($W$3:W553),$U$3:$V$718,2,0),"")</f>
        <v>Výroba strojů na výrobu textilu, oděvních výrobků a výrobků z usní</v>
      </c>
      <c r="X553">
        <f>IF(ISNUMBER(SEARCH('1Př1'!$A$34,N553)),MAX($M$2:M552)+1,0)</f>
        <v>551</v>
      </c>
      <c r="Y553" s="290" t="s">
        <v>1928</v>
      </c>
      <c r="Z553" t="str">
        <f>IFERROR(VLOOKUP(ROWS($Z$3:Z553),$X$3:$Y$718,2,0),"")</f>
        <v>Výroba strojů na výrobu textilu, oděvních výrobků a výrobků z usní</v>
      </c>
    </row>
    <row r="554" spans="13:26" ht="12.75">
      <c r="M554" s="289">
        <f>IF(ISNUMBER(SEARCH(ZAKL_DATA!$B$29,N554)),MAX($M$2:M553)+1,0)</f>
        <v>552</v>
      </c>
      <c r="N554" s="482" t="s">
        <v>1895</v>
      </c>
      <c r="O554" s="482" t="s">
        <v>3394</v>
      </c>
      <c r="Q554" s="291" t="str">
        <f>IFERROR(VLOOKUP(ROWS($Q$3:Q554),$M$3:$N$718,2,0),"")</f>
        <v>Výroba nástrojů a nářadí</v>
      </c>
      <c r="R554">
        <f>IF(ISNUMBER(SEARCH('1Př1'!$A$32,N554)),MAX($M$2:M553)+1,0)</f>
        <v>552</v>
      </c>
      <c r="S554" s="290" t="s">
        <v>1929</v>
      </c>
      <c r="T554" t="str">
        <f>IFERROR(VLOOKUP(ROWS($T$3:T554),$R$3:$S$718,2,0),"")</f>
        <v>Výroba strojů a přístrojů na výrobu papíru a lepenky</v>
      </c>
      <c r="U554">
        <f>IF(ISNUMBER(SEARCH('1Př1'!$A$33,N554)),MAX($M$2:M553)+1,0)</f>
        <v>552</v>
      </c>
      <c r="V554" s="290" t="s">
        <v>1929</v>
      </c>
      <c r="W554" t="str">
        <f>IFERROR(VLOOKUP(ROWS($W$3:W554),$U$3:$V$718,2,0),"")</f>
        <v>Výroba strojů a přístrojů na výrobu papíru a lepenky</v>
      </c>
      <c r="X554">
        <f>IF(ISNUMBER(SEARCH('1Př1'!$A$34,N554)),MAX($M$2:M553)+1,0)</f>
        <v>552</v>
      </c>
      <c r="Y554" s="290" t="s">
        <v>1929</v>
      </c>
      <c r="Z554" t="str">
        <f>IFERROR(VLOOKUP(ROWS($Z$3:Z554),$X$3:$Y$718,2,0),"")</f>
        <v>Výroba strojů a přístrojů na výrobu papíru a lepenky</v>
      </c>
    </row>
    <row r="555" spans="13:26" ht="12.75">
      <c r="M555" s="289">
        <f>IF(ISNUMBER(SEARCH(ZAKL_DATA!$B$29,N555)),MAX($M$2:M554)+1,0)</f>
        <v>553</v>
      </c>
      <c r="N555" s="482" t="s">
        <v>3395</v>
      </c>
      <c r="O555" s="482" t="s">
        <v>3396</v>
      </c>
      <c r="Q555" s="291" t="str">
        <f>IFERROR(VLOOKUP(ROWS($Q$3:Q555),$M$3:$N$718,2,0),"")</f>
        <v>Výroba nealkoholických nápojů a balených vod</v>
      </c>
      <c r="R555">
        <f>IF(ISNUMBER(SEARCH('1Př1'!$A$32,N555)),MAX($M$2:M554)+1,0)</f>
        <v>553</v>
      </c>
      <c r="S555" s="290" t="s">
        <v>1930</v>
      </c>
      <c r="T555" t="str">
        <f>IFERROR(VLOOKUP(ROWS($T$3:T555),$R$3:$S$718,2,0),"")</f>
        <v>Výroba strojů na výrobu plastů a pryže</v>
      </c>
      <c r="U555">
        <f>IF(ISNUMBER(SEARCH('1Př1'!$A$33,N555)),MAX($M$2:M554)+1,0)</f>
        <v>553</v>
      </c>
      <c r="V555" s="290" t="s">
        <v>1930</v>
      </c>
      <c r="W555" t="str">
        <f>IFERROR(VLOOKUP(ROWS($W$3:W555),$U$3:$V$718,2,0),"")</f>
        <v>Výroba strojů na výrobu plastů a pryže</v>
      </c>
      <c r="X555">
        <f>IF(ISNUMBER(SEARCH('1Př1'!$A$34,N555)),MAX($M$2:M554)+1,0)</f>
        <v>553</v>
      </c>
      <c r="Y555" s="290" t="s">
        <v>1930</v>
      </c>
      <c r="Z555" t="str">
        <f>IFERROR(VLOOKUP(ROWS($Z$3:Z555),$X$3:$Y$718,2,0),"")</f>
        <v>Výroba strojů na výrobu plastů a pryže</v>
      </c>
    </row>
    <row r="556" spans="13:26" ht="25.5">
      <c r="M556" s="289">
        <f>IF(ISNUMBER(SEARCH(ZAKL_DATA!$B$29,N556)),MAX($M$2:M555)+1,0)</f>
        <v>554</v>
      </c>
      <c r="N556" s="482" t="s">
        <v>1911</v>
      </c>
      <c r="O556" s="482" t="s">
        <v>3397</v>
      </c>
      <c r="Q556" s="291" t="str">
        <f>IFERROR(VLOOKUP(ROWS($Q$3:Q556),$M$3:$N$718,2,0),"")</f>
        <v>Výroba neelektrických spotřebičů převážně pro domácnost</v>
      </c>
      <c r="R556">
        <f>IF(ISNUMBER(SEARCH('1Př1'!$A$32,N556)),MAX($M$2:M555)+1,0)</f>
        <v>554</v>
      </c>
      <c r="S556" s="290" t="s">
        <v>1931</v>
      </c>
      <c r="T556" t="str">
        <f>IFERROR(VLOOKUP(ROWS($T$3:T556),$R$3:$S$718,2,0),"")</f>
        <v>Výroba ostatních strojů pro speciální účely j. n.</v>
      </c>
      <c r="U556">
        <f>IF(ISNUMBER(SEARCH('1Př1'!$A$33,N556)),MAX($M$2:M555)+1,0)</f>
        <v>554</v>
      </c>
      <c r="V556" s="290" t="s">
        <v>1931</v>
      </c>
      <c r="W556" t="str">
        <f>IFERROR(VLOOKUP(ROWS($W$3:W556),$U$3:$V$718,2,0),"")</f>
        <v>Výroba ostatních strojů pro speciální účely j. n.</v>
      </c>
      <c r="X556">
        <f>IF(ISNUMBER(SEARCH('1Př1'!$A$34,N556)),MAX($M$2:M555)+1,0)</f>
        <v>554</v>
      </c>
      <c r="Y556" s="290" t="s">
        <v>1931</v>
      </c>
      <c r="Z556" t="str">
        <f>IFERROR(VLOOKUP(ROWS($Z$3:Z556),$X$3:$Y$718,2,0),"")</f>
        <v>Výroba ostatních strojů pro speciální účely j. n.</v>
      </c>
    </row>
    <row r="557" spans="13:26" ht="12.75">
      <c r="M557" s="289">
        <f>IF(ISNUMBER(SEARCH(ZAKL_DATA!$B$29,N557)),MAX($M$2:M556)+1,0)</f>
        <v>555</v>
      </c>
      <c r="N557" s="482" t="s">
        <v>3398</v>
      </c>
      <c r="O557" s="482" t="s">
        <v>3399</v>
      </c>
      <c r="Q557" s="291" t="str">
        <f>IFERROR(VLOOKUP(ROWS($Q$3:Q557),$M$3:$N$718,2,0),"")</f>
        <v>Výroba netkaných textilií a výrobků z nich</v>
      </c>
      <c r="R557">
        <f>IF(ISNUMBER(SEARCH('1Př1'!$A$32,N557)),MAX($M$2:M556)+1,0)</f>
        <v>555</v>
      </c>
      <c r="S557" s="290" t="s">
        <v>1932</v>
      </c>
      <c r="T557" t="str">
        <f>IFERROR(VLOOKUP(ROWS($T$3:T557),$R$3:$S$718,2,0),"")</f>
        <v>Výroba elektrického a elektronického zařízení pro motorová vozidla</v>
      </c>
      <c r="U557">
        <f>IF(ISNUMBER(SEARCH('1Př1'!$A$33,N557)),MAX($M$2:M556)+1,0)</f>
        <v>555</v>
      </c>
      <c r="V557" s="290" t="s">
        <v>1932</v>
      </c>
      <c r="W557" t="str">
        <f>IFERROR(VLOOKUP(ROWS($W$3:W557),$U$3:$V$718,2,0),"")</f>
        <v>Výroba elektrického a elektronického zařízení pro motorová vozidla</v>
      </c>
      <c r="X557">
        <f>IF(ISNUMBER(SEARCH('1Př1'!$A$34,N557)),MAX($M$2:M556)+1,0)</f>
        <v>555</v>
      </c>
      <c r="Y557" s="290" t="s">
        <v>1932</v>
      </c>
      <c r="Z557" t="str">
        <f>IFERROR(VLOOKUP(ROWS($Z$3:Z557),$X$3:$Y$718,2,0),"")</f>
        <v>Výroba elektrického a elektronického zařízení pro motorová vozidla</v>
      </c>
    </row>
    <row r="558" spans="13:26" ht="12.75">
      <c r="M558" s="289">
        <f>IF(ISNUMBER(SEARCH(ZAKL_DATA!$B$29,N558)),MAX($M$2:M557)+1,0)</f>
        <v>556</v>
      </c>
      <c r="N558" s="482" t="s">
        <v>1893</v>
      </c>
      <c r="O558" s="482" t="s">
        <v>3400</v>
      </c>
      <c r="Q558" s="291" t="str">
        <f>IFERROR(VLOOKUP(ROWS($Q$3:Q558),$M$3:$N$718,2,0),"")</f>
        <v>Výroba nožířských výrobků</v>
      </c>
      <c r="R558">
        <f>IF(ISNUMBER(SEARCH('1Př1'!$A$32,N558)),MAX($M$2:M557)+1,0)</f>
        <v>556</v>
      </c>
      <c r="S558" s="290" t="s">
        <v>1933</v>
      </c>
      <c r="T558" t="str">
        <f>IFERROR(VLOOKUP(ROWS($T$3:T558),$R$3:$S$718,2,0),"")</f>
        <v>Výroba ostatních dílů a příslušenství pro motorová vozidla</v>
      </c>
      <c r="U558">
        <f>IF(ISNUMBER(SEARCH('1Př1'!$A$33,N558)),MAX($M$2:M557)+1,0)</f>
        <v>556</v>
      </c>
      <c r="V558" s="290" t="s">
        <v>1933</v>
      </c>
      <c r="W558" t="str">
        <f>IFERROR(VLOOKUP(ROWS($W$3:W558),$U$3:$V$718,2,0),"")</f>
        <v>Výroba ostatních dílů a příslušenství pro motorová vozidla</v>
      </c>
      <c r="X558">
        <f>IF(ISNUMBER(SEARCH('1Př1'!$A$34,N558)),MAX($M$2:M557)+1,0)</f>
        <v>556</v>
      </c>
      <c r="Y558" s="290" t="s">
        <v>1933</v>
      </c>
      <c r="Z558" t="str">
        <f>IFERROR(VLOOKUP(ROWS($Z$3:Z558),$X$3:$Y$718,2,0),"")</f>
        <v>Výroba ostatních dílů a příslušenství pro motorová vozidla</v>
      </c>
    </row>
    <row r="559" spans="13:26" ht="12.75">
      <c r="M559" s="289">
        <f>IF(ISNUMBER(SEARCH(ZAKL_DATA!$B$29,N559)),MAX($M$2:M558)+1,0)</f>
        <v>557</v>
      </c>
      <c r="N559" s="482" t="s">
        <v>3401</v>
      </c>
      <c r="O559" s="482" t="s">
        <v>3402</v>
      </c>
      <c r="Q559" s="291" t="str">
        <f>IFERROR(VLOOKUP(ROWS($Q$3:Q559),$M$3:$N$718,2,0),"")</f>
        <v>Výroba obalů z lehkých kovů</v>
      </c>
      <c r="R559">
        <f>IF(ISNUMBER(SEARCH('1Př1'!$A$32,N559)),MAX($M$2:M558)+1,0)</f>
        <v>557</v>
      </c>
      <c r="S559" s="290" t="s">
        <v>1934</v>
      </c>
      <c r="T559" t="str">
        <f>IFERROR(VLOOKUP(ROWS($T$3:T559),$R$3:$S$718,2,0),"")</f>
        <v>Stavba lodí a plavidel</v>
      </c>
      <c r="U559">
        <f>IF(ISNUMBER(SEARCH('1Př1'!$A$33,N559)),MAX($M$2:M558)+1,0)</f>
        <v>557</v>
      </c>
      <c r="V559" s="290" t="s">
        <v>1934</v>
      </c>
      <c r="W559" t="str">
        <f>IFERROR(VLOOKUP(ROWS($W$3:W559),$U$3:$V$718,2,0),"")</f>
        <v>Stavba lodí a plavidel</v>
      </c>
      <c r="X559">
        <f>IF(ISNUMBER(SEARCH('1Př1'!$A$34,N559)),MAX($M$2:M558)+1,0)</f>
        <v>557</v>
      </c>
      <c r="Y559" s="290" t="s">
        <v>1934</v>
      </c>
      <c r="Z559" t="str">
        <f>IFERROR(VLOOKUP(ROWS($Z$3:Z559),$X$3:$Y$718,2,0),"")</f>
        <v>Stavba lodí a plavidel</v>
      </c>
    </row>
    <row r="560" spans="13:26" ht="12.75">
      <c r="M560" s="289">
        <f>IF(ISNUMBER(SEARCH(ZAKL_DATA!$B$29,N560)),MAX($M$2:M559)+1,0)</f>
        <v>558</v>
      </c>
      <c r="N560" s="482" t="s">
        <v>2145</v>
      </c>
      <c r="O560" s="482" t="s">
        <v>3403</v>
      </c>
      <c r="Q560" s="291" t="str">
        <f>IFERROR(VLOOKUP(ROWS($Q$3:Q560),$M$3:$N$718,2,0),"")</f>
        <v>Výroba obuvi s usňovým svrškem</v>
      </c>
      <c r="R560">
        <f>IF(ISNUMBER(SEARCH('1Př1'!$A$32,N560)),MAX($M$2:M559)+1,0)</f>
        <v>558</v>
      </c>
      <c r="S560" s="290" t="s">
        <v>1935</v>
      </c>
      <c r="T560" t="str">
        <f>IFERROR(VLOOKUP(ROWS($T$3:T560),$R$3:$S$718,2,0),"")</f>
        <v>Stavba rekreačních a sportovních člunů</v>
      </c>
      <c r="U560">
        <f>IF(ISNUMBER(SEARCH('1Př1'!$A$33,N560)),MAX($M$2:M559)+1,0)</f>
        <v>558</v>
      </c>
      <c r="V560" s="290" t="s">
        <v>1935</v>
      </c>
      <c r="W560" t="str">
        <f>IFERROR(VLOOKUP(ROWS($W$3:W560),$U$3:$V$718,2,0),"")</f>
        <v>Stavba rekreačních a sportovních člunů</v>
      </c>
      <c r="X560">
        <f>IF(ISNUMBER(SEARCH('1Př1'!$A$34,N560)),MAX($M$2:M559)+1,0)</f>
        <v>558</v>
      </c>
      <c r="Y560" s="290" t="s">
        <v>1935</v>
      </c>
      <c r="Z560" t="str">
        <f>IFERROR(VLOOKUP(ROWS($Z$3:Z560),$X$3:$Y$718,2,0),"")</f>
        <v>Stavba rekreačních a sportovních člunů</v>
      </c>
    </row>
    <row r="561" spans="13:26" ht="12.75">
      <c r="M561" s="289">
        <f>IF(ISNUMBER(SEARCH(ZAKL_DATA!$B$29,N561)),MAX($M$2:M560)+1,0)</f>
        <v>559</v>
      </c>
      <c r="N561" s="482" t="s">
        <v>1896</v>
      </c>
      <c r="O561" s="482" t="s">
        <v>3404</v>
      </c>
      <c r="Q561" s="291" t="str">
        <f>IFERROR(VLOOKUP(ROWS($Q$3:Q561),$M$3:$N$718,2,0),"")</f>
        <v>Výroba ocelových sudů a podobných nádob</v>
      </c>
      <c r="R561">
        <f>IF(ISNUMBER(SEARCH('1Př1'!$A$32,N561)),MAX($M$2:M560)+1,0)</f>
        <v>559</v>
      </c>
      <c r="S561" s="290" t="s">
        <v>1936</v>
      </c>
      <c r="T561" t="str">
        <f>IFERROR(VLOOKUP(ROWS($T$3:T561),$R$3:$S$718,2,0),"")</f>
        <v>Výroba motocyklů</v>
      </c>
      <c r="U561">
        <f>IF(ISNUMBER(SEARCH('1Př1'!$A$33,N561)),MAX($M$2:M560)+1,0)</f>
        <v>559</v>
      </c>
      <c r="V561" s="290" t="s">
        <v>1936</v>
      </c>
      <c r="W561" t="str">
        <f>IFERROR(VLOOKUP(ROWS($W$3:W561),$U$3:$V$718,2,0),"")</f>
        <v>Výroba motocyklů</v>
      </c>
      <c r="X561">
        <f>IF(ISNUMBER(SEARCH('1Př1'!$A$34,N561)),MAX($M$2:M560)+1,0)</f>
        <v>559</v>
      </c>
      <c r="Y561" s="290" t="s">
        <v>1936</v>
      </c>
      <c r="Z561" t="str">
        <f>IFERROR(VLOOKUP(ROWS($Z$3:Z561),$X$3:$Y$718,2,0),"")</f>
        <v>Výroba motocyklů</v>
      </c>
    </row>
    <row r="562" spans="13:26" ht="25.5">
      <c r="M562" s="289">
        <f>IF(ISNUMBER(SEARCH(ZAKL_DATA!$B$29,N562)),MAX($M$2:M561)+1,0)</f>
        <v>560</v>
      </c>
      <c r="N562" s="482" t="s">
        <v>3405</v>
      </c>
      <c r="O562" s="482" t="s">
        <v>3406</v>
      </c>
      <c r="Q562" s="291" t="str">
        <f>IFERROR(VLOOKUP(ROWS($Q$3:Q562),$M$3:$N$718,2,0),"")</f>
        <v>Výroba ocelových trub, trubek, dutých profilů a souvisejících potrubních tvarovek</v>
      </c>
      <c r="R562">
        <f>IF(ISNUMBER(SEARCH('1Př1'!$A$32,N562)),MAX($M$2:M561)+1,0)</f>
        <v>560</v>
      </c>
      <c r="S562" s="290" t="s">
        <v>1937</v>
      </c>
      <c r="T562" t="str">
        <f>IFERROR(VLOOKUP(ROWS($T$3:T562),$R$3:$S$718,2,0),"")</f>
        <v>Výroba jízdních kol a vozíků pro invalidy</v>
      </c>
      <c r="U562">
        <f>IF(ISNUMBER(SEARCH('1Př1'!$A$33,N562)),MAX($M$2:M561)+1,0)</f>
        <v>560</v>
      </c>
      <c r="V562" s="290" t="s">
        <v>1937</v>
      </c>
      <c r="W562" t="str">
        <f>IFERROR(VLOOKUP(ROWS($W$3:W562),$U$3:$V$718,2,0),"")</f>
        <v>Výroba jízdních kol a vozíků pro invalidy</v>
      </c>
      <c r="X562">
        <f>IF(ISNUMBER(SEARCH('1Př1'!$A$34,N562)),MAX($M$2:M561)+1,0)</f>
        <v>560</v>
      </c>
      <c r="Y562" s="290" t="s">
        <v>1937</v>
      </c>
      <c r="Z562" t="str">
        <f>IFERROR(VLOOKUP(ROWS($Z$3:Z562),$X$3:$Y$718,2,0),"")</f>
        <v>Výroba jízdních kol a vozíků pro invalidy</v>
      </c>
    </row>
    <row r="563" spans="13:26" ht="12.75">
      <c r="M563" s="289">
        <f>IF(ISNUMBER(SEARCH(ZAKL_DATA!$B$29,N563)),MAX($M$2:M562)+1,0)</f>
        <v>561</v>
      </c>
      <c r="N563" s="482" t="s">
        <v>1771</v>
      </c>
      <c r="O563" s="482" t="s">
        <v>3407</v>
      </c>
      <c r="Q563" s="291" t="str">
        <f>IFERROR(VLOOKUP(ROWS($Q$3:Q563),$M$3:$N$718,2,0),"")</f>
        <v>Výroba olejů a tuků</v>
      </c>
      <c r="R563">
        <f>IF(ISNUMBER(SEARCH('1Př1'!$A$32,N563)),MAX($M$2:M562)+1,0)</f>
        <v>561</v>
      </c>
      <c r="S563" s="290" t="s">
        <v>1938</v>
      </c>
      <c r="T563" t="str">
        <f>IFERROR(VLOOKUP(ROWS($T$3:T563),$R$3:$S$718,2,0),"")</f>
        <v>Výroba ostatních dopravních prostředků a zařízení j. n.</v>
      </c>
      <c r="U563">
        <f>IF(ISNUMBER(SEARCH('1Př1'!$A$33,N563)),MAX($M$2:M562)+1,0)</f>
        <v>561</v>
      </c>
      <c r="V563" s="290" t="s">
        <v>1938</v>
      </c>
      <c r="W563" t="str">
        <f>IFERROR(VLOOKUP(ROWS($W$3:W563),$U$3:$V$718,2,0),"")</f>
        <v>Výroba ostatních dopravních prostředků a zařízení j. n.</v>
      </c>
      <c r="X563">
        <f>IF(ISNUMBER(SEARCH('1Př1'!$A$34,N563)),MAX($M$2:M562)+1,0)</f>
        <v>561</v>
      </c>
      <c r="Y563" s="290" t="s">
        <v>1938</v>
      </c>
      <c r="Z563" t="str">
        <f>IFERROR(VLOOKUP(ROWS($Z$3:Z563),$X$3:$Y$718,2,0),"")</f>
        <v>Výroba ostatních dopravních prostředků a zařízení j. n.</v>
      </c>
    </row>
    <row r="564" spans="13:26" ht="12.75">
      <c r="M564" s="289">
        <f>IF(ISNUMBER(SEARCH(ZAKL_DATA!$B$29,N564)),MAX($M$2:M563)+1,0)</f>
        <v>562</v>
      </c>
      <c r="N564" s="482" t="s">
        <v>1907</v>
      </c>
      <c r="O564" s="482" t="s">
        <v>3408</v>
      </c>
      <c r="Q564" s="291" t="str">
        <f>IFERROR(VLOOKUP(ROWS($Q$3:Q564),$M$3:$N$718,2,0),"")</f>
        <v>Výroba optických kabelů</v>
      </c>
      <c r="R564">
        <f>IF(ISNUMBER(SEARCH('1Př1'!$A$32,N564)),MAX($M$2:M563)+1,0)</f>
        <v>562</v>
      </c>
      <c r="S564" s="290" t="s">
        <v>1939</v>
      </c>
      <c r="T564" t="str">
        <f>IFERROR(VLOOKUP(ROWS($T$3:T564),$R$3:$S$718,2,0),"")</f>
        <v>Výroba kancelářského nábytku a zařízení obchodů</v>
      </c>
      <c r="U564">
        <f>IF(ISNUMBER(SEARCH('1Př1'!$A$33,N564)),MAX($M$2:M563)+1,0)</f>
        <v>562</v>
      </c>
      <c r="V564" s="290" t="s">
        <v>1939</v>
      </c>
      <c r="W564" t="str">
        <f>IFERROR(VLOOKUP(ROWS($W$3:W564),$U$3:$V$718,2,0),"")</f>
        <v>Výroba kancelářského nábytku a zařízení obchodů</v>
      </c>
      <c r="X564">
        <f>IF(ISNUMBER(SEARCH('1Př1'!$A$34,N564)),MAX($M$2:M563)+1,0)</f>
        <v>562</v>
      </c>
      <c r="Y564" s="290" t="s">
        <v>1939</v>
      </c>
      <c r="Z564" t="str">
        <f>IFERROR(VLOOKUP(ROWS($Z$3:Z564),$X$3:$Y$718,2,0),"")</f>
        <v>Výroba kancelářského nábytku a zařízení obchodů</v>
      </c>
    </row>
    <row r="565" spans="13:26" ht="38.25">
      <c r="M565" s="289">
        <f>IF(ISNUMBER(SEARCH(ZAKL_DATA!$B$29,N565)),MAX($M$2:M564)+1,0)</f>
        <v>563</v>
      </c>
      <c r="N565" s="482" t="s">
        <v>3409</v>
      </c>
      <c r="O565" s="482" t="s">
        <v>3410</v>
      </c>
      <c r="Q565" s="291" t="str">
        <f>IFERROR(VLOOKUP(ROWS($Q$3:Q565),$M$3:$N$718,2,0),"")</f>
        <v>Výroba optických přístrojů a zařízení, magnetických a optických médií a fotografických přístrojů a zařízení</v>
      </c>
      <c r="R565">
        <f>IF(ISNUMBER(SEARCH('1Př1'!$A$32,N565)),MAX($M$2:M564)+1,0)</f>
        <v>563</v>
      </c>
      <c r="S565" s="290" t="s">
        <v>1940</v>
      </c>
      <c r="T565" t="str">
        <f>IFERROR(VLOOKUP(ROWS($T$3:T565),$R$3:$S$718,2,0),"")</f>
        <v>Výroba kuchyňského nábytku</v>
      </c>
      <c r="U565">
        <f>IF(ISNUMBER(SEARCH('1Př1'!$A$33,N565)),MAX($M$2:M564)+1,0)</f>
        <v>563</v>
      </c>
      <c r="V565" s="290" t="s">
        <v>1940</v>
      </c>
      <c r="W565" t="str">
        <f>IFERROR(VLOOKUP(ROWS($W$3:W565),$U$3:$V$718,2,0),"")</f>
        <v>Výroba kuchyňského nábytku</v>
      </c>
      <c r="X565">
        <f>IF(ISNUMBER(SEARCH('1Př1'!$A$34,N565)),MAX($M$2:M564)+1,0)</f>
        <v>563</v>
      </c>
      <c r="Y565" s="290" t="s">
        <v>1940</v>
      </c>
      <c r="Z565" t="str">
        <f>IFERROR(VLOOKUP(ROWS($Z$3:Z565),$X$3:$Y$718,2,0),"")</f>
        <v>Výroba kuchyňského nábytku</v>
      </c>
    </row>
    <row r="566" spans="13:26" ht="12.75">
      <c r="M566" s="289">
        <f>IF(ISNUMBER(SEARCH(ZAKL_DATA!$B$29,N566)),MAX($M$2:M565)+1,0)</f>
        <v>564</v>
      </c>
      <c r="N566" s="482" t="s">
        <v>1902</v>
      </c>
      <c r="O566" s="482" t="s">
        <v>3411</v>
      </c>
      <c r="Q566" s="291" t="str">
        <f>IFERROR(VLOOKUP(ROWS($Q$3:Q566),$M$3:$N$718,2,0),"")</f>
        <v>Výroba osazených elektronických desek</v>
      </c>
      <c r="R566">
        <f>IF(ISNUMBER(SEARCH('1Př1'!$A$32,N566)),MAX($M$2:M565)+1,0)</f>
        <v>564</v>
      </c>
      <c r="S566" s="290" t="s">
        <v>1941</v>
      </c>
      <c r="T566" t="str">
        <f>IFERROR(VLOOKUP(ROWS($T$3:T566),$R$3:$S$718,2,0),"")</f>
        <v>Výroba matrací</v>
      </c>
      <c r="U566">
        <f>IF(ISNUMBER(SEARCH('1Př1'!$A$33,N566)),MAX($M$2:M565)+1,0)</f>
        <v>564</v>
      </c>
      <c r="V566" s="290" t="s">
        <v>1941</v>
      </c>
      <c r="W566" t="str">
        <f>IFERROR(VLOOKUP(ROWS($W$3:W566),$U$3:$V$718,2,0),"")</f>
        <v>Výroba matrací</v>
      </c>
      <c r="X566">
        <f>IF(ISNUMBER(SEARCH('1Př1'!$A$34,N566)),MAX($M$2:M565)+1,0)</f>
        <v>564</v>
      </c>
      <c r="Y566" s="290" t="s">
        <v>1941</v>
      </c>
      <c r="Z566" t="str">
        <f>IFERROR(VLOOKUP(ROWS($Z$3:Z566),$X$3:$Y$718,2,0),"")</f>
        <v>Výroba matrací</v>
      </c>
    </row>
    <row r="567" spans="13:26" ht="12.75">
      <c r="M567" s="289">
        <f>IF(ISNUMBER(SEARCH(ZAKL_DATA!$B$29,N567)),MAX($M$2:M566)+1,0)</f>
        <v>565</v>
      </c>
      <c r="N567" s="482" t="s">
        <v>1806</v>
      </c>
      <c r="O567" s="482" t="s">
        <v>3412</v>
      </c>
      <c r="Q567" s="291" t="str">
        <f>IFERROR(VLOOKUP(ROWS($Q$3:Q567),$M$3:$N$718,2,0),"")</f>
        <v>Výroba osobního prádla</v>
      </c>
      <c r="R567">
        <f>IF(ISNUMBER(SEARCH('1Př1'!$A$32,N567)),MAX($M$2:M566)+1,0)</f>
        <v>565</v>
      </c>
      <c r="S567" s="290" t="s">
        <v>1942</v>
      </c>
      <c r="T567" t="str">
        <f>IFERROR(VLOOKUP(ROWS($T$3:T567),$R$3:$S$718,2,0),"")</f>
        <v>Výroba ostatního nábytku</v>
      </c>
      <c r="U567">
        <f>IF(ISNUMBER(SEARCH('1Př1'!$A$33,N567)),MAX($M$2:M566)+1,0)</f>
        <v>565</v>
      </c>
      <c r="V567" s="290" t="s">
        <v>1942</v>
      </c>
      <c r="W567" t="str">
        <f>IFERROR(VLOOKUP(ROWS($W$3:W567),$U$3:$V$718,2,0),"")</f>
        <v>Výroba ostatního nábytku</v>
      </c>
      <c r="X567">
        <f>IF(ISNUMBER(SEARCH('1Př1'!$A$34,N567)),MAX($M$2:M566)+1,0)</f>
        <v>565</v>
      </c>
      <c r="Y567" s="290" t="s">
        <v>1942</v>
      </c>
      <c r="Z567" t="str">
        <f>IFERROR(VLOOKUP(ROWS($Z$3:Z567),$X$3:$Y$718,2,0),"")</f>
        <v>Výroba ostatního nábytku</v>
      </c>
    </row>
    <row r="568" spans="13:26" ht="12.75">
      <c r="M568" s="289">
        <f>IF(ISNUMBER(SEARCH(ZAKL_DATA!$B$29,N568)),MAX($M$2:M567)+1,0)</f>
        <v>566</v>
      </c>
      <c r="N568" s="482" t="s">
        <v>3413</v>
      </c>
      <c r="O568" s="482" t="s">
        <v>3414</v>
      </c>
      <c r="Q568" s="291" t="str">
        <f>IFERROR(VLOOKUP(ROWS($Q$3:Q568),$M$3:$N$718,2,0),"")</f>
        <v>Výroba ostatní obuvi</v>
      </c>
      <c r="R568">
        <f>IF(ISNUMBER(SEARCH('1Př1'!$A$32,N568)),MAX($M$2:M567)+1,0)</f>
        <v>566</v>
      </c>
      <c r="S568" s="290" t="s">
        <v>1943</v>
      </c>
      <c r="T568" t="str">
        <f>IFERROR(VLOOKUP(ROWS($T$3:T568),$R$3:$S$718,2,0),"")</f>
        <v>Ražení mincí</v>
      </c>
      <c r="U568">
        <f>IF(ISNUMBER(SEARCH('1Př1'!$A$33,N568)),MAX($M$2:M567)+1,0)</f>
        <v>566</v>
      </c>
      <c r="V568" s="290" t="s">
        <v>1943</v>
      </c>
      <c r="W568" t="str">
        <f>IFERROR(VLOOKUP(ROWS($W$3:W568),$U$3:$V$718,2,0),"")</f>
        <v>Ražení mincí</v>
      </c>
      <c r="X568">
        <f>IF(ISNUMBER(SEARCH('1Př1'!$A$34,N568)),MAX($M$2:M567)+1,0)</f>
        <v>566</v>
      </c>
      <c r="Y568" s="290" t="s">
        <v>1943</v>
      </c>
      <c r="Z568" t="str">
        <f>IFERROR(VLOOKUP(ROWS($Z$3:Z568),$X$3:$Y$718,2,0),"")</f>
        <v>Ražení mincí</v>
      </c>
    </row>
    <row r="569" spans="13:26" ht="25.5">
      <c r="M569" s="289">
        <f>IF(ISNUMBER(SEARCH(ZAKL_DATA!$B$29,N569)),MAX($M$2:M568)+1,0)</f>
        <v>567</v>
      </c>
      <c r="N569" s="482" t="s">
        <v>1870</v>
      </c>
      <c r="O569" s="482" t="s">
        <v>3415</v>
      </c>
      <c r="Q569" s="291" t="str">
        <f>IFERROR(VLOOKUP(ROWS($Q$3:Q569),$M$3:$N$718,2,0),"")</f>
        <v>Výroba ostatních betonových, cementových a sádrových výrobků</v>
      </c>
      <c r="R569">
        <f>IF(ISNUMBER(SEARCH('1Př1'!$A$32,N569)),MAX($M$2:M568)+1,0)</f>
        <v>567</v>
      </c>
      <c r="S569" s="290" t="s">
        <v>1944</v>
      </c>
      <c r="T569" t="str">
        <f>IFERROR(VLOOKUP(ROWS($T$3:T569),$R$3:$S$718,2,0),"")</f>
        <v>Výroba klenotů a příbuzných výrobků</v>
      </c>
      <c r="U569">
        <f>IF(ISNUMBER(SEARCH('1Př1'!$A$33,N569)),MAX($M$2:M568)+1,0)</f>
        <v>567</v>
      </c>
      <c r="V569" s="290" t="s">
        <v>1944</v>
      </c>
      <c r="W569" t="str">
        <f>IFERROR(VLOOKUP(ROWS($W$3:W569),$U$3:$V$718,2,0),"")</f>
        <v>Výroba klenotů a příbuzných výrobků</v>
      </c>
      <c r="X569">
        <f>IF(ISNUMBER(SEARCH('1Př1'!$A$34,N569)),MAX($M$2:M568)+1,0)</f>
        <v>567</v>
      </c>
      <c r="Y569" s="290" t="s">
        <v>1944</v>
      </c>
      <c r="Z569" t="str">
        <f>IFERROR(VLOOKUP(ROWS($Z$3:Z569),$X$3:$Y$718,2,0),"")</f>
        <v>Výroba klenotů a příbuzných výrobků</v>
      </c>
    </row>
    <row r="570" spans="13:26" ht="12.75">
      <c r="M570" s="289">
        <f>IF(ISNUMBER(SEARCH(ZAKL_DATA!$B$29,N570)),MAX($M$2:M569)+1,0)</f>
        <v>568</v>
      </c>
      <c r="N570" s="482" t="s">
        <v>1914</v>
      </c>
      <c r="O570" s="482" t="s">
        <v>3416</v>
      </c>
      <c r="Q570" s="291" t="str">
        <f>IFERROR(VLOOKUP(ROWS($Q$3:Q570),$M$3:$N$718,2,0),"")</f>
        <v>Výroba ostatních čerpadel a kompresorů</v>
      </c>
      <c r="R570">
        <f>IF(ISNUMBER(SEARCH('1Př1'!$A$32,N570)),MAX($M$2:M569)+1,0)</f>
        <v>568</v>
      </c>
      <c r="S570" s="290" t="s">
        <v>1945</v>
      </c>
      <c r="T570" t="str">
        <f>IFERROR(VLOOKUP(ROWS($T$3:T570),$R$3:$S$718,2,0),"")</f>
        <v>Výroba bižuterie a příbuzných výrobků</v>
      </c>
      <c r="U570">
        <f>IF(ISNUMBER(SEARCH('1Př1'!$A$33,N570)),MAX($M$2:M569)+1,0)</f>
        <v>568</v>
      </c>
      <c r="V570" s="290" t="s">
        <v>1945</v>
      </c>
      <c r="W570" t="str">
        <f>IFERROR(VLOOKUP(ROWS($W$3:W570),$U$3:$V$718,2,0),"")</f>
        <v>Výroba bižuterie a příbuzných výrobků</v>
      </c>
      <c r="X570">
        <f>IF(ISNUMBER(SEARCH('1Př1'!$A$34,N570)),MAX($M$2:M569)+1,0)</f>
        <v>568</v>
      </c>
      <c r="Y570" s="290" t="s">
        <v>1945</v>
      </c>
      <c r="Z570" t="str">
        <f>IFERROR(VLOOKUP(ROWS($Z$3:Z570),$X$3:$Y$718,2,0),"")</f>
        <v>Výroba bižuterie a příbuzných výrobků</v>
      </c>
    </row>
    <row r="571" spans="13:26" ht="25.5">
      <c r="M571" s="289">
        <f>IF(ISNUMBER(SEARCH(ZAKL_DATA!$B$29,N571)),MAX($M$2:M570)+1,0)</f>
        <v>569</v>
      </c>
      <c r="N571" s="482" t="s">
        <v>1933</v>
      </c>
      <c r="O571" s="482" t="s">
        <v>3417</v>
      </c>
      <c r="Q571" s="291" t="str">
        <f>IFERROR(VLOOKUP(ROWS($Q$3:Q571),$M$3:$N$718,2,0),"")</f>
        <v>Výroba ostatních dílů a příslušenství pro motorová vozidla</v>
      </c>
      <c r="R571">
        <f>IF(ISNUMBER(SEARCH('1Př1'!$A$32,N571)),MAX($M$2:M570)+1,0)</f>
        <v>569</v>
      </c>
      <c r="S571" s="290" t="s">
        <v>1946</v>
      </c>
      <c r="T571" t="str">
        <f>IFERROR(VLOOKUP(ROWS($T$3:T571),$R$3:$S$718,2,0),"")</f>
        <v>Výroba košťat a kartáčnických výrobků</v>
      </c>
      <c r="U571">
        <f>IF(ISNUMBER(SEARCH('1Př1'!$A$33,N571)),MAX($M$2:M570)+1,0)</f>
        <v>569</v>
      </c>
      <c r="V571" s="290" t="s">
        <v>1946</v>
      </c>
      <c r="W571" t="str">
        <f>IFERROR(VLOOKUP(ROWS($W$3:W571),$U$3:$V$718,2,0),"")</f>
        <v>Výroba košťat a kartáčnických výrobků</v>
      </c>
      <c r="X571">
        <f>IF(ISNUMBER(SEARCH('1Př1'!$A$34,N571)),MAX($M$2:M570)+1,0)</f>
        <v>569</v>
      </c>
      <c r="Y571" s="290" t="s">
        <v>1946</v>
      </c>
      <c r="Z571" t="str">
        <f>IFERROR(VLOOKUP(ROWS($Z$3:Z571),$X$3:$Y$718,2,0),"")</f>
        <v>Výroba košťat a kartáčnických výrobků</v>
      </c>
    </row>
    <row r="572" spans="13:26" ht="25.5">
      <c r="M572" s="289">
        <f>IF(ISNUMBER(SEARCH(ZAKL_DATA!$B$29,N572)),MAX($M$2:M571)+1,0)</f>
        <v>570</v>
      </c>
      <c r="N572" s="482" t="s">
        <v>1938</v>
      </c>
      <c r="O572" s="482" t="s">
        <v>3418</v>
      </c>
      <c r="Q572" s="291" t="str">
        <f>IFERROR(VLOOKUP(ROWS($Q$3:Q572),$M$3:$N$718,2,0),"")</f>
        <v>Výroba ostatních dopravních prostředků a zařízení j. n.</v>
      </c>
      <c r="R572">
        <f>IF(ISNUMBER(SEARCH('1Př1'!$A$32,N572)),MAX($M$2:M571)+1,0)</f>
        <v>570</v>
      </c>
      <c r="S572" s="290" t="s">
        <v>1947</v>
      </c>
      <c r="T572" t="str">
        <f>IFERROR(VLOOKUP(ROWS($T$3:T572),$R$3:$S$718,2,0),"")</f>
        <v>Ostatní zpracovatelský průmysl j. n.</v>
      </c>
      <c r="U572">
        <f>IF(ISNUMBER(SEARCH('1Př1'!$A$33,N572)),MAX($M$2:M571)+1,0)</f>
        <v>570</v>
      </c>
      <c r="V572" s="290" t="s">
        <v>1947</v>
      </c>
      <c r="W572" t="str">
        <f>IFERROR(VLOOKUP(ROWS($W$3:W572),$U$3:$V$718,2,0),"")</f>
        <v>Ostatní zpracovatelský průmysl j. n.</v>
      </c>
      <c r="X572">
        <f>IF(ISNUMBER(SEARCH('1Př1'!$A$34,N572)),MAX($M$2:M571)+1,0)</f>
        <v>570</v>
      </c>
      <c r="Y572" s="290" t="s">
        <v>1947</v>
      </c>
      <c r="Z572" t="str">
        <f>IFERROR(VLOOKUP(ROWS($Z$3:Z572),$X$3:$Y$718,2,0),"")</f>
        <v>Ostatní zpracovatelský průmysl j. n.</v>
      </c>
    </row>
    <row r="573" spans="13:26" ht="25.5">
      <c r="M573" s="289">
        <f>IF(ISNUMBER(SEARCH(ZAKL_DATA!$B$29,N573)),MAX($M$2:M572)+1,0)</f>
        <v>571</v>
      </c>
      <c r="N573" s="482" t="s">
        <v>3419</v>
      </c>
      <c r="O573" s="482" t="s">
        <v>3420</v>
      </c>
      <c r="Q573" s="291" t="str">
        <f>IFERROR(VLOOKUP(ROWS($Q$3:Q573),$M$3:$N$718,2,0),"")</f>
        <v>Výroba ostatních dřevěných, korkových, proutěných a slaměných výrobků</v>
      </c>
      <c r="R573">
        <f>IF(ISNUMBER(SEARCH('1Př1'!$A$32,N573)),MAX($M$2:M572)+1,0)</f>
        <v>571</v>
      </c>
      <c r="S573" s="290" t="s">
        <v>1948</v>
      </c>
      <c r="T573" t="str">
        <f>IFERROR(VLOOKUP(ROWS($T$3:T573),$R$3:$S$718,2,0),"")</f>
        <v>Opravy kovodělných výrobků</v>
      </c>
      <c r="U573">
        <f>IF(ISNUMBER(SEARCH('1Př1'!$A$33,N573)),MAX($M$2:M572)+1,0)</f>
        <v>571</v>
      </c>
      <c r="V573" s="290" t="s">
        <v>1948</v>
      </c>
      <c r="W573" t="str">
        <f>IFERROR(VLOOKUP(ROWS($W$3:W573),$U$3:$V$718,2,0),"")</f>
        <v>Opravy kovodělných výrobků</v>
      </c>
      <c r="X573">
        <f>IF(ISNUMBER(SEARCH('1Př1'!$A$34,N573)),MAX($M$2:M572)+1,0)</f>
        <v>571</v>
      </c>
      <c r="Y573" s="290" t="s">
        <v>1948</v>
      </c>
      <c r="Z573" t="str">
        <f>IFERROR(VLOOKUP(ROWS($Z$3:Z573),$X$3:$Y$718,2,0),"")</f>
        <v>Opravy kovodělných výrobků</v>
      </c>
    </row>
    <row r="574" spans="13:26" ht="12.75">
      <c r="M574" s="289">
        <f>IF(ISNUMBER(SEARCH(ZAKL_DATA!$B$29,N574)),MAX($M$2:M573)+1,0)</f>
        <v>572</v>
      </c>
      <c r="N574" s="482" t="s">
        <v>1506</v>
      </c>
      <c r="O574" s="482" t="s">
        <v>3421</v>
      </c>
      <c r="Q574" s="291" t="str">
        <f>IFERROR(VLOOKUP(ROWS($Q$3:Q574),$M$3:$N$718,2,0),"")</f>
        <v>Výroba ostatních elektrických zařízení</v>
      </c>
      <c r="R574">
        <f>IF(ISNUMBER(SEARCH('1Př1'!$A$32,N574)),MAX($M$2:M573)+1,0)</f>
        <v>572</v>
      </c>
      <c r="S574" s="290" t="s">
        <v>1949</v>
      </c>
      <c r="T574" t="str">
        <f>IFERROR(VLOOKUP(ROWS($T$3:T574),$R$3:$S$718,2,0),"")</f>
        <v>Opravy strojů</v>
      </c>
      <c r="U574">
        <f>IF(ISNUMBER(SEARCH('1Př1'!$A$33,N574)),MAX($M$2:M573)+1,0)</f>
        <v>572</v>
      </c>
      <c r="V574" s="290" t="s">
        <v>1949</v>
      </c>
      <c r="W574" t="str">
        <f>IFERROR(VLOOKUP(ROWS($W$3:W574),$U$3:$V$718,2,0),"")</f>
        <v>Opravy strojů</v>
      </c>
      <c r="X574">
        <f>IF(ISNUMBER(SEARCH('1Př1'!$A$34,N574)),MAX($M$2:M573)+1,0)</f>
        <v>572</v>
      </c>
      <c r="Y574" s="290" t="s">
        <v>1949</v>
      </c>
      <c r="Z574" t="str">
        <f>IFERROR(VLOOKUP(ROWS($Z$3:Z574),$X$3:$Y$718,2,0),"")</f>
        <v>Opravy strojů</v>
      </c>
    </row>
    <row r="575" spans="13:26" ht="25.5">
      <c r="M575" s="289">
        <f>IF(ISNUMBER(SEARCH(ZAKL_DATA!$B$29,N575)),MAX($M$2:M574)+1,0)</f>
        <v>573</v>
      </c>
      <c r="N575" s="482" t="s">
        <v>3422</v>
      </c>
      <c r="O575" s="482" t="s">
        <v>3423</v>
      </c>
      <c r="Q575" s="291" t="str">
        <f>IFERROR(VLOOKUP(ROWS($Q$3:Q575),$M$3:$N$718,2,0),"")</f>
        <v>Výroba ostatních elektronických a elektrických vodičů a kabelů</v>
      </c>
      <c r="R575">
        <f>IF(ISNUMBER(SEARCH('1Př1'!$A$32,N575)),MAX($M$2:M574)+1,0)</f>
        <v>573</v>
      </c>
      <c r="S575" s="290" t="s">
        <v>1950</v>
      </c>
      <c r="T575" t="str">
        <f>IFERROR(VLOOKUP(ROWS($T$3:T575),$R$3:$S$718,2,0),"")</f>
        <v>Opravy elektronických a optických přístrojů a zařízení</v>
      </c>
      <c r="U575">
        <f>IF(ISNUMBER(SEARCH('1Př1'!$A$33,N575)),MAX($M$2:M574)+1,0)</f>
        <v>573</v>
      </c>
      <c r="V575" s="290" t="s">
        <v>1950</v>
      </c>
      <c r="W575" t="str">
        <f>IFERROR(VLOOKUP(ROWS($W$3:W575),$U$3:$V$718,2,0),"")</f>
        <v>Opravy elektronických a optických přístrojů a zařízení</v>
      </c>
      <c r="X575">
        <f>IF(ISNUMBER(SEARCH('1Př1'!$A$34,N575)),MAX($M$2:M574)+1,0)</f>
        <v>573</v>
      </c>
      <c r="Y575" s="290" t="s">
        <v>1950</v>
      </c>
      <c r="Z575" t="str">
        <f>IFERROR(VLOOKUP(ROWS($Z$3:Z575),$X$3:$Y$718,2,0),"")</f>
        <v>Opravy elektronických a optických přístrojů a zařízení</v>
      </c>
    </row>
    <row r="576" spans="13:26" ht="12.75">
      <c r="M576" s="289">
        <f>IF(ISNUMBER(SEARCH(ZAKL_DATA!$B$29,N576)),MAX($M$2:M575)+1,0)</f>
        <v>574</v>
      </c>
      <c r="N576" s="482" t="s">
        <v>1862</v>
      </c>
      <c r="O576" s="482" t="s">
        <v>3424</v>
      </c>
      <c r="Q576" s="291" t="str">
        <f>IFERROR(VLOOKUP(ROWS($Q$3:Q576),$M$3:$N$718,2,0),"")</f>
        <v>Výroba ostatních keramických výrobků</v>
      </c>
      <c r="R576">
        <f>IF(ISNUMBER(SEARCH('1Př1'!$A$32,N576)),MAX($M$2:M575)+1,0)</f>
        <v>574</v>
      </c>
      <c r="S576" s="290" t="s">
        <v>1951</v>
      </c>
      <c r="T576" t="str">
        <f>IFERROR(VLOOKUP(ROWS($T$3:T576),$R$3:$S$718,2,0),"")</f>
        <v>Opravy elektrických zařízen</v>
      </c>
      <c r="U576">
        <f>IF(ISNUMBER(SEARCH('1Př1'!$A$33,N576)),MAX($M$2:M575)+1,0)</f>
        <v>574</v>
      </c>
      <c r="V576" s="290" t="s">
        <v>1951</v>
      </c>
      <c r="W576" t="str">
        <f>IFERROR(VLOOKUP(ROWS($W$3:W576),$U$3:$V$718,2,0),"")</f>
        <v>Opravy elektrických zařízen</v>
      </c>
      <c r="X576">
        <f>IF(ISNUMBER(SEARCH('1Př1'!$A$34,N576)),MAX($M$2:M575)+1,0)</f>
        <v>574</v>
      </c>
      <c r="Y576" s="290" t="s">
        <v>1951</v>
      </c>
      <c r="Z576" t="str">
        <f>IFERROR(VLOOKUP(ROWS($Z$3:Z576),$X$3:$Y$718,2,0),"")</f>
        <v>Opravy elektrických zařízen</v>
      </c>
    </row>
    <row r="577" spans="13:26" ht="25.5">
      <c r="M577" s="289">
        <f>IF(ISNUMBER(SEARCH(ZAKL_DATA!$B$29,N577)),MAX($M$2:M576)+1,0)</f>
        <v>575</v>
      </c>
      <c r="N577" s="482" t="s">
        <v>3425</v>
      </c>
      <c r="O577" s="482" t="s">
        <v>3426</v>
      </c>
      <c r="Q577" s="291" t="str">
        <f>IFERROR(VLOOKUP(ROWS($Q$3:Q577),$M$3:$N$718,2,0),"")</f>
        <v>Výroba ostatních kovových cisteren, nádrží a podobných nádob</v>
      </c>
      <c r="R577">
        <f>IF(ISNUMBER(SEARCH('1Př1'!$A$32,N577)),MAX($M$2:M576)+1,0)</f>
        <v>575</v>
      </c>
      <c r="S577" s="290" t="s">
        <v>1952</v>
      </c>
      <c r="T577" t="str">
        <f>IFERROR(VLOOKUP(ROWS($T$3:T577),$R$3:$S$718,2,0),"")</f>
        <v>Opravy a údržba lodí a člunů</v>
      </c>
      <c r="U577">
        <f>IF(ISNUMBER(SEARCH('1Př1'!$A$33,N577)),MAX($M$2:M576)+1,0)</f>
        <v>575</v>
      </c>
      <c r="V577" s="290" t="s">
        <v>1952</v>
      </c>
      <c r="W577" t="str">
        <f>IFERROR(VLOOKUP(ROWS($W$3:W577),$U$3:$V$718,2,0),"")</f>
        <v>Opravy a údržba lodí a člunů</v>
      </c>
      <c r="X577">
        <f>IF(ISNUMBER(SEARCH('1Př1'!$A$34,N577)),MAX($M$2:M576)+1,0)</f>
        <v>575</v>
      </c>
      <c r="Y577" s="290" t="s">
        <v>1952</v>
      </c>
      <c r="Z577" t="str">
        <f>IFERROR(VLOOKUP(ROWS($Z$3:Z577),$X$3:$Y$718,2,0),"")</f>
        <v>Opravy a údržba lodí a člunů</v>
      </c>
    </row>
    <row r="578" spans="13:26" ht="12.75">
      <c r="M578" s="289">
        <f>IF(ISNUMBER(SEARCH(ZAKL_DATA!$B$29,N578)),MAX($M$2:M577)+1,0)</f>
        <v>576</v>
      </c>
      <c r="N578" s="482" t="s">
        <v>3427</v>
      </c>
      <c r="O578" s="482" t="s">
        <v>3428</v>
      </c>
      <c r="Q578" s="291" t="str">
        <f>IFERROR(VLOOKUP(ROWS($Q$3:Q578),$M$3:$N$718,2,0),"")</f>
        <v>Výroba ostatních kovových výrobků j. n.</v>
      </c>
      <c r="R578">
        <f>IF(ISNUMBER(SEARCH('1Př1'!$A$32,N578)),MAX($M$2:M577)+1,0)</f>
        <v>576</v>
      </c>
      <c r="S578" s="290" t="s">
        <v>1953</v>
      </c>
      <c r="T578" t="str">
        <f>IFERROR(VLOOKUP(ROWS($T$3:T578),$R$3:$S$718,2,0),"")</f>
        <v>Opravy a údržba letadel a kosmických lodí</v>
      </c>
      <c r="U578">
        <f>IF(ISNUMBER(SEARCH('1Př1'!$A$33,N578)),MAX($M$2:M577)+1,0)</f>
        <v>576</v>
      </c>
      <c r="V578" s="290" t="s">
        <v>1953</v>
      </c>
      <c r="W578" t="str">
        <f>IFERROR(VLOOKUP(ROWS($W$3:W578),$U$3:$V$718,2,0),"")</f>
        <v>Opravy a údržba letadel a kosmických lodí</v>
      </c>
      <c r="X578">
        <f>IF(ISNUMBER(SEARCH('1Př1'!$A$34,N578)),MAX($M$2:M577)+1,0)</f>
        <v>576</v>
      </c>
      <c r="Y578" s="290" t="s">
        <v>1953</v>
      </c>
      <c r="Z578" t="str">
        <f>IFERROR(VLOOKUP(ROWS($Z$3:Z578),$X$3:$Y$718,2,0),"")</f>
        <v>Opravy a údržba letadel a kosmických lodí</v>
      </c>
    </row>
    <row r="579" spans="13:26" ht="25.5">
      <c r="M579" s="289">
        <f>IF(ISNUMBER(SEARCH(ZAKL_DATA!$B$29,N579)),MAX($M$2:M578)+1,0)</f>
        <v>577</v>
      </c>
      <c r="N579" s="482" t="s">
        <v>1792</v>
      </c>
      <c r="O579" s="482" t="s">
        <v>3429</v>
      </c>
      <c r="Q579" s="291" t="str">
        <f>IFERROR(VLOOKUP(ROWS($Q$3:Q579),$M$3:$N$718,2,0),"")</f>
        <v>Výroba ostatních nedestilovaných kvašených nápojů</v>
      </c>
      <c r="R579">
        <f>IF(ISNUMBER(SEARCH('1Př1'!$A$32,N579)),MAX($M$2:M578)+1,0)</f>
        <v>577</v>
      </c>
      <c r="S579" s="290" t="s">
        <v>1954</v>
      </c>
      <c r="T579" t="str">
        <f>IFERROR(VLOOKUP(ROWS($T$3:T579),$R$3:$S$718,2,0),"")</f>
        <v>Opravy a údržba ostatních dopravních prostředků a zařízení j. n.</v>
      </c>
      <c r="U579">
        <f>IF(ISNUMBER(SEARCH('1Př1'!$A$33,N579)),MAX($M$2:M578)+1,0)</f>
        <v>577</v>
      </c>
      <c r="V579" s="290" t="s">
        <v>1954</v>
      </c>
      <c r="W579" t="str">
        <f>IFERROR(VLOOKUP(ROWS($W$3:W579),$U$3:$V$718,2,0),"")</f>
        <v>Opravy a údržba ostatních dopravních prostředků a zařízení j. n.</v>
      </c>
      <c r="X579">
        <f>IF(ISNUMBER(SEARCH('1Př1'!$A$34,N579)),MAX($M$2:M578)+1,0)</f>
        <v>577</v>
      </c>
      <c r="Y579" s="290" t="s">
        <v>1954</v>
      </c>
      <c r="Z579" t="str">
        <f>IFERROR(VLOOKUP(ROWS($Z$3:Z579),$X$3:$Y$718,2,0),"")</f>
        <v>Opravy a údržba ostatních dopravních prostředků a zařízení j. n.</v>
      </c>
    </row>
    <row r="580" spans="13:26" ht="25.5">
      <c r="M580" s="289">
        <f>IF(ISNUMBER(SEARCH(ZAKL_DATA!$B$29,N580)),MAX($M$2:M579)+1,0)</f>
        <v>578</v>
      </c>
      <c r="N580" s="482" t="s">
        <v>3430</v>
      </c>
      <c r="O580" s="482" t="s">
        <v>3431</v>
      </c>
      <c r="Q580" s="291" t="str">
        <f>IFERROR(VLOOKUP(ROWS($Q$3:Q580),$M$3:$N$718,2,0),"")</f>
        <v>Výroba ostatních nekovových minerálních výrobků j. n.</v>
      </c>
      <c r="R580">
        <f>IF(ISNUMBER(SEARCH('1Př1'!$A$32,N580)),MAX($M$2:M579)+1,0)</f>
        <v>578</v>
      </c>
      <c r="S580" s="290" t="s">
        <v>1955</v>
      </c>
      <c r="T580" t="str">
        <f>IFERROR(VLOOKUP(ROWS($T$3:T580),$R$3:$S$718,2,0),"")</f>
        <v>Opravy ostatních zařízení</v>
      </c>
      <c r="U580">
        <f>IF(ISNUMBER(SEARCH('1Př1'!$A$33,N580)),MAX($M$2:M579)+1,0)</f>
        <v>578</v>
      </c>
      <c r="V580" s="290" t="s">
        <v>1955</v>
      </c>
      <c r="W580" t="str">
        <f>IFERROR(VLOOKUP(ROWS($W$3:W580),$U$3:$V$718,2,0),"")</f>
        <v>Opravy ostatních zařízení</v>
      </c>
      <c r="X580">
        <f>IF(ISNUMBER(SEARCH('1Př1'!$A$34,N580)),MAX($M$2:M579)+1,0)</f>
        <v>578</v>
      </c>
      <c r="Y580" s="290" t="s">
        <v>1955</v>
      </c>
      <c r="Z580" t="str">
        <f>IFERROR(VLOOKUP(ROWS($Z$3:Z580),$X$3:$Y$718,2,0),"")</f>
        <v>Opravy ostatních zařízení</v>
      </c>
    </row>
    <row r="581" spans="13:26" ht="12.75">
      <c r="M581" s="289">
        <f>IF(ISNUMBER(SEARCH(ZAKL_DATA!$B$29,N581)),MAX($M$2:M580)+1,0)</f>
        <v>579</v>
      </c>
      <c r="N581" s="482" t="s">
        <v>1924</v>
      </c>
      <c r="O581" s="482" t="s">
        <v>3432</v>
      </c>
      <c r="Q581" s="291" t="str">
        <f>IFERROR(VLOOKUP(ROWS($Q$3:Q581),$M$3:$N$718,2,0),"")</f>
        <v>Výroba ostatních obráběcích strojů</v>
      </c>
      <c r="R581">
        <f>IF(ISNUMBER(SEARCH('1Př1'!$A$32,N581)),MAX($M$2:M580)+1,0)</f>
        <v>579</v>
      </c>
      <c r="S581" s="290" t="s">
        <v>1956</v>
      </c>
      <c r="T581" t="str">
        <f>IFERROR(VLOOKUP(ROWS($T$3:T581),$R$3:$S$718,2,0),"")</f>
        <v>Výroba elektřiny</v>
      </c>
      <c r="U581">
        <f>IF(ISNUMBER(SEARCH('1Př1'!$A$33,N581)),MAX($M$2:M580)+1,0)</f>
        <v>579</v>
      </c>
      <c r="V581" s="290" t="s">
        <v>1956</v>
      </c>
      <c r="W581" t="str">
        <f>IFERROR(VLOOKUP(ROWS($W$3:W581),$U$3:$V$718,2,0),"")</f>
        <v>Výroba elektřiny</v>
      </c>
      <c r="X581">
        <f>IF(ISNUMBER(SEARCH('1Př1'!$A$34,N581)),MAX($M$2:M580)+1,0)</f>
        <v>579</v>
      </c>
      <c r="Y581" s="290" t="s">
        <v>1956</v>
      </c>
      <c r="Z581" t="str">
        <f>IFERROR(VLOOKUP(ROWS($Z$3:Z581),$X$3:$Y$718,2,0),"")</f>
        <v>Výroba elektřiny</v>
      </c>
    </row>
    <row r="582" spans="13:26" ht="12.75">
      <c r="M582" s="289">
        <f>IF(ISNUMBER(SEARCH(ZAKL_DATA!$B$29,N582)),MAX($M$2:M581)+1,0)</f>
        <v>580</v>
      </c>
      <c r="N582" s="482" t="s">
        <v>3433</v>
      </c>
      <c r="O582" s="482" t="s">
        <v>3434</v>
      </c>
      <c r="Q582" s="291" t="str">
        <f>IFERROR(VLOOKUP(ROWS($Q$3:Q582),$M$3:$N$718,2,0),"")</f>
        <v>Výroba ostatních oděvů a oděvních doplňků j. n.</v>
      </c>
      <c r="R582">
        <f>IF(ISNUMBER(SEARCH('1Př1'!$A$32,N582)),MAX($M$2:M581)+1,0)</f>
        <v>580</v>
      </c>
      <c r="S582" s="290" t="s">
        <v>1957</v>
      </c>
      <c r="T582" t="str">
        <f>IFERROR(VLOOKUP(ROWS($T$3:T582),$R$3:$S$718,2,0),"")</f>
        <v>Přenos elektřiny</v>
      </c>
      <c r="U582">
        <f>IF(ISNUMBER(SEARCH('1Př1'!$A$33,N582)),MAX($M$2:M581)+1,0)</f>
        <v>580</v>
      </c>
      <c r="V582" s="290" t="s">
        <v>1957</v>
      </c>
      <c r="W582" t="str">
        <f>IFERROR(VLOOKUP(ROWS($W$3:W582),$U$3:$V$718,2,0),"")</f>
        <v>Přenos elektřiny</v>
      </c>
      <c r="X582">
        <f>IF(ISNUMBER(SEARCH('1Př1'!$A$34,N582)),MAX($M$2:M581)+1,0)</f>
        <v>580</v>
      </c>
      <c r="Y582" s="290" t="s">
        <v>1957</v>
      </c>
      <c r="Z582" t="str">
        <f>IFERROR(VLOOKUP(ROWS($Z$3:Z582),$X$3:$Y$718,2,0),"")</f>
        <v>Přenos elektřiny</v>
      </c>
    </row>
    <row r="583" spans="13:26" ht="12.75">
      <c r="M583" s="289">
        <f>IF(ISNUMBER(SEARCH(ZAKL_DATA!$B$29,N583)),MAX($M$2:M582)+1,0)</f>
        <v>581</v>
      </c>
      <c r="N583" s="482" t="s">
        <v>2148</v>
      </c>
      <c r="O583" s="482" t="s">
        <v>3435</v>
      </c>
      <c r="Q583" s="291" t="str">
        <f>IFERROR(VLOOKUP(ROWS($Q$3:Q583),$M$3:$N$718,2,0),"")</f>
        <v>Výroba ostatních papírenských vláknin</v>
      </c>
      <c r="R583">
        <f>IF(ISNUMBER(SEARCH('1Př1'!$A$32,N583)),MAX($M$2:M582)+1,0)</f>
        <v>581</v>
      </c>
      <c r="S583" s="290" t="s">
        <v>1958</v>
      </c>
      <c r="T583" t="str">
        <f>IFERROR(VLOOKUP(ROWS($T$3:T583),$R$3:$S$718,2,0),"")</f>
        <v>Rozvod elektřiny</v>
      </c>
      <c r="U583">
        <f>IF(ISNUMBER(SEARCH('1Př1'!$A$33,N583)),MAX($M$2:M582)+1,0)</f>
        <v>581</v>
      </c>
      <c r="V583" s="290" t="s">
        <v>1958</v>
      </c>
      <c r="W583" t="str">
        <f>IFERROR(VLOOKUP(ROWS($W$3:W583),$U$3:$V$718,2,0),"")</f>
        <v>Rozvod elektřiny</v>
      </c>
      <c r="X583">
        <f>IF(ISNUMBER(SEARCH('1Př1'!$A$34,N583)),MAX($M$2:M582)+1,0)</f>
        <v>581</v>
      </c>
      <c r="Y583" s="290" t="s">
        <v>1958</v>
      </c>
      <c r="Z583" t="str">
        <f>IFERROR(VLOOKUP(ROWS($Z$3:Z583),$X$3:$Y$718,2,0),"")</f>
        <v>Rozvod elektřiny</v>
      </c>
    </row>
    <row r="584" spans="13:26" ht="12.75">
      <c r="M584" s="289">
        <f>IF(ISNUMBER(SEARCH(ZAKL_DATA!$B$29,N584)),MAX($M$2:M583)+1,0)</f>
        <v>582</v>
      </c>
      <c r="N584" s="482" t="s">
        <v>1850</v>
      </c>
      <c r="O584" s="482" t="s">
        <v>3436</v>
      </c>
      <c r="Q584" s="291" t="str">
        <f>IFERROR(VLOOKUP(ROWS($Q$3:Q584),$M$3:$N$718,2,0),"")</f>
        <v>Výroba ostatních plastových výrobků</v>
      </c>
      <c r="R584">
        <f>IF(ISNUMBER(SEARCH('1Př1'!$A$32,N584)),MAX($M$2:M583)+1,0)</f>
        <v>582</v>
      </c>
      <c r="S584" s="290" t="s">
        <v>1959</v>
      </c>
      <c r="T584" t="str">
        <f>IFERROR(VLOOKUP(ROWS($T$3:T584),$R$3:$S$718,2,0),"")</f>
        <v>Obchod s elektřinou</v>
      </c>
      <c r="U584">
        <f>IF(ISNUMBER(SEARCH('1Př1'!$A$33,N584)),MAX($M$2:M583)+1,0)</f>
        <v>582</v>
      </c>
      <c r="V584" s="290" t="s">
        <v>1959</v>
      </c>
      <c r="W584" t="str">
        <f>IFERROR(VLOOKUP(ROWS($W$3:W584),$U$3:$V$718,2,0),"")</f>
        <v>Obchod s elektřinou</v>
      </c>
      <c r="X584">
        <f>IF(ISNUMBER(SEARCH('1Př1'!$A$34,N584)),MAX($M$2:M583)+1,0)</f>
        <v>582</v>
      </c>
      <c r="Y584" s="290" t="s">
        <v>1959</v>
      </c>
      <c r="Z584" t="str">
        <f>IFERROR(VLOOKUP(ROWS($Z$3:Z584),$X$3:$Y$718,2,0),"")</f>
        <v>Obchod s elektřinou</v>
      </c>
    </row>
    <row r="585" spans="13:26" ht="12.75">
      <c r="M585" s="289">
        <f>IF(ISNUMBER(SEARCH(ZAKL_DATA!$B$29,N585)),MAX($M$2:M584)+1,0)</f>
        <v>583</v>
      </c>
      <c r="N585" s="482" t="s">
        <v>1809</v>
      </c>
      <c r="O585" s="482" t="s">
        <v>3437</v>
      </c>
      <c r="Q585" s="291" t="str">
        <f>IFERROR(VLOOKUP(ROWS($Q$3:Q585),$M$3:$N$718,2,0),"")</f>
        <v>Výroba ostatních pletených a háčkovaných oděvů</v>
      </c>
      <c r="R585">
        <f>IF(ISNUMBER(SEARCH('1Př1'!$A$32,N585)),MAX($M$2:M584)+1,0)</f>
        <v>583</v>
      </c>
      <c r="S585" s="290" t="s">
        <v>1960</v>
      </c>
      <c r="T585" t="str">
        <f>IFERROR(VLOOKUP(ROWS($T$3:T585),$R$3:$S$718,2,0),"")</f>
        <v>Výroba plynu</v>
      </c>
      <c r="U585">
        <f>IF(ISNUMBER(SEARCH('1Př1'!$A$33,N585)),MAX($M$2:M584)+1,0)</f>
        <v>583</v>
      </c>
      <c r="V585" s="290" t="s">
        <v>1960</v>
      </c>
      <c r="W585" t="str">
        <f>IFERROR(VLOOKUP(ROWS($W$3:W585),$U$3:$V$718,2,0),"")</f>
        <v>Výroba plynu</v>
      </c>
      <c r="X585">
        <f>IF(ISNUMBER(SEARCH('1Př1'!$A$34,N585)),MAX($M$2:M584)+1,0)</f>
        <v>583</v>
      </c>
      <c r="Y585" s="290" t="s">
        <v>1960</v>
      </c>
      <c r="Z585" t="str">
        <f>IFERROR(VLOOKUP(ROWS($Z$3:Z585),$X$3:$Y$718,2,0),"")</f>
        <v>Výroba plynu</v>
      </c>
    </row>
    <row r="586" spans="13:26" ht="12.75">
      <c r="M586" s="289">
        <f>IF(ISNUMBER(SEARCH(ZAKL_DATA!$B$29,N586)),MAX($M$2:M585)+1,0)</f>
        <v>584</v>
      </c>
      <c r="N586" s="482" t="s">
        <v>1786</v>
      </c>
      <c r="O586" s="482" t="s">
        <v>3438</v>
      </c>
      <c r="Q586" s="291" t="str">
        <f>IFERROR(VLOOKUP(ROWS($Q$3:Q586),$M$3:$N$718,2,0),"")</f>
        <v>Výroba ostatních potravinářských výrobků j. n.</v>
      </c>
      <c r="R586">
        <f>IF(ISNUMBER(SEARCH('1Př1'!$A$32,N586)),MAX($M$2:M585)+1,0)</f>
        <v>584</v>
      </c>
      <c r="S586" s="290" t="s">
        <v>1961</v>
      </c>
      <c r="T586" t="str">
        <f>IFERROR(VLOOKUP(ROWS($T$3:T586),$R$3:$S$718,2,0),"")</f>
        <v>Rozvod plynných paliv prostřednictvím sítí</v>
      </c>
      <c r="U586">
        <f>IF(ISNUMBER(SEARCH('1Př1'!$A$33,N586)),MAX($M$2:M585)+1,0)</f>
        <v>584</v>
      </c>
      <c r="V586" s="290" t="s">
        <v>1961</v>
      </c>
      <c r="W586" t="str">
        <f>IFERROR(VLOOKUP(ROWS($W$3:W586),$U$3:$V$718,2,0),"")</f>
        <v>Rozvod plynných paliv prostřednictvím sítí</v>
      </c>
      <c r="X586">
        <f>IF(ISNUMBER(SEARCH('1Př1'!$A$34,N586)),MAX($M$2:M585)+1,0)</f>
        <v>584</v>
      </c>
      <c r="Y586" s="290" t="s">
        <v>1961</v>
      </c>
      <c r="Z586" t="str">
        <f>IFERROR(VLOOKUP(ROWS($Z$3:Z586),$X$3:$Y$718,2,0),"")</f>
        <v>Rozvod plynných paliv prostřednictvím sítí</v>
      </c>
    </row>
    <row r="587" spans="13:26" ht="12.75">
      <c r="M587" s="289">
        <f>IF(ISNUMBER(SEARCH(ZAKL_DATA!$B$29,N587)),MAX($M$2:M586)+1,0)</f>
        <v>585</v>
      </c>
      <c r="N587" s="482" t="s">
        <v>1915</v>
      </c>
      <c r="O587" s="482" t="s">
        <v>3439</v>
      </c>
      <c r="Q587" s="291" t="str">
        <f>IFERROR(VLOOKUP(ROWS($Q$3:Q587),$M$3:$N$718,2,0),"")</f>
        <v>Výroba ostatních potrubních armatur</v>
      </c>
      <c r="R587">
        <f>IF(ISNUMBER(SEARCH('1Př1'!$A$32,N587)),MAX($M$2:M586)+1,0)</f>
        <v>585</v>
      </c>
      <c r="S587" s="290" t="s">
        <v>1962</v>
      </c>
      <c r="T587" t="str">
        <f>IFERROR(VLOOKUP(ROWS($T$3:T587),$R$3:$S$718,2,0),"")</f>
        <v>Obchod s plynem prostřednictvím sítí</v>
      </c>
      <c r="U587">
        <f>IF(ISNUMBER(SEARCH('1Př1'!$A$33,N587)),MAX($M$2:M586)+1,0)</f>
        <v>585</v>
      </c>
      <c r="V587" s="290" t="s">
        <v>1962</v>
      </c>
      <c r="W587" t="str">
        <f>IFERROR(VLOOKUP(ROWS($W$3:W587),$U$3:$V$718,2,0),"")</f>
        <v>Obchod s plynem prostřednictvím sítí</v>
      </c>
      <c r="X587">
        <f>IF(ISNUMBER(SEARCH('1Př1'!$A$34,N587)),MAX($M$2:M586)+1,0)</f>
        <v>585</v>
      </c>
      <c r="Y587" s="290" t="s">
        <v>1962</v>
      </c>
      <c r="Z587" t="str">
        <f>IFERROR(VLOOKUP(ROWS($Z$3:Z587),$X$3:$Y$718,2,0),"")</f>
        <v>Obchod s plynem prostřednictvím sítí</v>
      </c>
    </row>
    <row r="588" spans="13:26" ht="12.75">
      <c r="M588" s="289">
        <f>IF(ISNUMBER(SEARCH(ZAKL_DATA!$B$29,N588)),MAX($M$2:M587)+1,0)</f>
        <v>586</v>
      </c>
      <c r="N588" s="482" t="s">
        <v>1846</v>
      </c>
      <c r="O588" s="482" t="s">
        <v>3440</v>
      </c>
      <c r="Q588" s="291" t="str">
        <f>IFERROR(VLOOKUP(ROWS($Q$3:Q588),$M$3:$N$718,2,0),"")</f>
        <v>Výroba ostatních pryžových výrobků</v>
      </c>
      <c r="R588">
        <f>IF(ISNUMBER(SEARCH('1Př1'!$A$32,N588)),MAX($M$2:M587)+1,0)</f>
        <v>586</v>
      </c>
      <c r="S588" s="290" t="s">
        <v>1963</v>
      </c>
      <c r="T588" t="str">
        <f>IFERROR(VLOOKUP(ROWS($T$3:T588),$R$3:$S$718,2,0),"")</f>
        <v>Shromažďování a sběr odpadů, kromě nebezpečných</v>
      </c>
      <c r="U588">
        <f>IF(ISNUMBER(SEARCH('1Př1'!$A$33,N588)),MAX($M$2:M587)+1,0)</f>
        <v>586</v>
      </c>
      <c r="V588" s="290" t="s">
        <v>1963</v>
      </c>
      <c r="W588" t="str">
        <f>IFERROR(VLOOKUP(ROWS($W$3:W588),$U$3:$V$718,2,0),"")</f>
        <v>Shromažďování a sběr odpadů, kromě nebezpečných</v>
      </c>
      <c r="X588">
        <f>IF(ISNUMBER(SEARCH('1Př1'!$A$34,N588)),MAX($M$2:M587)+1,0)</f>
        <v>586</v>
      </c>
      <c r="Y588" s="290" t="s">
        <v>1963</v>
      </c>
      <c r="Z588" t="str">
        <f>IFERROR(VLOOKUP(ROWS($Z$3:Z588),$X$3:$Y$718,2,0),"")</f>
        <v>Shromažďování a sběr odpadů, kromě nebezpečných</v>
      </c>
    </row>
    <row r="589" spans="13:26" ht="25.5">
      <c r="M589" s="289">
        <f>IF(ISNUMBER(SEARCH(ZAKL_DATA!$B$29,N589)),MAX($M$2:M588)+1,0)</f>
        <v>587</v>
      </c>
      <c r="N589" s="482" t="s">
        <v>1922</v>
      </c>
      <c r="O589" s="482" t="s">
        <v>3441</v>
      </c>
      <c r="Q589" s="291" t="str">
        <f>IFERROR(VLOOKUP(ROWS($Q$3:Q589),$M$3:$N$718,2,0),"")</f>
        <v>Výroba ostatních strojů a zařízení pro všeobecné účely j. n.</v>
      </c>
      <c r="R589">
        <f>IF(ISNUMBER(SEARCH('1Př1'!$A$32,N589)),MAX($M$2:M588)+1,0)</f>
        <v>587</v>
      </c>
      <c r="S589" s="290" t="s">
        <v>1964</v>
      </c>
      <c r="T589" t="str">
        <f>IFERROR(VLOOKUP(ROWS($T$3:T589),$R$3:$S$718,2,0),"")</f>
        <v>Shromažďování a sběr nebezpečných odpadů</v>
      </c>
      <c r="U589">
        <f>IF(ISNUMBER(SEARCH('1Př1'!$A$33,N589)),MAX($M$2:M588)+1,0)</f>
        <v>587</v>
      </c>
      <c r="V589" s="290" t="s">
        <v>1964</v>
      </c>
      <c r="W589" t="str">
        <f>IFERROR(VLOOKUP(ROWS($W$3:W589),$U$3:$V$718,2,0),"")</f>
        <v>Shromažďování a sběr nebezpečných odpadů</v>
      </c>
      <c r="X589">
        <f>IF(ISNUMBER(SEARCH('1Př1'!$A$34,N589)),MAX($M$2:M588)+1,0)</f>
        <v>587</v>
      </c>
      <c r="Y589" s="290" t="s">
        <v>1964</v>
      </c>
      <c r="Z589" t="str">
        <f>IFERROR(VLOOKUP(ROWS($Z$3:Z589),$X$3:$Y$718,2,0),"")</f>
        <v>Shromažďování a sběr nebezpečných odpadů</v>
      </c>
    </row>
    <row r="590" spans="13:26" ht="12.75">
      <c r="M590" s="289">
        <f>IF(ISNUMBER(SEARCH(ZAKL_DATA!$B$29,N590)),MAX($M$2:M589)+1,0)</f>
        <v>588</v>
      </c>
      <c r="N590" s="482" t="s">
        <v>1931</v>
      </c>
      <c r="O590" s="482" t="s">
        <v>3442</v>
      </c>
      <c r="Q590" s="291" t="str">
        <f>IFERROR(VLOOKUP(ROWS($Q$3:Q590),$M$3:$N$718,2,0),"")</f>
        <v>Výroba ostatních strojů pro speciální účely j. n.</v>
      </c>
      <c r="R590">
        <f>IF(ISNUMBER(SEARCH('1Př1'!$A$32,N590)),MAX($M$2:M589)+1,0)</f>
        <v>588</v>
      </c>
      <c r="S590" s="290" t="s">
        <v>1965</v>
      </c>
      <c r="T590" t="str">
        <f>IFERROR(VLOOKUP(ROWS($T$3:T590),$R$3:$S$718,2,0),"")</f>
        <v>Odstraňování odpadů, kromě nebezpečných</v>
      </c>
      <c r="U590">
        <f>IF(ISNUMBER(SEARCH('1Př1'!$A$33,N590)),MAX($M$2:M589)+1,0)</f>
        <v>588</v>
      </c>
      <c r="V590" s="290" t="s">
        <v>1965</v>
      </c>
      <c r="W590" t="str">
        <f>IFERROR(VLOOKUP(ROWS($W$3:W590),$U$3:$V$718,2,0),"")</f>
        <v>Odstraňování odpadů, kromě nebezpečných</v>
      </c>
      <c r="X590">
        <f>IF(ISNUMBER(SEARCH('1Př1'!$A$34,N590)),MAX($M$2:M589)+1,0)</f>
        <v>588</v>
      </c>
      <c r="Y590" s="290" t="s">
        <v>1965</v>
      </c>
      <c r="Z590" t="str">
        <f>IFERROR(VLOOKUP(ROWS($Z$3:Z590),$X$3:$Y$718,2,0),"")</f>
        <v>Odstraňování odpadů, kromě nebezpečných</v>
      </c>
    </row>
    <row r="591" spans="13:26" ht="25.5">
      <c r="M591" s="289">
        <f>IF(ISNUMBER(SEARCH(ZAKL_DATA!$B$29,N591)),MAX($M$2:M590)+1,0)</f>
        <v>589</v>
      </c>
      <c r="N591" s="482" t="s">
        <v>1801</v>
      </c>
      <c r="O591" s="482" t="s">
        <v>3443</v>
      </c>
      <c r="Q591" s="291" t="str">
        <f>IFERROR(VLOOKUP(ROWS($Q$3:Q591),$M$3:$N$718,2,0),"")</f>
        <v>Výroba ostatních technických a průmyslových textilií</v>
      </c>
      <c r="R591">
        <f>IF(ISNUMBER(SEARCH('1Př1'!$A$32,N591)),MAX($M$2:M590)+1,0)</f>
        <v>589</v>
      </c>
      <c r="S591" s="290" t="s">
        <v>1966</v>
      </c>
      <c r="T591" t="str">
        <f>IFERROR(VLOOKUP(ROWS($T$3:T591),$R$3:$S$718,2,0),"")</f>
        <v>Odstraňování nebezpečných odpadů</v>
      </c>
      <c r="U591">
        <f>IF(ISNUMBER(SEARCH('1Př1'!$A$33,N591)),MAX($M$2:M590)+1,0)</f>
        <v>589</v>
      </c>
      <c r="V591" s="290" t="s">
        <v>1966</v>
      </c>
      <c r="W591" t="str">
        <f>IFERROR(VLOOKUP(ROWS($W$3:W591),$U$3:$V$718,2,0),"")</f>
        <v>Odstraňování nebezpečných odpadů</v>
      </c>
      <c r="X591">
        <f>IF(ISNUMBER(SEARCH('1Př1'!$A$34,N591)),MAX($M$2:M590)+1,0)</f>
        <v>589</v>
      </c>
      <c r="Y591" s="290" t="s">
        <v>1966</v>
      </c>
      <c r="Z591" t="str">
        <f>IFERROR(VLOOKUP(ROWS($Z$3:Z591),$X$3:$Y$718,2,0),"")</f>
        <v>Odstraňování nebezpečných odpadů</v>
      </c>
    </row>
    <row r="592" spans="13:26" ht="12.75">
      <c r="M592" s="289">
        <f>IF(ISNUMBER(SEARCH(ZAKL_DATA!$B$29,N592)),MAX($M$2:M591)+1,0)</f>
        <v>590</v>
      </c>
      <c r="N592" s="482" t="s">
        <v>1861</v>
      </c>
      <c r="O592" s="482" t="s">
        <v>3444</v>
      </c>
      <c r="Q592" s="291" t="str">
        <f>IFERROR(VLOOKUP(ROWS($Q$3:Q592),$M$3:$N$718,2,0),"")</f>
        <v>Výroba ostatních technických keramických výrobků</v>
      </c>
      <c r="R592">
        <f>IF(ISNUMBER(SEARCH('1Př1'!$A$32,N592)),MAX($M$2:M591)+1,0)</f>
        <v>590</v>
      </c>
      <c r="S592" s="290" t="s">
        <v>1967</v>
      </c>
      <c r="T592" t="str">
        <f>IFERROR(VLOOKUP(ROWS($T$3:T592),$R$3:$S$718,2,0),"")</f>
        <v>Demontáž vraků a vyřazených strojů a zařízení pro účely recyklace</v>
      </c>
      <c r="U592">
        <f>IF(ISNUMBER(SEARCH('1Př1'!$A$33,N592)),MAX($M$2:M591)+1,0)</f>
        <v>590</v>
      </c>
      <c r="V592" s="290" t="s">
        <v>1967</v>
      </c>
      <c r="W592" t="str">
        <f>IFERROR(VLOOKUP(ROWS($W$3:W592),$U$3:$V$718,2,0),"")</f>
        <v>Demontáž vraků a vyřazených strojů a zařízení pro účely recyklace</v>
      </c>
      <c r="X592">
        <f>IF(ISNUMBER(SEARCH('1Př1'!$A$34,N592)),MAX($M$2:M591)+1,0)</f>
        <v>590</v>
      </c>
      <c r="Y592" s="290" t="s">
        <v>1967</v>
      </c>
      <c r="Z592" t="str">
        <f>IFERROR(VLOOKUP(ROWS($Z$3:Z592),$X$3:$Y$718,2,0),"")</f>
        <v>Demontáž vraků a vyřazených strojů a zařízení pro účely recyklace</v>
      </c>
    </row>
    <row r="593" spans="13:26" ht="12.75">
      <c r="M593" s="289">
        <f>IF(ISNUMBER(SEARCH(ZAKL_DATA!$B$29,N593)),MAX($M$2:M592)+1,0)</f>
        <v>591</v>
      </c>
      <c r="N593" s="482" t="s">
        <v>1802</v>
      </c>
      <c r="O593" s="482" t="s">
        <v>3445</v>
      </c>
      <c r="Q593" s="291" t="str">
        <f>IFERROR(VLOOKUP(ROWS($Q$3:Q593),$M$3:$N$718,2,0),"")</f>
        <v>Výroba ostatních textilií j. n.</v>
      </c>
      <c r="R593">
        <f>IF(ISNUMBER(SEARCH('1Př1'!$A$32,N593)),MAX($M$2:M592)+1,0)</f>
        <v>591</v>
      </c>
      <c r="S593" s="290" t="s">
        <v>1968</v>
      </c>
      <c r="T593" t="str">
        <f>IFERROR(VLOOKUP(ROWS($T$3:T593),$R$3:$S$718,2,0),"")</f>
        <v>Úprava odpadů k dalšímu využití,kromě demontáže vraků,strojů a zařízení</v>
      </c>
      <c r="U593">
        <f>IF(ISNUMBER(SEARCH('1Př1'!$A$33,N593)),MAX($M$2:M592)+1,0)</f>
        <v>591</v>
      </c>
      <c r="V593" s="290" t="s">
        <v>1968</v>
      </c>
      <c r="W593" t="str">
        <f>IFERROR(VLOOKUP(ROWS($W$3:W593),$U$3:$V$718,2,0),"")</f>
        <v>Úprava odpadů k dalšímu využití,kromě demontáže vraků,strojů a zařízení</v>
      </c>
      <c r="X593">
        <f>IF(ISNUMBER(SEARCH('1Př1'!$A$34,N593)),MAX($M$2:M592)+1,0)</f>
        <v>591</v>
      </c>
      <c r="Y593" s="290" t="s">
        <v>1968</v>
      </c>
      <c r="Z593" t="str">
        <f>IFERROR(VLOOKUP(ROWS($Z$3:Z593),$X$3:$Y$718,2,0),"")</f>
        <v>Úprava odpadů k dalšímu využití,kromě demontáže vraků,strojů a zařízení</v>
      </c>
    </row>
    <row r="594" spans="13:26" ht="25.5">
      <c r="M594" s="289">
        <f>IF(ISNUMBER(SEARCH(ZAKL_DATA!$B$29,N594)),MAX($M$2:M593)+1,0)</f>
        <v>592</v>
      </c>
      <c r="N594" s="482" t="s">
        <v>1818</v>
      </c>
      <c r="O594" s="482" t="s">
        <v>3446</v>
      </c>
      <c r="Q594" s="291" t="str">
        <f>IFERROR(VLOOKUP(ROWS($Q$3:Q594),$M$3:$N$718,2,0),"")</f>
        <v>Výroba ostatních výrobků stavebního truhlářství a tesařství</v>
      </c>
      <c r="R594">
        <f>IF(ISNUMBER(SEARCH('1Př1'!$A$32,N594)),MAX($M$2:M593)+1,0)</f>
        <v>592</v>
      </c>
      <c r="S594" s="290" t="s">
        <v>1969</v>
      </c>
      <c r="T594" t="str">
        <f>IFERROR(VLOOKUP(ROWS($T$3:T594),$R$3:$S$718,2,0),"")</f>
        <v>Výstavba bytových budov</v>
      </c>
      <c r="U594">
        <f>IF(ISNUMBER(SEARCH('1Př1'!$A$33,N594)),MAX($M$2:M593)+1,0)</f>
        <v>592</v>
      </c>
      <c r="V594" s="290" t="s">
        <v>1969</v>
      </c>
      <c r="W594" t="str">
        <f>IFERROR(VLOOKUP(ROWS($W$3:W594),$U$3:$V$718,2,0),"")</f>
        <v>Výstavba bytových budov</v>
      </c>
      <c r="X594">
        <f>IF(ISNUMBER(SEARCH('1Př1'!$A$34,N594)),MAX($M$2:M593)+1,0)</f>
        <v>592</v>
      </c>
      <c r="Y594" s="290" t="s">
        <v>1969</v>
      </c>
      <c r="Z594" t="str">
        <f>IFERROR(VLOOKUP(ROWS($Z$3:Z594),$X$3:$Y$718,2,0),"")</f>
        <v>Výstavba bytových budov</v>
      </c>
    </row>
    <row r="595" spans="13:26" ht="12.75">
      <c r="M595" s="289">
        <f>IF(ISNUMBER(SEARCH(ZAKL_DATA!$B$29,N595)),MAX($M$2:M594)+1,0)</f>
        <v>593</v>
      </c>
      <c r="N595" s="482" t="s">
        <v>1827</v>
      </c>
      <c r="O595" s="482" t="s">
        <v>3447</v>
      </c>
      <c r="Q595" s="291" t="str">
        <f>IFERROR(VLOOKUP(ROWS($Q$3:Q595),$M$3:$N$718,2,0),"")</f>
        <v>Výroba ostatních výrobků z papíru a lepenky</v>
      </c>
      <c r="R595">
        <f>IF(ISNUMBER(SEARCH('1Př1'!$A$32,N595)),MAX($M$2:M594)+1,0)</f>
        <v>593</v>
      </c>
      <c r="S595" s="290" t="s">
        <v>1970</v>
      </c>
      <c r="T595" t="str">
        <f>IFERROR(VLOOKUP(ROWS($T$3:T595),$R$3:$S$718,2,0),"")</f>
        <v>Výstavba silnic a dálnic</v>
      </c>
      <c r="U595">
        <f>IF(ISNUMBER(SEARCH('1Př1'!$A$33,N595)),MAX($M$2:M594)+1,0)</f>
        <v>593</v>
      </c>
      <c r="V595" s="290" t="s">
        <v>1970</v>
      </c>
      <c r="W595" t="str">
        <f>IFERROR(VLOOKUP(ROWS($W$3:W595),$U$3:$V$718,2,0),"")</f>
        <v>Výstavba silnic a dálnic</v>
      </c>
      <c r="X595">
        <f>IF(ISNUMBER(SEARCH('1Př1'!$A$34,N595)),MAX($M$2:M594)+1,0)</f>
        <v>593</v>
      </c>
      <c r="Y595" s="290" t="s">
        <v>1970</v>
      </c>
      <c r="Z595" t="str">
        <f>IFERROR(VLOOKUP(ROWS($Z$3:Z595),$X$3:$Y$718,2,0),"")</f>
        <v>Výstavba silnic a dálnic</v>
      </c>
    </row>
    <row r="596" spans="13:26" ht="12.75">
      <c r="M596" s="289">
        <f>IF(ISNUMBER(SEARCH(ZAKL_DATA!$B$29,N596)),MAX($M$2:M595)+1,0)</f>
        <v>594</v>
      </c>
      <c r="N596" s="482" t="s">
        <v>3448</v>
      </c>
      <c r="O596" s="482" t="s">
        <v>3449</v>
      </c>
      <c r="Q596" s="291" t="str">
        <f>IFERROR(VLOOKUP(ROWS($Q$3:Q596),$M$3:$N$718,2,0),"")</f>
        <v>Výroba osvětlovacích zařízení</v>
      </c>
      <c r="R596">
        <f>IF(ISNUMBER(SEARCH('1Př1'!$A$32,N596)),MAX($M$2:M595)+1,0)</f>
        <v>594</v>
      </c>
      <c r="S596" s="290" t="s">
        <v>1971</v>
      </c>
      <c r="T596" t="str">
        <f>IFERROR(VLOOKUP(ROWS($T$3:T596),$R$3:$S$718,2,0),"")</f>
        <v>Výstavba železnic a podzemních drah</v>
      </c>
      <c r="U596">
        <f>IF(ISNUMBER(SEARCH('1Př1'!$A$33,N596)),MAX($M$2:M595)+1,0)</f>
        <v>594</v>
      </c>
      <c r="V596" s="290" t="s">
        <v>1971</v>
      </c>
      <c r="W596" t="str">
        <f>IFERROR(VLOOKUP(ROWS($W$3:W596),$U$3:$V$718,2,0),"")</f>
        <v>Výstavba železnic a podzemních drah</v>
      </c>
      <c r="X596">
        <f>IF(ISNUMBER(SEARCH('1Př1'!$A$34,N596)),MAX($M$2:M595)+1,0)</f>
        <v>594</v>
      </c>
      <c r="Y596" s="290" t="s">
        <v>1971</v>
      </c>
      <c r="Z596" t="str">
        <f>IFERROR(VLOOKUP(ROWS($Z$3:Z596),$X$3:$Y$718,2,0),"")</f>
        <v>Výstavba železnic a podzemních drah</v>
      </c>
    </row>
    <row r="597" spans="13:26" ht="12.75">
      <c r="M597" s="289">
        <f>IF(ISNUMBER(SEARCH(ZAKL_DATA!$B$29,N597)),MAX($M$2:M596)+1,0)</f>
        <v>595</v>
      </c>
      <c r="N597" s="482" t="s">
        <v>1769</v>
      </c>
      <c r="O597" s="482" t="s">
        <v>3450</v>
      </c>
      <c r="Q597" s="291" t="str">
        <f>IFERROR(VLOOKUP(ROWS($Q$3:Q597),$M$3:$N$718,2,0),"")</f>
        <v>Výroba ovocných a zeleninových šťáv</v>
      </c>
      <c r="R597">
        <f>IF(ISNUMBER(SEARCH('1Př1'!$A$32,N597)),MAX($M$2:M596)+1,0)</f>
        <v>595</v>
      </c>
      <c r="S597" s="290" t="s">
        <v>1972</v>
      </c>
      <c r="T597" t="str">
        <f>IFERROR(VLOOKUP(ROWS($T$3:T597),$R$3:$S$718,2,0),"")</f>
        <v>Výstavba mostů a tunelů</v>
      </c>
      <c r="U597">
        <f>IF(ISNUMBER(SEARCH('1Př1'!$A$33,N597)),MAX($M$2:M596)+1,0)</f>
        <v>595</v>
      </c>
      <c r="V597" s="290" t="s">
        <v>1972</v>
      </c>
      <c r="W597" t="str">
        <f>IFERROR(VLOOKUP(ROWS($W$3:W597),$U$3:$V$718,2,0),"")</f>
        <v>Výstavba mostů a tunelů</v>
      </c>
      <c r="X597">
        <f>IF(ISNUMBER(SEARCH('1Př1'!$A$34,N597)),MAX($M$2:M596)+1,0)</f>
        <v>595</v>
      </c>
      <c r="Y597" s="290" t="s">
        <v>1972</v>
      </c>
      <c r="Z597" t="str">
        <f>IFERROR(VLOOKUP(ROWS($Z$3:Z597),$X$3:$Y$718,2,0),"")</f>
        <v>Výstavba mostů a tunelů</v>
      </c>
    </row>
    <row r="598" spans="13:26" ht="25.5">
      <c r="M598" s="289">
        <f>IF(ISNUMBER(SEARCH(ZAKL_DATA!$B$29,N598)),MAX($M$2:M597)+1,0)</f>
        <v>596</v>
      </c>
      <c r="N598" s="482" t="s">
        <v>1482</v>
      </c>
      <c r="O598" s="482" t="s">
        <v>3451</v>
      </c>
      <c r="Q598" s="291" t="str">
        <f>IFERROR(VLOOKUP(ROWS($Q$3:Q598),$M$3:$N$718,2,0),"")</f>
        <v>Výroba ozařovacích, elektroléčebných a elektroterapeutických přístrojů</v>
      </c>
      <c r="R598">
        <f>IF(ISNUMBER(SEARCH('1Př1'!$A$32,N598)),MAX($M$2:M597)+1,0)</f>
        <v>596</v>
      </c>
      <c r="S598" s="290" t="s">
        <v>1973</v>
      </c>
      <c r="T598" t="str">
        <f>IFERROR(VLOOKUP(ROWS($T$3:T598),$R$3:$S$718,2,0),"")</f>
        <v>Výstavba inženýrských sítí pro kapaliny a plyny</v>
      </c>
      <c r="U598">
        <f>IF(ISNUMBER(SEARCH('1Př1'!$A$33,N598)),MAX($M$2:M597)+1,0)</f>
        <v>596</v>
      </c>
      <c r="V598" s="290" t="s">
        <v>1973</v>
      </c>
      <c r="W598" t="str">
        <f>IFERROR(VLOOKUP(ROWS($W$3:W598),$U$3:$V$718,2,0),"")</f>
        <v>Výstavba inženýrských sítí pro kapaliny a plyny</v>
      </c>
      <c r="X598">
        <f>IF(ISNUMBER(SEARCH('1Př1'!$A$34,N598)),MAX($M$2:M597)+1,0)</f>
        <v>596</v>
      </c>
      <c r="Y598" s="290" t="s">
        <v>1973</v>
      </c>
      <c r="Z598" t="str">
        <f>IFERROR(VLOOKUP(ROWS($Z$3:Z598),$X$3:$Y$718,2,0),"")</f>
        <v>Výstavba inženýrských sítí pro kapaliny a plyny</v>
      </c>
    </row>
    <row r="599" spans="13:26" ht="25.5">
      <c r="M599" s="289">
        <f>IF(ISNUMBER(SEARCH(ZAKL_DATA!$B$29,N599)),MAX($M$2:M598)+1,0)</f>
        <v>597</v>
      </c>
      <c r="N599" s="482" t="s">
        <v>1857</v>
      </c>
      <c r="O599" s="482" t="s">
        <v>3452</v>
      </c>
      <c r="Q599" s="291" t="str">
        <f>IFERROR(VLOOKUP(ROWS($Q$3:Q599),$M$3:$N$718,2,0),"")</f>
        <v>Výroba pálených zdicích materiálů, tašek, dlaždic a podobných výrobků</v>
      </c>
      <c r="R599">
        <f>IF(ISNUMBER(SEARCH('1Př1'!$A$32,N599)),MAX($M$2:M598)+1,0)</f>
        <v>597</v>
      </c>
      <c r="S599" s="290" t="s">
        <v>1974</v>
      </c>
      <c r="T599" t="str">
        <f>IFERROR(VLOOKUP(ROWS($T$3:T599),$R$3:$S$718,2,0),"")</f>
        <v>Výstavba inženýrských sítí pro elektřinu a telekomunikace</v>
      </c>
      <c r="U599">
        <f>IF(ISNUMBER(SEARCH('1Př1'!$A$33,N599)),MAX($M$2:M598)+1,0)</f>
        <v>597</v>
      </c>
      <c r="V599" s="290" t="s">
        <v>1974</v>
      </c>
      <c r="W599" t="str">
        <f>IFERROR(VLOOKUP(ROWS($W$3:W599),$U$3:$V$718,2,0),"")</f>
        <v>Výstavba inženýrských sítí pro elektřinu a telekomunikace</v>
      </c>
      <c r="X599">
        <f>IF(ISNUMBER(SEARCH('1Př1'!$A$34,N599)),MAX($M$2:M598)+1,0)</f>
        <v>597</v>
      </c>
      <c r="Y599" s="290" t="s">
        <v>1974</v>
      </c>
      <c r="Z599" t="str">
        <f>IFERROR(VLOOKUP(ROWS($Z$3:Z599),$X$3:$Y$718,2,0),"")</f>
        <v>Výstavba inženýrských sítí pro elektřinu a telekomunikace</v>
      </c>
    </row>
    <row r="600" spans="13:26" ht="12.75">
      <c r="M600" s="289">
        <f>IF(ISNUMBER(SEARCH(ZAKL_DATA!$B$29,N600)),MAX($M$2:M599)+1,0)</f>
        <v>598</v>
      </c>
      <c r="N600" s="482" t="s">
        <v>1822</v>
      </c>
      <c r="O600" s="482" t="s">
        <v>3453</v>
      </c>
      <c r="Q600" s="291" t="str">
        <f>IFERROR(VLOOKUP(ROWS($Q$3:Q600),$M$3:$N$718,2,0),"")</f>
        <v>Výroba papíru a lepenky</v>
      </c>
      <c r="R600">
        <f>IF(ISNUMBER(SEARCH('1Př1'!$A$32,N600)),MAX($M$2:M599)+1,0)</f>
        <v>598</v>
      </c>
      <c r="S600" s="290" t="s">
        <v>1975</v>
      </c>
      <c r="T600" t="str">
        <f>IFERROR(VLOOKUP(ROWS($T$3:T600),$R$3:$S$718,2,0),"")</f>
        <v>Výstavba vodních děl</v>
      </c>
      <c r="U600">
        <f>IF(ISNUMBER(SEARCH('1Př1'!$A$33,N600)),MAX($M$2:M599)+1,0)</f>
        <v>598</v>
      </c>
      <c r="V600" s="290" t="s">
        <v>1975</v>
      </c>
      <c r="W600" t="str">
        <f>IFERROR(VLOOKUP(ROWS($W$3:W600),$U$3:$V$718,2,0),"")</f>
        <v>Výstavba vodních děl</v>
      </c>
      <c r="X600">
        <f>IF(ISNUMBER(SEARCH('1Př1'!$A$34,N600)),MAX($M$2:M599)+1,0)</f>
        <v>598</v>
      </c>
      <c r="Y600" s="290" t="s">
        <v>1975</v>
      </c>
      <c r="Z600" t="str">
        <f>IFERROR(VLOOKUP(ROWS($Z$3:Z600),$X$3:$Y$718,2,0),"")</f>
        <v>Výstavba vodních děl</v>
      </c>
    </row>
    <row r="601" spans="13:26" ht="12.75">
      <c r="M601" s="289">
        <f>IF(ISNUMBER(SEARCH(ZAKL_DATA!$B$29,N601)),MAX($M$2:M600)+1,0)</f>
        <v>599</v>
      </c>
      <c r="N601" s="482" t="s">
        <v>1840</v>
      </c>
      <c r="O601" s="482" t="s">
        <v>3454</v>
      </c>
      <c r="Q601" s="291" t="str">
        <f>IFERROR(VLOOKUP(ROWS($Q$3:Q601),$M$3:$N$718,2,0),"")</f>
        <v>Výroba parfémů a toaletních přípravků</v>
      </c>
      <c r="R601">
        <f>IF(ISNUMBER(SEARCH('1Př1'!$A$32,N601)),MAX($M$2:M600)+1,0)</f>
        <v>599</v>
      </c>
      <c r="S601" s="290" t="s">
        <v>1976</v>
      </c>
      <c r="T601" t="str">
        <f>IFERROR(VLOOKUP(ROWS($T$3:T601),$R$3:$S$718,2,0),"")</f>
        <v>Výstavba ostatních staveb j. n.</v>
      </c>
      <c r="U601">
        <f>IF(ISNUMBER(SEARCH('1Př1'!$A$33,N601)),MAX($M$2:M600)+1,0)</f>
        <v>599</v>
      </c>
      <c r="V601" s="290" t="s">
        <v>1976</v>
      </c>
      <c r="W601" t="str">
        <f>IFERROR(VLOOKUP(ROWS($W$3:W601),$U$3:$V$718,2,0),"")</f>
        <v>Výstavba ostatních staveb j. n.</v>
      </c>
      <c r="X601">
        <f>IF(ISNUMBER(SEARCH('1Př1'!$A$34,N601)),MAX($M$2:M600)+1,0)</f>
        <v>599</v>
      </c>
      <c r="Y601" s="290" t="s">
        <v>1976</v>
      </c>
      <c r="Z601" t="str">
        <f>IFERROR(VLOOKUP(ROWS($Z$3:Z601),$X$3:$Y$718,2,0),"")</f>
        <v>Výstavba ostatních staveb j. n.</v>
      </c>
    </row>
    <row r="602" spans="13:26" ht="25.5">
      <c r="M602" s="289">
        <f>IF(ISNUMBER(SEARCH(ZAKL_DATA!$B$29,N602)),MAX($M$2:M601)+1,0)</f>
        <v>600</v>
      </c>
      <c r="N602" s="482" t="s">
        <v>3455</v>
      </c>
      <c r="O602" s="482" t="s">
        <v>3456</v>
      </c>
      <c r="Q602" s="291" t="str">
        <f>IFERROR(VLOOKUP(ROWS($Q$3:Q602),$M$3:$N$718,2,0),"")</f>
        <v>Výroba pecí, kotlů a stálých tepelných zařízení pro domácnosti</v>
      </c>
      <c r="R602">
        <f>IF(ISNUMBER(SEARCH('1Př1'!$A$32,N602)),MAX($M$2:M601)+1,0)</f>
        <v>600</v>
      </c>
      <c r="S602" s="290" t="s">
        <v>1977</v>
      </c>
      <c r="T602" t="str">
        <f>IFERROR(VLOOKUP(ROWS($T$3:T602),$R$3:$S$718,2,0),"")</f>
        <v>Demolice</v>
      </c>
      <c r="U602">
        <f>IF(ISNUMBER(SEARCH('1Př1'!$A$33,N602)),MAX($M$2:M601)+1,0)</f>
        <v>600</v>
      </c>
      <c r="V602" s="290" t="s">
        <v>1977</v>
      </c>
      <c r="W602" t="str">
        <f>IFERROR(VLOOKUP(ROWS($W$3:W602),$U$3:$V$718,2,0),"")</f>
        <v>Demolice</v>
      </c>
      <c r="X602">
        <f>IF(ISNUMBER(SEARCH('1Př1'!$A$34,N602)),MAX($M$2:M601)+1,0)</f>
        <v>600</v>
      </c>
      <c r="Y602" s="290" t="s">
        <v>1977</v>
      </c>
      <c r="Z602" t="str">
        <f>IFERROR(VLOOKUP(ROWS($Z$3:Z602),$X$3:$Y$718,2,0),"")</f>
        <v>Demolice</v>
      </c>
    </row>
    <row r="603" spans="13:26" ht="25.5">
      <c r="M603" s="289">
        <f>IF(ISNUMBER(SEARCH(ZAKL_DATA!$B$29,N603)),MAX($M$2:M602)+1,0)</f>
        <v>601</v>
      </c>
      <c r="N603" s="482" t="s">
        <v>1777</v>
      </c>
      <c r="O603" s="482" t="s">
        <v>3457</v>
      </c>
      <c r="Q603" s="291" t="str">
        <f>IFERROR(VLOOKUP(ROWS($Q$3:Q603),$M$3:$N$718,2,0),"")</f>
        <v>Výroba pekařských a cukrářských výrobků, kromě trvanlivých</v>
      </c>
      <c r="R603">
        <f>IF(ISNUMBER(SEARCH('1Př1'!$A$32,N603)),MAX($M$2:M602)+1,0)</f>
        <v>601</v>
      </c>
      <c r="S603" s="290" t="s">
        <v>1978</v>
      </c>
      <c r="T603" t="str">
        <f>IFERROR(VLOOKUP(ROWS($T$3:T603),$R$3:$S$718,2,0),"")</f>
        <v>Příprava staveniště</v>
      </c>
      <c r="U603">
        <f>IF(ISNUMBER(SEARCH('1Př1'!$A$33,N603)),MAX($M$2:M602)+1,0)</f>
        <v>601</v>
      </c>
      <c r="V603" s="290" t="s">
        <v>1978</v>
      </c>
      <c r="W603" t="str">
        <f>IFERROR(VLOOKUP(ROWS($W$3:W603),$U$3:$V$718,2,0),"")</f>
        <v>Příprava staveniště</v>
      </c>
      <c r="X603">
        <f>IF(ISNUMBER(SEARCH('1Př1'!$A$34,N603)),MAX($M$2:M602)+1,0)</f>
        <v>601</v>
      </c>
      <c r="Y603" s="290" t="s">
        <v>1978</v>
      </c>
      <c r="Z603" t="str">
        <f>IFERROR(VLOOKUP(ROWS($Z$3:Z603),$X$3:$Y$718,2,0),"")</f>
        <v>Příprava staveniště</v>
      </c>
    </row>
    <row r="604" spans="13:26" ht="25.5">
      <c r="M604" s="289">
        <f>IF(ISNUMBER(SEARCH(ZAKL_DATA!$B$29,N604)),MAX($M$2:M603)+1,0)</f>
        <v>602</v>
      </c>
      <c r="N604" s="482" t="s">
        <v>3458</v>
      </c>
      <c r="O604" s="482" t="s">
        <v>3459</v>
      </c>
      <c r="Q604" s="291" t="str">
        <f>IFERROR(VLOOKUP(ROWS($Q$3:Q604),$M$3:$N$718,2,0),"")</f>
        <v>Výroba pesticidů, dezinfekčních prostředků a jiných agrochemických přípravků</v>
      </c>
      <c r="R604">
        <f>IF(ISNUMBER(SEARCH('1Př1'!$A$32,N604)),MAX($M$2:M603)+1,0)</f>
        <v>602</v>
      </c>
      <c r="S604" s="290" t="s">
        <v>1979</v>
      </c>
      <c r="T604" t="str">
        <f>IFERROR(VLOOKUP(ROWS($T$3:T604),$R$3:$S$718,2,0),"")</f>
        <v>Průzkumné vrtné práce</v>
      </c>
      <c r="U604">
        <f>IF(ISNUMBER(SEARCH('1Př1'!$A$33,N604)),MAX($M$2:M603)+1,0)</f>
        <v>602</v>
      </c>
      <c r="V604" s="290" t="s">
        <v>1979</v>
      </c>
      <c r="W604" t="str">
        <f>IFERROR(VLOOKUP(ROWS($W$3:W604),$U$3:$V$718,2,0),"")</f>
        <v>Průzkumné vrtné práce</v>
      </c>
      <c r="X604">
        <f>IF(ISNUMBER(SEARCH('1Př1'!$A$34,N604)),MAX($M$2:M603)+1,0)</f>
        <v>602</v>
      </c>
      <c r="Y604" s="290" t="s">
        <v>1979</v>
      </c>
      <c r="Z604" t="str">
        <f>IFERROR(VLOOKUP(ROWS($Z$3:Z604),$X$3:$Y$718,2,0),"")</f>
        <v>Průzkumné vrtné práce</v>
      </c>
    </row>
    <row r="605" spans="13:26" ht="12.75">
      <c r="M605" s="289">
        <f>IF(ISNUMBER(SEARCH(ZAKL_DATA!$B$29,N605)),MAX($M$2:M604)+1,0)</f>
        <v>603</v>
      </c>
      <c r="N605" s="482" t="s">
        <v>3460</v>
      </c>
      <c r="O605" s="482" t="s">
        <v>3461</v>
      </c>
      <c r="Q605" s="291" t="str">
        <f>IFERROR(VLOOKUP(ROWS($Q$3:Q605),$M$3:$N$718,2,0),"")</f>
        <v>Výroba pevných paliv z rostlinné biomasy</v>
      </c>
      <c r="R605">
        <f>IF(ISNUMBER(SEARCH('1Př1'!$A$32,N605)),MAX($M$2:M604)+1,0)</f>
        <v>603</v>
      </c>
      <c r="S605" s="290" t="s">
        <v>1980</v>
      </c>
      <c r="T605" t="str">
        <f>IFERROR(VLOOKUP(ROWS($T$3:T605),$R$3:$S$718,2,0),"")</f>
        <v>Elektrické instalace</v>
      </c>
      <c r="U605">
        <f>IF(ISNUMBER(SEARCH('1Př1'!$A$33,N605)),MAX($M$2:M604)+1,0)</f>
        <v>603</v>
      </c>
      <c r="V605" s="290" t="s">
        <v>1980</v>
      </c>
      <c r="W605" t="str">
        <f>IFERROR(VLOOKUP(ROWS($W$3:W605),$U$3:$V$718,2,0),"")</f>
        <v>Elektrické instalace</v>
      </c>
      <c r="X605">
        <f>IF(ISNUMBER(SEARCH('1Př1'!$A$34,N605)),MAX($M$2:M604)+1,0)</f>
        <v>603</v>
      </c>
      <c r="Y605" s="290" t="s">
        <v>1980</v>
      </c>
      <c r="Z605" t="str">
        <f>IFERROR(VLOOKUP(ROWS($Z$3:Z605),$X$3:$Y$718,2,0),"")</f>
        <v>Elektrické instalace</v>
      </c>
    </row>
    <row r="606" spans="13:26" ht="12.75">
      <c r="M606" s="289">
        <f>IF(ISNUMBER(SEARCH(ZAKL_DATA!$B$29,N606)),MAX($M$2:M605)+1,0)</f>
        <v>604</v>
      </c>
      <c r="N606" s="482" t="s">
        <v>1793</v>
      </c>
      <c r="O606" s="482" t="s">
        <v>3462</v>
      </c>
      <c r="Q606" s="291" t="str">
        <f>IFERROR(VLOOKUP(ROWS($Q$3:Q606),$M$3:$N$718,2,0),"")</f>
        <v>Výroba piva</v>
      </c>
      <c r="R606">
        <f>IF(ISNUMBER(SEARCH('1Př1'!$A$32,N606)),MAX($M$2:M605)+1,0)</f>
        <v>604</v>
      </c>
      <c r="S606" s="290" t="s">
        <v>1981</v>
      </c>
      <c r="T606" t="str">
        <f>IFERROR(VLOOKUP(ROWS($T$3:T606),$R$3:$S$718,2,0),"")</f>
        <v>Instalace vody, odpadu, plynu, topení a klimatizace</v>
      </c>
      <c r="U606">
        <f>IF(ISNUMBER(SEARCH('1Př1'!$A$33,N606)),MAX($M$2:M605)+1,0)</f>
        <v>604</v>
      </c>
      <c r="V606" s="290" t="s">
        <v>1981</v>
      </c>
      <c r="W606" t="str">
        <f>IFERROR(VLOOKUP(ROWS($W$3:W606),$U$3:$V$718,2,0),"")</f>
        <v>Instalace vody, odpadu, plynu, topení a klimatizace</v>
      </c>
      <c r="X606">
        <f>IF(ISNUMBER(SEARCH('1Př1'!$A$34,N606)),MAX($M$2:M605)+1,0)</f>
        <v>604</v>
      </c>
      <c r="Y606" s="290" t="s">
        <v>1981</v>
      </c>
      <c r="Z606" t="str">
        <f>IFERROR(VLOOKUP(ROWS($Z$3:Z606),$X$3:$Y$718,2,0),"")</f>
        <v>Instalace vody, odpadu, plynu, topení a klimatizace</v>
      </c>
    </row>
    <row r="607" spans="13:26" ht="25.5">
      <c r="M607" s="289">
        <f>IF(ISNUMBER(SEARCH(ZAKL_DATA!$B$29,N607)),MAX($M$2:M606)+1,0)</f>
        <v>605</v>
      </c>
      <c r="N607" s="482" t="s">
        <v>1847</v>
      </c>
      <c r="O607" s="482" t="s">
        <v>3463</v>
      </c>
      <c r="Q607" s="291" t="str">
        <f>IFERROR(VLOOKUP(ROWS($Q$3:Q607),$M$3:$N$718,2,0),"")</f>
        <v>Výroba plastových desek, fólií, hadic, trubek a profilů</v>
      </c>
      <c r="R607">
        <f>IF(ISNUMBER(SEARCH('1Př1'!$A$32,N607)),MAX($M$2:M606)+1,0)</f>
        <v>605</v>
      </c>
      <c r="S607" s="290" t="s">
        <v>1982</v>
      </c>
      <c r="T607" t="str">
        <f>IFERROR(VLOOKUP(ROWS($T$3:T607),$R$3:$S$718,2,0),"")</f>
        <v>Ostatní stavební instalace</v>
      </c>
      <c r="U607">
        <f>IF(ISNUMBER(SEARCH('1Př1'!$A$33,N607)),MAX($M$2:M606)+1,0)</f>
        <v>605</v>
      </c>
      <c r="V607" s="290" t="s">
        <v>1982</v>
      </c>
      <c r="W607" t="str">
        <f>IFERROR(VLOOKUP(ROWS($W$3:W607),$U$3:$V$718,2,0),"")</f>
        <v>Ostatní stavební instalace</v>
      </c>
      <c r="X607">
        <f>IF(ISNUMBER(SEARCH('1Př1'!$A$34,N607)),MAX($M$2:M606)+1,0)</f>
        <v>605</v>
      </c>
      <c r="Y607" s="290" t="s">
        <v>1982</v>
      </c>
      <c r="Z607" t="str">
        <f>IFERROR(VLOOKUP(ROWS($Z$3:Z607),$X$3:$Y$718,2,0),"")</f>
        <v>Ostatní stavební instalace</v>
      </c>
    </row>
    <row r="608" spans="13:26" ht="12.75">
      <c r="M608" s="289">
        <f>IF(ISNUMBER(SEARCH(ZAKL_DATA!$B$29,N608)),MAX($M$2:M607)+1,0)</f>
        <v>606</v>
      </c>
      <c r="N608" s="482" t="s">
        <v>3464</v>
      </c>
      <c r="O608" s="482" t="s">
        <v>3465</v>
      </c>
      <c r="Q608" s="291" t="str">
        <f>IFERROR(VLOOKUP(ROWS($Q$3:Q608),$M$3:$N$718,2,0),"")</f>
        <v>Výroba plastových dveří a oken</v>
      </c>
      <c r="R608">
        <f>IF(ISNUMBER(SEARCH('1Př1'!$A$32,N608)),MAX($M$2:M607)+1,0)</f>
        <v>606</v>
      </c>
      <c r="S608" s="290" t="s">
        <v>1983</v>
      </c>
      <c r="T608" t="str">
        <f>IFERROR(VLOOKUP(ROWS($T$3:T608),$R$3:$S$718,2,0),"")</f>
        <v>Omítkářské práce</v>
      </c>
      <c r="U608">
        <f>IF(ISNUMBER(SEARCH('1Př1'!$A$33,N608)),MAX($M$2:M607)+1,0)</f>
        <v>606</v>
      </c>
      <c r="V608" s="290" t="s">
        <v>1983</v>
      </c>
      <c r="W608" t="str">
        <f>IFERROR(VLOOKUP(ROWS($W$3:W608),$U$3:$V$718,2,0),"")</f>
        <v>Omítkářské práce</v>
      </c>
      <c r="X608">
        <f>IF(ISNUMBER(SEARCH('1Př1'!$A$34,N608)),MAX($M$2:M607)+1,0)</f>
        <v>606</v>
      </c>
      <c r="Y608" s="290" t="s">
        <v>1983</v>
      </c>
      <c r="Z608" t="str">
        <f>IFERROR(VLOOKUP(ROWS($Z$3:Z608),$X$3:$Y$718,2,0),"")</f>
        <v>Omítkářské práce</v>
      </c>
    </row>
    <row r="609" spans="13:26" ht="12.75">
      <c r="M609" s="289">
        <f>IF(ISNUMBER(SEARCH(ZAKL_DATA!$B$29,N609)),MAX($M$2:M608)+1,0)</f>
        <v>607</v>
      </c>
      <c r="N609" s="482" t="s">
        <v>1848</v>
      </c>
      <c r="O609" s="482" t="s">
        <v>3466</v>
      </c>
      <c r="Q609" s="291" t="str">
        <f>IFERROR(VLOOKUP(ROWS($Q$3:Q609),$M$3:$N$718,2,0),"")</f>
        <v>Výroba plastových obalů</v>
      </c>
      <c r="R609">
        <f>IF(ISNUMBER(SEARCH('1Př1'!$A$32,N609)),MAX($M$2:M608)+1,0)</f>
        <v>607</v>
      </c>
      <c r="S609" s="290" t="s">
        <v>1984</v>
      </c>
      <c r="T609" t="str">
        <f>IFERROR(VLOOKUP(ROWS($T$3:T609),$R$3:$S$718,2,0),"")</f>
        <v>Truhlářské práce</v>
      </c>
      <c r="U609">
        <f>IF(ISNUMBER(SEARCH('1Př1'!$A$33,N609)),MAX($M$2:M608)+1,0)</f>
        <v>607</v>
      </c>
      <c r="V609" s="290" t="s">
        <v>1984</v>
      </c>
      <c r="W609" t="str">
        <f>IFERROR(VLOOKUP(ROWS($W$3:W609),$U$3:$V$718,2,0),"")</f>
        <v>Truhlářské práce</v>
      </c>
      <c r="X609">
        <f>IF(ISNUMBER(SEARCH('1Př1'!$A$34,N609)),MAX($M$2:M608)+1,0)</f>
        <v>607</v>
      </c>
      <c r="Y609" s="290" t="s">
        <v>1984</v>
      </c>
      <c r="Z609" t="str">
        <f>IFERROR(VLOOKUP(ROWS($Z$3:Z609),$X$3:$Y$718,2,0),"")</f>
        <v>Truhlářské práce</v>
      </c>
    </row>
    <row r="610" spans="13:26" ht="12.75">
      <c r="M610" s="289">
        <f>IF(ISNUMBER(SEARCH(ZAKL_DATA!$B$29,N610)),MAX($M$2:M609)+1,0)</f>
        <v>608</v>
      </c>
      <c r="N610" s="482" t="s">
        <v>1849</v>
      </c>
      <c r="O610" s="482" t="s">
        <v>3467</v>
      </c>
      <c r="Q610" s="291" t="str">
        <f>IFERROR(VLOOKUP(ROWS($Q$3:Q610),$M$3:$N$718,2,0),"")</f>
        <v>Výroba plastových výrobků pro stavebnictví</v>
      </c>
      <c r="R610">
        <f>IF(ISNUMBER(SEARCH('1Př1'!$A$32,N610)),MAX($M$2:M609)+1,0)</f>
        <v>608</v>
      </c>
      <c r="S610" s="290" t="s">
        <v>1985</v>
      </c>
      <c r="T610" t="str">
        <f>IFERROR(VLOOKUP(ROWS($T$3:T610),$R$3:$S$718,2,0),"")</f>
        <v>Obkládání stěn a pokládání podlahových krytin</v>
      </c>
      <c r="U610">
        <f>IF(ISNUMBER(SEARCH('1Př1'!$A$33,N610)),MAX($M$2:M609)+1,0)</f>
        <v>608</v>
      </c>
      <c r="V610" s="290" t="s">
        <v>1985</v>
      </c>
      <c r="W610" t="str">
        <f>IFERROR(VLOOKUP(ROWS($W$3:W610),$U$3:$V$718,2,0),"")</f>
        <v>Obkládání stěn a pokládání podlahových krytin</v>
      </c>
      <c r="X610">
        <f>IF(ISNUMBER(SEARCH('1Př1'!$A$34,N610)),MAX($M$2:M609)+1,0)</f>
        <v>608</v>
      </c>
      <c r="Y610" s="290" t="s">
        <v>1985</v>
      </c>
      <c r="Z610" t="str">
        <f>IFERROR(VLOOKUP(ROWS($Z$3:Z610),$X$3:$Y$718,2,0),"")</f>
        <v>Obkládání stěn a pokládání podlahových krytin</v>
      </c>
    </row>
    <row r="611" spans="13:26" ht="12.75">
      <c r="M611" s="289">
        <f>IF(ISNUMBER(SEARCH(ZAKL_DATA!$B$29,N611)),MAX($M$2:M610)+1,0)</f>
        <v>609</v>
      </c>
      <c r="N611" s="482" t="s">
        <v>1837</v>
      </c>
      <c r="O611" s="482" t="s">
        <v>3468</v>
      </c>
      <c r="Q611" s="291" t="str">
        <f>IFERROR(VLOOKUP(ROWS($Q$3:Q611),$M$3:$N$718,2,0),"")</f>
        <v>Výroba plastů v primárních formách</v>
      </c>
      <c r="R611">
        <f>IF(ISNUMBER(SEARCH('1Př1'!$A$32,N611)),MAX($M$2:M610)+1,0)</f>
        <v>609</v>
      </c>
      <c r="S611" s="290" t="s">
        <v>1986</v>
      </c>
      <c r="T611" t="str">
        <f>IFERROR(VLOOKUP(ROWS($T$3:T611),$R$3:$S$718,2,0),"")</f>
        <v>Sklenářské, malířské a natěračské práce</v>
      </c>
      <c r="U611">
        <f>IF(ISNUMBER(SEARCH('1Př1'!$A$33,N611)),MAX($M$2:M610)+1,0)</f>
        <v>609</v>
      </c>
      <c r="V611" s="290" t="s">
        <v>1986</v>
      </c>
      <c r="W611" t="str">
        <f>IFERROR(VLOOKUP(ROWS($W$3:W611),$U$3:$V$718,2,0),"")</f>
        <v>Sklenářské, malířské a natěračské práce</v>
      </c>
      <c r="X611">
        <f>IF(ISNUMBER(SEARCH('1Př1'!$A$34,N611)),MAX($M$2:M610)+1,0)</f>
        <v>609</v>
      </c>
      <c r="Y611" s="290" t="s">
        <v>1986</v>
      </c>
      <c r="Z611" t="str">
        <f>IFERROR(VLOOKUP(ROWS($Z$3:Z611),$X$3:$Y$718,2,0),"")</f>
        <v>Sklenářské, malířské a natěračské práce</v>
      </c>
    </row>
    <row r="612" spans="13:26" ht="25.5">
      <c r="M612" s="289">
        <f>IF(ISNUMBER(SEARCH(ZAKL_DATA!$B$29,N612)),MAX($M$2:M611)+1,0)</f>
        <v>610</v>
      </c>
      <c r="N612" s="482" t="s">
        <v>1808</v>
      </c>
      <c r="O612" s="482" t="s">
        <v>3469</v>
      </c>
      <c r="Q612" s="291" t="str">
        <f>IFERROR(VLOOKUP(ROWS($Q$3:Q612),$M$3:$N$718,2,0),"")</f>
        <v>Výroba pletených a háčkovaných punčochových výrobků</v>
      </c>
      <c r="R612">
        <f>IF(ISNUMBER(SEARCH('1Př1'!$A$32,N612)),MAX($M$2:M611)+1,0)</f>
        <v>610</v>
      </c>
      <c r="S612" s="290" t="s">
        <v>1987</v>
      </c>
      <c r="T612" t="str">
        <f>IFERROR(VLOOKUP(ROWS($T$3:T612),$R$3:$S$718,2,0),"")</f>
        <v>Ostatní kompletační a dokončovací práce</v>
      </c>
      <c r="U612">
        <f>IF(ISNUMBER(SEARCH('1Př1'!$A$33,N612)),MAX($M$2:M611)+1,0)</f>
        <v>610</v>
      </c>
      <c r="V612" s="290" t="s">
        <v>1987</v>
      </c>
      <c r="W612" t="str">
        <f>IFERROR(VLOOKUP(ROWS($W$3:W612),$U$3:$V$718,2,0),"")</f>
        <v>Ostatní kompletační a dokončovací práce</v>
      </c>
      <c r="X612">
        <f>IF(ISNUMBER(SEARCH('1Př1'!$A$34,N612)),MAX($M$2:M611)+1,0)</f>
        <v>610</v>
      </c>
      <c r="Y612" s="290" t="s">
        <v>1987</v>
      </c>
      <c r="Z612" t="str">
        <f>IFERROR(VLOOKUP(ROWS($Z$3:Z612),$X$3:$Y$718,2,0),"")</f>
        <v>Ostatní kompletační a dokončovací práce</v>
      </c>
    </row>
    <row r="613" spans="13:26" ht="12.75">
      <c r="M613" s="289">
        <f>IF(ISNUMBER(SEARCH(ZAKL_DATA!$B$29,N613)),MAX($M$2:M612)+1,0)</f>
        <v>611</v>
      </c>
      <c r="N613" s="482" t="s">
        <v>3470</v>
      </c>
      <c r="O613" s="482" t="s">
        <v>3471</v>
      </c>
      <c r="Q613" s="291" t="str">
        <f>IFERROR(VLOOKUP(ROWS($Q$3:Q613),$M$3:$N$718,2,0),"")</f>
        <v>Výroba pletených a háčkovaných textilií</v>
      </c>
      <c r="R613">
        <f>IF(ISNUMBER(SEARCH('1Př1'!$A$32,N613)),MAX($M$2:M612)+1,0)</f>
        <v>611</v>
      </c>
      <c r="S613" s="290" t="s">
        <v>1988</v>
      </c>
      <c r="T613" t="str">
        <f>IFERROR(VLOOKUP(ROWS($T$3:T613),$R$3:$S$718,2,0),"")</f>
        <v>Pokrývačské práce</v>
      </c>
      <c r="U613">
        <f>IF(ISNUMBER(SEARCH('1Př1'!$A$33,N613)),MAX($M$2:M612)+1,0)</f>
        <v>611</v>
      </c>
      <c r="V613" s="290" t="s">
        <v>1988</v>
      </c>
      <c r="W613" t="str">
        <f>IFERROR(VLOOKUP(ROWS($W$3:W613),$U$3:$V$718,2,0),"")</f>
        <v>Pokrývačské práce</v>
      </c>
      <c r="X613">
        <f>IF(ISNUMBER(SEARCH('1Př1'!$A$34,N613)),MAX($M$2:M612)+1,0)</f>
        <v>611</v>
      </c>
      <c r="Y613" s="290" t="s">
        <v>1988</v>
      </c>
      <c r="Z613" t="str">
        <f>IFERROR(VLOOKUP(ROWS($Z$3:Z613),$X$3:$Y$718,2,0),"")</f>
        <v>Pokrývačské práce</v>
      </c>
    </row>
    <row r="614" spans="13:26" ht="12.75">
      <c r="M614" s="289">
        <f>IF(ISNUMBER(SEARCH(ZAKL_DATA!$B$29,N614)),MAX($M$2:M613)+1,0)</f>
        <v>612</v>
      </c>
      <c r="N614" s="482" t="s">
        <v>1851</v>
      </c>
      <c r="O614" s="482" t="s">
        <v>3472</v>
      </c>
      <c r="Q614" s="291" t="str">
        <f>IFERROR(VLOOKUP(ROWS($Q$3:Q614),$M$3:$N$718,2,0),"")</f>
        <v>Výroba plochého skla</v>
      </c>
      <c r="R614">
        <f>IF(ISNUMBER(SEARCH('1Př1'!$A$32,N614)),MAX($M$2:M613)+1,0)</f>
        <v>612</v>
      </c>
      <c r="S614" s="290" t="s">
        <v>1989</v>
      </c>
      <c r="T614" t="str">
        <f>IFERROR(VLOOKUP(ROWS($T$3:T614),$R$3:$S$718,2,0),"")</f>
        <v>Ostatní specializované stavební činnosti j. n.</v>
      </c>
      <c r="U614">
        <f>IF(ISNUMBER(SEARCH('1Př1'!$A$33,N614)),MAX($M$2:M613)+1,0)</f>
        <v>612</v>
      </c>
      <c r="V614" s="290" t="s">
        <v>1989</v>
      </c>
      <c r="W614" t="str">
        <f>IFERROR(VLOOKUP(ROWS($W$3:W614),$U$3:$V$718,2,0),"")</f>
        <v>Ostatní specializované stavební činnosti j. n.</v>
      </c>
      <c r="X614">
        <f>IF(ISNUMBER(SEARCH('1Př1'!$A$34,N614)),MAX($M$2:M613)+1,0)</f>
        <v>612</v>
      </c>
      <c r="Y614" s="290" t="s">
        <v>1989</v>
      </c>
      <c r="Z614" t="str">
        <f>IFERROR(VLOOKUP(ROWS($Z$3:Z614),$X$3:$Y$718,2,0),"")</f>
        <v>Ostatní specializované stavební činnosti j. n.</v>
      </c>
    </row>
    <row r="615" spans="13:26" ht="38.25">
      <c r="M615" s="289">
        <f>IF(ISNUMBER(SEARCH(ZAKL_DATA!$B$29,N615)),MAX($M$2:M614)+1,0)</f>
        <v>613</v>
      </c>
      <c r="N615" s="482" t="s">
        <v>3473</v>
      </c>
      <c r="O615" s="482" t="s">
        <v>3474</v>
      </c>
      <c r="Q615" s="291" t="str">
        <f>IFERROR(VLOOKUP(ROWS($Q$3:Q615),$M$3:$N$718,2,0),"")</f>
        <v>Výroba plochých výrobků ze železa nebo oceli válcovaných za tepla nebo za studena, kromě úzkých pásů válcovaných za studena</v>
      </c>
      <c r="R615">
        <f>IF(ISNUMBER(SEARCH('1Př1'!$A$32,N615)),MAX($M$2:M614)+1,0)</f>
        <v>613</v>
      </c>
      <c r="S615" s="290" t="s">
        <v>1990</v>
      </c>
      <c r="T615" t="str">
        <f>IFERROR(VLOOKUP(ROWS($T$3:T615),$R$3:$S$718,2,0),"")</f>
        <v>Obchod s automobily a jinými lehkými motorovými vozidly</v>
      </c>
      <c r="U615">
        <f>IF(ISNUMBER(SEARCH('1Př1'!$A$33,N615)),MAX($M$2:M614)+1,0)</f>
        <v>613</v>
      </c>
      <c r="V615" s="290" t="s">
        <v>1990</v>
      </c>
      <c r="W615" t="str">
        <f>IFERROR(VLOOKUP(ROWS($W$3:W615),$U$3:$V$718,2,0),"")</f>
        <v>Obchod s automobily a jinými lehkými motorovými vozidly</v>
      </c>
      <c r="X615">
        <f>IF(ISNUMBER(SEARCH('1Př1'!$A$34,N615)),MAX($M$2:M614)+1,0)</f>
        <v>613</v>
      </c>
      <c r="Y615" s="290" t="s">
        <v>1990</v>
      </c>
      <c r="Z615" t="str">
        <f>IFERROR(VLOOKUP(ROWS($Z$3:Z615),$X$3:$Y$718,2,0),"")</f>
        <v>Obchod s automobily a jinými lehkými motorovými vozidly</v>
      </c>
    </row>
    <row r="616" spans="13:26" ht="12.75">
      <c r="M616" s="289">
        <f>IF(ISNUMBER(SEARCH(ZAKL_DATA!$B$29,N616)),MAX($M$2:M615)+1,0)</f>
        <v>614</v>
      </c>
      <c r="N616" s="482" t="s">
        <v>1960</v>
      </c>
      <c r="O616" s="482" t="s">
        <v>3475</v>
      </c>
      <c r="Q616" s="291" t="str">
        <f>IFERROR(VLOOKUP(ROWS($Q$3:Q616),$M$3:$N$718,2,0),"")</f>
        <v>Výroba plynu</v>
      </c>
      <c r="R616">
        <f>IF(ISNUMBER(SEARCH('1Př1'!$A$32,N616)),MAX($M$2:M615)+1,0)</f>
        <v>614</v>
      </c>
      <c r="S616" s="290" t="s">
        <v>1991</v>
      </c>
      <c r="T616" t="str">
        <f>IFERROR(VLOOKUP(ROWS($T$3:T616),$R$3:$S$718,2,0),"")</f>
        <v>Obchod s ostatními motorovými vozidly, kromě motocyklů</v>
      </c>
      <c r="U616">
        <f>IF(ISNUMBER(SEARCH('1Př1'!$A$33,N616)),MAX($M$2:M615)+1,0)</f>
        <v>614</v>
      </c>
      <c r="V616" s="290" t="s">
        <v>1991</v>
      </c>
      <c r="W616" t="str">
        <f>IFERROR(VLOOKUP(ROWS($W$3:W616),$U$3:$V$718,2,0),"")</f>
        <v>Obchod s ostatními motorovými vozidly, kromě motocyklů</v>
      </c>
      <c r="X616">
        <f>IF(ISNUMBER(SEARCH('1Př1'!$A$34,N616)),MAX($M$2:M615)+1,0)</f>
        <v>614</v>
      </c>
      <c r="Y616" s="290" t="s">
        <v>1991</v>
      </c>
      <c r="Z616" t="str">
        <f>IFERROR(VLOOKUP(ROWS($Z$3:Z616),$X$3:$Y$718,2,0),"")</f>
        <v>Obchod s ostatními motorovými vozidly, kromě motocyklů</v>
      </c>
    </row>
    <row r="617" spans="13:26" ht="12.75">
      <c r="M617" s="289">
        <f>IF(ISNUMBER(SEARCH(ZAKL_DATA!$B$29,N617)),MAX($M$2:M616)+1,0)</f>
        <v>615</v>
      </c>
      <c r="N617" s="482" t="s">
        <v>1467</v>
      </c>
      <c r="O617" s="482" t="s">
        <v>3476</v>
      </c>
      <c r="Q617" s="291" t="str">
        <f>IFERROR(VLOOKUP(ROWS($Q$3:Q617),$M$3:$N$718,2,0),"")</f>
        <v>Výroba počítačů a periferních zařízení</v>
      </c>
      <c r="R617">
        <f>IF(ISNUMBER(SEARCH('1Př1'!$A$32,N617)),MAX($M$2:M616)+1,0)</f>
        <v>615</v>
      </c>
      <c r="S617" s="290" t="s">
        <v>1992</v>
      </c>
      <c r="T617" t="str">
        <f>IFERROR(VLOOKUP(ROWS($T$3:T617),$R$3:$S$718,2,0),"")</f>
        <v>Velkoobchod s díly a příslušenstvím pro motorová vozidla,kromě motocyklů</v>
      </c>
      <c r="U617">
        <f>IF(ISNUMBER(SEARCH('1Př1'!$A$33,N617)),MAX($M$2:M616)+1,0)</f>
        <v>615</v>
      </c>
      <c r="V617" s="290" t="s">
        <v>1992</v>
      </c>
      <c r="W617" t="str">
        <f>IFERROR(VLOOKUP(ROWS($W$3:W617),$U$3:$V$718,2,0),"")</f>
        <v>Velkoobchod s díly a příslušenstvím pro motorová vozidla,kromě motocyklů</v>
      </c>
      <c r="X617">
        <f>IF(ISNUMBER(SEARCH('1Př1'!$A$34,N617)),MAX($M$2:M616)+1,0)</f>
        <v>615</v>
      </c>
      <c r="Y617" s="290" t="s">
        <v>1992</v>
      </c>
      <c r="Z617" t="str">
        <f>IFERROR(VLOOKUP(ROWS($Z$3:Z617),$X$3:$Y$718,2,0),"")</f>
        <v>Velkoobchod s díly a příslušenstvím pro motorová vozidla,kromě motocyklů</v>
      </c>
    </row>
    <row r="618" spans="13:26" ht="25.5">
      <c r="M618" s="289">
        <f>IF(ISNUMBER(SEARCH(ZAKL_DATA!$B$29,N618)),MAX($M$2:M617)+1,0)</f>
        <v>616</v>
      </c>
      <c r="N618" s="482" t="s">
        <v>3477</v>
      </c>
      <c r="O618" s="482" t="s">
        <v>3478</v>
      </c>
      <c r="Q618" s="291" t="str">
        <f>IFERROR(VLOOKUP(ROWS($Q$3:Q618),$M$3:$N$718,2,0),"")</f>
        <v>Výroba porcelánových a keramických výrobků převážně pro domácnost a dekoračních předmětů</v>
      </c>
      <c r="R618">
        <f>IF(ISNUMBER(SEARCH('1Př1'!$A$32,N618)),MAX($M$2:M617)+1,0)</f>
        <v>616</v>
      </c>
      <c r="S618" s="290" t="s">
        <v>1993</v>
      </c>
      <c r="T618" t="str">
        <f>IFERROR(VLOOKUP(ROWS($T$3:T618),$R$3:$S$718,2,0),"")</f>
        <v>Maloobchod s díly a příslušenstvím pro motorová vozidla,kromě motocyklů</v>
      </c>
      <c r="U618">
        <f>IF(ISNUMBER(SEARCH('1Př1'!$A$33,N618)),MAX($M$2:M617)+1,0)</f>
        <v>616</v>
      </c>
      <c r="V618" s="290" t="s">
        <v>1993</v>
      </c>
      <c r="W618" t="str">
        <f>IFERROR(VLOOKUP(ROWS($W$3:W618),$U$3:$V$718,2,0),"")</f>
        <v>Maloobchod s díly a příslušenstvím pro motorová vozidla,kromě motocyklů</v>
      </c>
      <c r="X618">
        <f>IF(ISNUMBER(SEARCH('1Př1'!$A$34,N618)),MAX($M$2:M617)+1,0)</f>
        <v>616</v>
      </c>
      <c r="Y618" s="290" t="s">
        <v>1993</v>
      </c>
      <c r="Z618" t="str">
        <f>IFERROR(VLOOKUP(ROWS($Z$3:Z618),$X$3:$Y$718,2,0),"")</f>
        <v>Maloobchod s díly a příslušenstvím pro motorová vozidla,kromě motocyklů</v>
      </c>
    </row>
    <row r="619" spans="13:26" ht="12.75">
      <c r="M619" s="289">
        <f>IF(ISNUMBER(SEARCH(ZAKL_DATA!$B$29,N619)),MAX($M$2:M618)+1,0)</f>
        <v>617</v>
      </c>
      <c r="N619" s="482" t="s">
        <v>1804</v>
      </c>
      <c r="O619" s="482" t="s">
        <v>3479</v>
      </c>
      <c r="Q619" s="291" t="str">
        <f>IFERROR(VLOOKUP(ROWS($Q$3:Q619),$M$3:$N$718,2,0),"")</f>
        <v>Výroba pracovních oděvů</v>
      </c>
      <c r="R619">
        <f>IF(ISNUMBER(SEARCH('1Př1'!$A$32,N619)),MAX($M$2:M618)+1,0)</f>
        <v>617</v>
      </c>
      <c r="S619" s="290" t="s">
        <v>1994</v>
      </c>
      <c r="T619" t="str">
        <f>IFERROR(VLOOKUP(ROWS($T$3:T619),$R$3:$S$718,2,0),"")</f>
        <v>Zprostř.velkoob.a velkoob.v zast.se zákl.zem.pr.,živými zv.,text.sur.a pol.</v>
      </c>
      <c r="U619">
        <f>IF(ISNUMBER(SEARCH('1Př1'!$A$33,N619)),MAX($M$2:M618)+1,0)</f>
        <v>617</v>
      </c>
      <c r="V619" s="290" t="s">
        <v>1994</v>
      </c>
      <c r="W619" t="str">
        <f>IFERROR(VLOOKUP(ROWS($W$3:W619),$U$3:$V$718,2,0),"")</f>
        <v>Zprostř.velkoob.a velkoob.v zast.se zákl.zem.pr.,živými zv.,text.sur.a pol.</v>
      </c>
      <c r="X619">
        <f>IF(ISNUMBER(SEARCH('1Př1'!$A$34,N619)),MAX($M$2:M618)+1,0)</f>
        <v>617</v>
      </c>
      <c r="Y619" s="290" t="s">
        <v>1994</v>
      </c>
      <c r="Z619" t="str">
        <f>IFERROR(VLOOKUP(ROWS($Z$3:Z619),$X$3:$Y$718,2,0),"")</f>
        <v>Zprostř.velkoob.a velkoob.v zast.se zákl.zem.pr.,živými zv.,text.sur.a pol.</v>
      </c>
    </row>
    <row r="620" spans="13:26" ht="25.5">
      <c r="M620" s="289">
        <f>IF(ISNUMBER(SEARCH(ZAKL_DATA!$B$29,N620)),MAX($M$2:M619)+1,0)</f>
        <v>618</v>
      </c>
      <c r="N620" s="482" t="s">
        <v>3480</v>
      </c>
      <c r="O620" s="482" t="s">
        <v>3481</v>
      </c>
      <c r="Q620" s="291" t="str">
        <f>IFERROR(VLOOKUP(ROWS($Q$3:Q620),$M$3:$N$718,2,0),"")</f>
        <v>Výroba pryžových plášťů a duší a protektorování pneumatik</v>
      </c>
      <c r="R620">
        <f>IF(ISNUMBER(SEARCH('1Př1'!$A$32,N620)),MAX($M$2:M619)+1,0)</f>
        <v>618</v>
      </c>
      <c r="S620" s="290" t="s">
        <v>1995</v>
      </c>
      <c r="T620" t="str">
        <f>IFERROR(VLOOKUP(ROWS($T$3:T620),$R$3:$S$718,2,0),"")</f>
        <v>Zprostř.velkoob.a velkoob.v zast.s palivy,rudami,kovy a prům.chemikáliemi</v>
      </c>
      <c r="U620">
        <f>IF(ISNUMBER(SEARCH('1Př1'!$A$33,N620)),MAX($M$2:M619)+1,0)</f>
        <v>618</v>
      </c>
      <c r="V620" s="290" t="s">
        <v>1995</v>
      </c>
      <c r="W620" t="str">
        <f>IFERROR(VLOOKUP(ROWS($W$3:W620),$U$3:$V$718,2,0),"")</f>
        <v>Zprostř.velkoob.a velkoob.v zast.s palivy,rudami,kovy a prům.chemikáliemi</v>
      </c>
      <c r="X620">
        <f>IF(ISNUMBER(SEARCH('1Př1'!$A$34,N620)),MAX($M$2:M619)+1,0)</f>
        <v>618</v>
      </c>
      <c r="Y620" s="290" t="s">
        <v>1995</v>
      </c>
      <c r="Z620" t="str">
        <f>IFERROR(VLOOKUP(ROWS($Z$3:Z620),$X$3:$Y$718,2,0),"")</f>
        <v>Zprostř.velkoob.a velkoob.v zast.s palivy,rudami,kovy a prům.chemikáliemi</v>
      </c>
    </row>
    <row r="621" spans="13:26" ht="25.5">
      <c r="M621" s="289">
        <f>IF(ISNUMBER(SEARCH(ZAKL_DATA!$B$29,N621)),MAX($M$2:M620)+1,0)</f>
        <v>619</v>
      </c>
      <c r="N621" s="482" t="s">
        <v>3482</v>
      </c>
      <c r="O621" s="482" t="s">
        <v>3483</v>
      </c>
      <c r="Q621" s="291" t="str">
        <f>IFERROR(VLOOKUP(ROWS($Q$3:Q621),$M$3:$N$718,2,0),"")</f>
        <v>Výroba radiátorů k ústřednímu topení a parních kotlů</v>
      </c>
      <c r="R621">
        <f>IF(ISNUMBER(SEARCH('1Př1'!$A$32,N621)),MAX($M$2:M620)+1,0)</f>
        <v>619</v>
      </c>
      <c r="S621" s="290" t="s">
        <v>1996</v>
      </c>
      <c r="T621" t="str">
        <f>IFERROR(VLOOKUP(ROWS($T$3:T621),$R$3:$S$718,2,0),"")</f>
        <v>Zprostř.velkoobchodu a velkoobchod v zast.se dřevem a staveb.materiály</v>
      </c>
      <c r="U621">
        <f>IF(ISNUMBER(SEARCH('1Př1'!$A$33,N621)),MAX($M$2:M620)+1,0)</f>
        <v>619</v>
      </c>
      <c r="V621" s="290" t="s">
        <v>1996</v>
      </c>
      <c r="W621" t="str">
        <f>IFERROR(VLOOKUP(ROWS($W$3:W621),$U$3:$V$718,2,0),"")</f>
        <v>Zprostř.velkoobchodu a velkoobchod v zast.se dřevem a staveb.materiály</v>
      </c>
      <c r="X621">
        <f>IF(ISNUMBER(SEARCH('1Př1'!$A$34,N621)),MAX($M$2:M620)+1,0)</f>
        <v>619</v>
      </c>
      <c r="Y621" s="290" t="s">
        <v>1996</v>
      </c>
      <c r="Z621" t="str">
        <f>IFERROR(VLOOKUP(ROWS($Z$3:Z621),$X$3:$Y$718,2,0),"")</f>
        <v>Zprostř.velkoobchodu a velkoobchod v zast.se dřevem a staveb.materiály</v>
      </c>
    </row>
    <row r="622" spans="13:26" ht="25.5">
      <c r="M622" s="289">
        <f>IF(ISNUMBER(SEARCH(ZAKL_DATA!$B$29,N622)),MAX($M$2:M621)+1,0)</f>
        <v>620</v>
      </c>
      <c r="N622" s="482" t="s">
        <v>3484</v>
      </c>
      <c r="O622" s="482" t="s">
        <v>3485</v>
      </c>
      <c r="Q622" s="291" t="str">
        <f>IFERROR(VLOOKUP(ROWS($Q$3:Q622),$M$3:$N$718,2,0),"")</f>
        <v>Výroba rafinovaných ropných produktů a produktů z fosilních paliv</v>
      </c>
      <c r="R622">
        <f>IF(ISNUMBER(SEARCH('1Př1'!$A$32,N622)),MAX($M$2:M621)+1,0)</f>
        <v>620</v>
      </c>
      <c r="S622" s="290" t="s">
        <v>1997</v>
      </c>
      <c r="T622" t="str">
        <f>IFERROR(VLOOKUP(ROWS($T$3:T622),$R$3:$S$718,2,0),"")</f>
        <v>Zprostř.velkoobchodu a velkoob.v zast.se stroji,prům.zař.,loděmi a letadly</v>
      </c>
      <c r="U622">
        <f>IF(ISNUMBER(SEARCH('1Př1'!$A$33,N622)),MAX($M$2:M621)+1,0)</f>
        <v>620</v>
      </c>
      <c r="V622" s="290" t="s">
        <v>1997</v>
      </c>
      <c r="W622" t="str">
        <f>IFERROR(VLOOKUP(ROWS($W$3:W622),$U$3:$V$718,2,0),"")</f>
        <v>Zprostř.velkoobchodu a velkoob.v zast.se stroji,prům.zař.,loděmi a letadly</v>
      </c>
      <c r="X622">
        <f>IF(ISNUMBER(SEARCH('1Př1'!$A$34,N622)),MAX($M$2:M621)+1,0)</f>
        <v>620</v>
      </c>
      <c r="Y622" s="290" t="s">
        <v>1997</v>
      </c>
      <c r="Z622" t="str">
        <f>IFERROR(VLOOKUP(ROWS($Z$3:Z622),$X$3:$Y$718,2,0),"")</f>
        <v>Zprostř.velkoobchodu a velkoob.v zast.se stroji,prům.zař.,loděmi a letadly</v>
      </c>
    </row>
    <row r="623" spans="13:26" ht="12.75">
      <c r="M623" s="289">
        <f>IF(ISNUMBER(SEARCH(ZAKL_DATA!$B$29,N623)),MAX($M$2:M622)+1,0)</f>
        <v>621</v>
      </c>
      <c r="N623" s="482" t="s">
        <v>1920</v>
      </c>
      <c r="O623" s="482" t="s">
        <v>3486</v>
      </c>
      <c r="Q623" s="291" t="str">
        <f>IFERROR(VLOOKUP(ROWS($Q$3:Q623),$M$3:$N$718,2,0),"")</f>
        <v>Výroba ručních mechanizovaných nástrojů</v>
      </c>
      <c r="R623">
        <f>IF(ISNUMBER(SEARCH('1Př1'!$A$32,N623)),MAX($M$2:M622)+1,0)</f>
        <v>621</v>
      </c>
      <c r="S623" s="290" t="s">
        <v>1998</v>
      </c>
      <c r="T623" t="str">
        <f>IFERROR(VLOOKUP(ROWS($T$3:T623),$R$3:$S$718,2,0),"")</f>
        <v>Zprostř.velkoob.a velkoob.v zast.s náb.,želez.zbožím a potř.převáž.pro dom.</v>
      </c>
      <c r="U623">
        <f>IF(ISNUMBER(SEARCH('1Př1'!$A$33,N623)),MAX($M$2:M622)+1,0)</f>
        <v>621</v>
      </c>
      <c r="V623" s="290" t="s">
        <v>1998</v>
      </c>
      <c r="W623" t="str">
        <f>IFERROR(VLOOKUP(ROWS($W$3:W623),$U$3:$V$718,2,0),"")</f>
        <v>Zprostř.velkoob.a velkoob.v zast.s náb.,želez.zbožím a potř.převáž.pro dom.</v>
      </c>
      <c r="X623">
        <f>IF(ISNUMBER(SEARCH('1Př1'!$A$34,N623)),MAX($M$2:M622)+1,0)</f>
        <v>621</v>
      </c>
      <c r="Y623" s="290" t="s">
        <v>1998</v>
      </c>
      <c r="Z623" t="str">
        <f>IFERROR(VLOOKUP(ROWS($Z$3:Z623),$X$3:$Y$718,2,0),"")</f>
        <v>Zprostř.velkoob.a velkoob.v zast.s náb.,želez.zbožím a potř.převáž.pro dom.</v>
      </c>
    </row>
    <row r="624" spans="13:26" ht="12.75">
      <c r="M624" s="289">
        <f>IF(ISNUMBER(SEARCH(ZAKL_DATA!$B$29,N624)),MAX($M$2:M623)+1,0)</f>
        <v>622</v>
      </c>
      <c r="N624" s="482" t="s">
        <v>1866</v>
      </c>
      <c r="O624" s="482" t="s">
        <v>3487</v>
      </c>
      <c r="Q624" s="291" t="str">
        <f>IFERROR(VLOOKUP(ROWS($Q$3:Q624),$M$3:$N$718,2,0),"")</f>
        <v>Výroba sádrových výrobků pro stavební účely</v>
      </c>
      <c r="R624">
        <f>IF(ISNUMBER(SEARCH('1Př1'!$A$32,N624)),MAX($M$2:M623)+1,0)</f>
        <v>622</v>
      </c>
      <c r="S624" s="290" t="s">
        <v>1999</v>
      </c>
      <c r="T624" t="str">
        <f>IFERROR(VLOOKUP(ROWS($T$3:T624),$R$3:$S$718,2,0),"")</f>
        <v>Zprostř.velkoob.a velkoob.v zast.s text.,oděvy,kožešinami,obuví a kož.výr.</v>
      </c>
      <c r="U624">
        <f>IF(ISNUMBER(SEARCH('1Př1'!$A$33,N624)),MAX($M$2:M623)+1,0)</f>
        <v>622</v>
      </c>
      <c r="V624" s="290" t="s">
        <v>1999</v>
      </c>
      <c r="W624" t="str">
        <f>IFERROR(VLOOKUP(ROWS($W$3:W624),$U$3:$V$718,2,0),"")</f>
        <v>Zprostř.velkoob.a velkoob.v zast.s text.,oděvy,kožešinami,obuví a kož.výr.</v>
      </c>
      <c r="X624">
        <f>IF(ISNUMBER(SEARCH('1Př1'!$A$34,N624)),MAX($M$2:M623)+1,0)</f>
        <v>622</v>
      </c>
      <c r="Y624" s="290" t="s">
        <v>1999</v>
      </c>
      <c r="Z624" t="str">
        <f>IFERROR(VLOOKUP(ROWS($Z$3:Z624),$X$3:$Y$718,2,0),"")</f>
        <v>Zprostř.velkoob.a velkoob.v zast.s text.,oděvy,kožešinami,obuví a kož.výr.</v>
      </c>
    </row>
    <row r="625" spans="13:26" ht="12.75">
      <c r="M625" s="289">
        <f>IF(ISNUMBER(SEARCH(ZAKL_DATA!$B$29,N625)),MAX($M$2:M624)+1,0)</f>
        <v>623</v>
      </c>
      <c r="N625" s="482" t="s">
        <v>1817</v>
      </c>
      <c r="O625" s="482" t="s">
        <v>3488</v>
      </c>
      <c r="Q625" s="291" t="str">
        <f>IFERROR(VLOOKUP(ROWS($Q$3:Q625),$M$3:$N$718,2,0),"")</f>
        <v>Výroba sestavených parketových podlah</v>
      </c>
      <c r="R625">
        <f>IF(ISNUMBER(SEARCH('1Př1'!$A$32,N625)),MAX($M$2:M624)+1,0)</f>
        <v>623</v>
      </c>
      <c r="S625" s="290" t="s">
        <v>2000</v>
      </c>
      <c r="T625" t="str">
        <f>IFERROR(VLOOKUP(ROWS($T$3:T625),$R$3:$S$718,2,0),"")</f>
        <v>Zprostř.velkoob.a velkoob.v zast.s potr.,nápoji,tabákem a tabák.výrobky</v>
      </c>
      <c r="U625">
        <f>IF(ISNUMBER(SEARCH('1Př1'!$A$33,N625)),MAX($M$2:M624)+1,0)</f>
        <v>623</v>
      </c>
      <c r="V625" s="290" t="s">
        <v>2000</v>
      </c>
      <c r="W625" t="str">
        <f>IFERROR(VLOOKUP(ROWS($W$3:W625),$U$3:$V$718,2,0),"")</f>
        <v>Zprostř.velkoob.a velkoob.v zast.s potr.,nápoji,tabákem a tabák.výrobky</v>
      </c>
      <c r="X625">
        <f>IF(ISNUMBER(SEARCH('1Př1'!$A$34,N625)),MAX($M$2:M624)+1,0)</f>
        <v>623</v>
      </c>
      <c r="Y625" s="290" t="s">
        <v>2000</v>
      </c>
      <c r="Z625" t="str">
        <f>IFERROR(VLOOKUP(ROWS($Z$3:Z625),$X$3:$Y$718,2,0),"")</f>
        <v>Zprostř.velkoob.a velkoob.v zast.s potr.,nápoji,tabákem a tabák.výrobky</v>
      </c>
    </row>
    <row r="626" spans="13:26" ht="12.75">
      <c r="M626" s="289">
        <f>IF(ISNUMBER(SEARCH(ZAKL_DATA!$B$29,N626)),MAX($M$2:M625)+1,0)</f>
        <v>624</v>
      </c>
      <c r="N626" s="482" t="s">
        <v>1854</v>
      </c>
      <c r="O626" s="482" t="s">
        <v>3489</v>
      </c>
      <c r="Q626" s="291" t="str">
        <f>IFERROR(VLOOKUP(ROWS($Q$3:Q626),$M$3:$N$718,2,0),"")</f>
        <v>Výroba skleněných vláken</v>
      </c>
      <c r="R626">
        <f>IF(ISNUMBER(SEARCH('1Př1'!$A$32,N626)),MAX($M$2:M625)+1,0)</f>
        <v>624</v>
      </c>
      <c r="S626" s="290" t="s">
        <v>2001</v>
      </c>
      <c r="T626" t="str">
        <f>IFERROR(VLOOKUP(ROWS($T$3:T626),$R$3:$S$718,2,0),"")</f>
        <v>Zprostř.specializ.velkoob.a specializ.velkoob.v zast.s ost.výrobky</v>
      </c>
      <c r="U626">
        <f>IF(ISNUMBER(SEARCH('1Př1'!$A$33,N626)),MAX($M$2:M625)+1,0)</f>
        <v>624</v>
      </c>
      <c r="V626" s="290" t="s">
        <v>2001</v>
      </c>
      <c r="W626" t="str">
        <f>IFERROR(VLOOKUP(ROWS($W$3:W626),$U$3:$V$718,2,0),"")</f>
        <v>Zprostř.specializ.velkoob.a specializ.velkoob.v zast.s ost.výrobky</v>
      </c>
      <c r="X626">
        <f>IF(ISNUMBER(SEARCH('1Př1'!$A$34,N626)),MAX($M$2:M625)+1,0)</f>
        <v>624</v>
      </c>
      <c r="Y626" s="290" t="s">
        <v>2001</v>
      </c>
      <c r="Z626" t="str">
        <f>IFERROR(VLOOKUP(ROWS($Z$3:Z626),$X$3:$Y$718,2,0),"")</f>
        <v>Zprostř.specializ.velkoob.a specializ.velkoob.v zast.s ost.výrobky</v>
      </c>
    </row>
    <row r="627" spans="13:26" ht="12.75">
      <c r="M627" s="289">
        <f>IF(ISNUMBER(SEARCH(ZAKL_DATA!$B$29,N627)),MAX($M$2:M626)+1,0)</f>
        <v>625</v>
      </c>
      <c r="N627" s="482" t="s">
        <v>1794</v>
      </c>
      <c r="O627" s="482" t="s">
        <v>3490</v>
      </c>
      <c r="Q627" s="291" t="str">
        <f>IFERROR(VLOOKUP(ROWS($Q$3:Q627),$M$3:$N$718,2,0),"")</f>
        <v>Výroba sladu</v>
      </c>
      <c r="R627">
        <f>IF(ISNUMBER(SEARCH('1Př1'!$A$32,N627)),MAX($M$2:M626)+1,0)</f>
        <v>625</v>
      </c>
      <c r="S627" s="290" t="s">
        <v>2002</v>
      </c>
      <c r="T627" t="str">
        <f>IFERROR(VLOOKUP(ROWS($T$3:T627),$R$3:$S$718,2,0),"")</f>
        <v>Zprostř.nespecializ.velkoobchodu a nespecializ.velkoobchod v zast.</v>
      </c>
      <c r="U627">
        <f>IF(ISNUMBER(SEARCH('1Př1'!$A$33,N627)),MAX($M$2:M626)+1,0)</f>
        <v>625</v>
      </c>
      <c r="V627" s="290" t="s">
        <v>2002</v>
      </c>
      <c r="W627" t="str">
        <f>IFERROR(VLOOKUP(ROWS($W$3:W627),$U$3:$V$718,2,0),"")</f>
        <v>Zprostř.nespecializ.velkoobchodu a nespecializ.velkoobchod v zast.</v>
      </c>
      <c r="X627">
        <f>IF(ISNUMBER(SEARCH('1Př1'!$A$34,N627)),MAX($M$2:M626)+1,0)</f>
        <v>625</v>
      </c>
      <c r="Y627" s="290" t="s">
        <v>2002</v>
      </c>
      <c r="Z627" t="str">
        <f>IFERROR(VLOOKUP(ROWS($Z$3:Z627),$X$3:$Y$718,2,0),"")</f>
        <v>Zprostř.nespecializ.velkoobchodu a nespecializ.velkoobchod v zast.</v>
      </c>
    </row>
    <row r="628" spans="13:26" ht="12.75">
      <c r="M628" s="289">
        <f>IF(ISNUMBER(SEARCH(ZAKL_DATA!$B$29,N628)),MAX($M$2:M627)+1,0)</f>
        <v>626</v>
      </c>
      <c r="N628" s="482" t="s">
        <v>3491</v>
      </c>
      <c r="O628" s="482" t="s">
        <v>3492</v>
      </c>
      <c r="Q628" s="291" t="str">
        <f>IFERROR(VLOOKUP(ROWS($Q$3:Q628),$M$3:$N$718,2,0),"")</f>
        <v>Výroba spojovacích materiálů a výrobků se závity</v>
      </c>
      <c r="R628">
        <f>IF(ISNUMBER(SEARCH('1Př1'!$A$32,N628)),MAX($M$2:M627)+1,0)</f>
        <v>626</v>
      </c>
      <c r="S628" s="290" t="s">
        <v>2003</v>
      </c>
      <c r="T628" t="str">
        <f>IFERROR(VLOOKUP(ROWS($T$3:T628),$R$3:$S$718,2,0),"")</f>
        <v>Velkoobchod s obilím, surovým tabákem, osivy a krmivy</v>
      </c>
      <c r="U628">
        <f>IF(ISNUMBER(SEARCH('1Př1'!$A$33,N628)),MAX($M$2:M627)+1,0)</f>
        <v>626</v>
      </c>
      <c r="V628" s="290" t="s">
        <v>2003</v>
      </c>
      <c r="W628" t="str">
        <f>IFERROR(VLOOKUP(ROWS($W$3:W628),$U$3:$V$718,2,0),"")</f>
        <v>Velkoobchod s obilím, surovým tabákem, osivy a krmivy</v>
      </c>
      <c r="X628">
        <f>IF(ISNUMBER(SEARCH('1Př1'!$A$34,N628)),MAX($M$2:M627)+1,0)</f>
        <v>626</v>
      </c>
      <c r="Y628" s="290" t="s">
        <v>2003</v>
      </c>
      <c r="Z628" t="str">
        <f>IFERROR(VLOOKUP(ROWS($Z$3:Z628),$X$3:$Y$718,2,0),"")</f>
        <v>Velkoobchod s obilím, surovým tabákem, osivy a krmivy</v>
      </c>
    </row>
    <row r="629" spans="13:26" ht="12.75">
      <c r="M629" s="289">
        <f>IF(ISNUMBER(SEARCH(ZAKL_DATA!$B$29,N629)),MAX($M$2:M628)+1,0)</f>
        <v>627</v>
      </c>
      <c r="N629" s="482" t="s">
        <v>1566</v>
      </c>
      <c r="O629" s="482" t="s">
        <v>3493</v>
      </c>
      <c r="Q629" s="291" t="str">
        <f>IFERROR(VLOOKUP(ROWS($Q$3:Q629),$M$3:$N$718,2,0),"")</f>
        <v>Výroba sportovních potřeb</v>
      </c>
      <c r="R629">
        <f>IF(ISNUMBER(SEARCH('1Př1'!$A$32,N629)),MAX($M$2:M628)+1,0)</f>
        <v>627</v>
      </c>
      <c r="S629" s="290" t="s">
        <v>2004</v>
      </c>
      <c r="T629" t="str">
        <f>IFERROR(VLOOKUP(ROWS($T$3:T629),$R$3:$S$718,2,0),"")</f>
        <v>Velkoobchod s květinami a jinými rostlinami</v>
      </c>
      <c r="U629">
        <f>IF(ISNUMBER(SEARCH('1Př1'!$A$33,N629)),MAX($M$2:M628)+1,0)</f>
        <v>627</v>
      </c>
      <c r="V629" s="290" t="s">
        <v>2004</v>
      </c>
      <c r="W629" t="str">
        <f>IFERROR(VLOOKUP(ROWS($W$3:W629),$U$3:$V$718,2,0),"")</f>
        <v>Velkoobchod s květinami a jinými rostlinami</v>
      </c>
      <c r="X629">
        <f>IF(ISNUMBER(SEARCH('1Př1'!$A$34,N629)),MAX($M$2:M628)+1,0)</f>
        <v>627</v>
      </c>
      <c r="Y629" s="290" t="s">
        <v>2004</v>
      </c>
      <c r="Z629" t="str">
        <f>IFERROR(VLOOKUP(ROWS($Z$3:Z629),$X$3:$Y$718,2,0),"")</f>
        <v>Velkoobchod s květinami a jinými rostlinami</v>
      </c>
    </row>
    <row r="630" spans="13:26" ht="12.75">
      <c r="M630" s="289">
        <f>IF(ISNUMBER(SEARCH(ZAKL_DATA!$B$29,N630)),MAX($M$2:M629)+1,0)</f>
        <v>628</v>
      </c>
      <c r="N630" s="482" t="s">
        <v>1475</v>
      </c>
      <c r="O630" s="482" t="s">
        <v>3494</v>
      </c>
      <c r="Q630" s="291" t="str">
        <f>IFERROR(VLOOKUP(ROWS($Q$3:Q630),$M$3:$N$718,2,0),"")</f>
        <v>Výroba spotřební elektroniky</v>
      </c>
      <c r="R630">
        <f>IF(ISNUMBER(SEARCH('1Př1'!$A$32,N630)),MAX($M$2:M629)+1,0)</f>
        <v>628</v>
      </c>
      <c r="S630" s="290" t="s">
        <v>2005</v>
      </c>
      <c r="T630" t="str">
        <f>IFERROR(VLOOKUP(ROWS($T$3:T630),$R$3:$S$718,2,0),"")</f>
        <v>Velkoobchod s živými zvířaty</v>
      </c>
      <c r="U630">
        <f>IF(ISNUMBER(SEARCH('1Př1'!$A$33,N630)),MAX($M$2:M629)+1,0)</f>
        <v>628</v>
      </c>
      <c r="V630" s="290" t="s">
        <v>2005</v>
      </c>
      <c r="W630" t="str">
        <f>IFERROR(VLOOKUP(ROWS($W$3:W630),$U$3:$V$718,2,0),"")</f>
        <v>Velkoobchod s živými zvířaty</v>
      </c>
      <c r="X630">
        <f>IF(ISNUMBER(SEARCH('1Př1'!$A$34,N630)),MAX($M$2:M629)+1,0)</f>
        <v>628</v>
      </c>
      <c r="Y630" s="290" t="s">
        <v>2005</v>
      </c>
      <c r="Z630" t="str">
        <f>IFERROR(VLOOKUP(ROWS($Z$3:Z630),$X$3:$Y$718,2,0),"")</f>
        <v>Velkoobchod s živými zvířaty</v>
      </c>
    </row>
    <row r="631" spans="13:26" ht="12.75">
      <c r="M631" s="289">
        <f>IF(ISNUMBER(SEARCH(ZAKL_DATA!$B$29,N631)),MAX($M$2:M630)+1,0)</f>
        <v>629</v>
      </c>
      <c r="N631" s="482" t="s">
        <v>1929</v>
      </c>
      <c r="O631" s="482" t="s">
        <v>3495</v>
      </c>
      <c r="Q631" s="291" t="str">
        <f>IFERROR(VLOOKUP(ROWS($Q$3:Q631),$M$3:$N$718,2,0),"")</f>
        <v>Výroba strojů a přístrojů na výrobu papíru a lepenky</v>
      </c>
      <c r="R631">
        <f>IF(ISNUMBER(SEARCH('1Př1'!$A$32,N631)),MAX($M$2:M630)+1,0)</f>
        <v>629</v>
      </c>
      <c r="S631" s="290" t="s">
        <v>2006</v>
      </c>
      <c r="T631" t="str">
        <f>IFERROR(VLOOKUP(ROWS($T$3:T631),$R$3:$S$718,2,0),"")</f>
        <v>Velkoobchod se surovými kůžemi, kožešinami a usněmi</v>
      </c>
      <c r="U631">
        <f>IF(ISNUMBER(SEARCH('1Př1'!$A$33,N631)),MAX($M$2:M630)+1,0)</f>
        <v>629</v>
      </c>
      <c r="V631" s="290" t="s">
        <v>2006</v>
      </c>
      <c r="W631" t="str">
        <f>IFERROR(VLOOKUP(ROWS($W$3:W631),$U$3:$V$718,2,0),"")</f>
        <v>Velkoobchod se surovými kůžemi, kožešinami a usněmi</v>
      </c>
      <c r="X631">
        <f>IF(ISNUMBER(SEARCH('1Př1'!$A$34,N631)),MAX($M$2:M630)+1,0)</f>
        <v>629</v>
      </c>
      <c r="Y631" s="290" t="s">
        <v>2006</v>
      </c>
      <c r="Z631" t="str">
        <f>IFERROR(VLOOKUP(ROWS($Z$3:Z631),$X$3:$Y$718,2,0),"")</f>
        <v>Velkoobchod se surovými kůžemi, kožešinami a usněmi</v>
      </c>
    </row>
    <row r="632" spans="13:26" ht="12.75">
      <c r="M632" s="289">
        <f>IF(ISNUMBER(SEARCH(ZAKL_DATA!$B$29,N632)),MAX($M$2:M631)+1,0)</f>
        <v>630</v>
      </c>
      <c r="N632" s="482" t="s">
        <v>1930</v>
      </c>
      <c r="O632" s="482" t="s">
        <v>3496</v>
      </c>
      <c r="Q632" s="291" t="str">
        <f>IFERROR(VLOOKUP(ROWS($Q$3:Q632),$M$3:$N$718,2,0),"")</f>
        <v>Výroba strojů na výrobu plastů a pryže</v>
      </c>
      <c r="R632">
        <f>IF(ISNUMBER(SEARCH('1Př1'!$A$32,N632)),MAX($M$2:M631)+1,0)</f>
        <v>630</v>
      </c>
      <c r="S632" s="290" t="s">
        <v>2007</v>
      </c>
      <c r="T632" t="str">
        <f>IFERROR(VLOOKUP(ROWS($T$3:T632),$R$3:$S$718,2,0),"")</f>
        <v>Velkoobchod s ovocem a zeleninou</v>
      </c>
      <c r="U632">
        <f>IF(ISNUMBER(SEARCH('1Př1'!$A$33,N632)),MAX($M$2:M631)+1,0)</f>
        <v>630</v>
      </c>
      <c r="V632" s="290" t="s">
        <v>2007</v>
      </c>
      <c r="W632" t="str">
        <f>IFERROR(VLOOKUP(ROWS($W$3:W632),$U$3:$V$718,2,0),"")</f>
        <v>Velkoobchod s ovocem a zeleninou</v>
      </c>
      <c r="X632">
        <f>IF(ISNUMBER(SEARCH('1Př1'!$A$34,N632)),MAX($M$2:M631)+1,0)</f>
        <v>630</v>
      </c>
      <c r="Y632" s="290" t="s">
        <v>2007</v>
      </c>
      <c r="Z632" t="str">
        <f>IFERROR(VLOOKUP(ROWS($Z$3:Z632),$X$3:$Y$718,2,0),"")</f>
        <v>Velkoobchod s ovocem a zeleninou</v>
      </c>
    </row>
    <row r="633" spans="13:26" ht="25.5">
      <c r="M633" s="289">
        <f>IF(ISNUMBER(SEARCH(ZAKL_DATA!$B$29,N633)),MAX($M$2:M632)+1,0)</f>
        <v>631</v>
      </c>
      <c r="N633" s="482" t="s">
        <v>1927</v>
      </c>
      <c r="O633" s="482" t="s">
        <v>3497</v>
      </c>
      <c r="Q633" s="291" t="str">
        <f>IFERROR(VLOOKUP(ROWS($Q$3:Q633),$M$3:$N$718,2,0),"")</f>
        <v>Výroba strojů na výrobu potravin, nápojů a zpracování tabáku</v>
      </c>
      <c r="R633">
        <f>IF(ISNUMBER(SEARCH('1Př1'!$A$32,N633)),MAX($M$2:M632)+1,0)</f>
        <v>631</v>
      </c>
      <c r="S633" s="290" t="s">
        <v>2008</v>
      </c>
      <c r="T633" t="str">
        <f>IFERROR(VLOOKUP(ROWS($T$3:T633),$R$3:$S$718,2,0),"")</f>
        <v>Velkoobchod s masem a masnými výrobky</v>
      </c>
      <c r="U633">
        <f>IF(ISNUMBER(SEARCH('1Př1'!$A$33,N633)),MAX($M$2:M632)+1,0)</f>
        <v>631</v>
      </c>
      <c r="V633" s="290" t="s">
        <v>2008</v>
      </c>
      <c r="W633" t="str">
        <f>IFERROR(VLOOKUP(ROWS($W$3:W633),$U$3:$V$718,2,0),"")</f>
        <v>Velkoobchod s masem a masnými výrobky</v>
      </c>
      <c r="X633">
        <f>IF(ISNUMBER(SEARCH('1Př1'!$A$34,N633)),MAX($M$2:M632)+1,0)</f>
        <v>631</v>
      </c>
      <c r="Y633" s="290" t="s">
        <v>2008</v>
      </c>
      <c r="Z633" t="str">
        <f>IFERROR(VLOOKUP(ROWS($Z$3:Z633),$X$3:$Y$718,2,0),"")</f>
        <v>Velkoobchod s masem a masnými výrobky</v>
      </c>
    </row>
    <row r="634" spans="13:26" ht="25.5">
      <c r="M634" s="289">
        <f>IF(ISNUMBER(SEARCH(ZAKL_DATA!$B$29,N634)),MAX($M$2:M633)+1,0)</f>
        <v>632</v>
      </c>
      <c r="N634" s="482" t="s">
        <v>1928</v>
      </c>
      <c r="O634" s="482" t="s">
        <v>3498</v>
      </c>
      <c r="Q634" s="291" t="str">
        <f>IFERROR(VLOOKUP(ROWS($Q$3:Q634),$M$3:$N$718,2,0),"")</f>
        <v>Výroba strojů na výrobu textilu, oděvních výrobků a výrobků z usní</v>
      </c>
      <c r="R634">
        <f>IF(ISNUMBER(SEARCH('1Př1'!$A$32,N634)),MAX($M$2:M633)+1,0)</f>
        <v>632</v>
      </c>
      <c r="S634" s="290" t="s">
        <v>2009</v>
      </c>
      <c r="T634" t="str">
        <f>IFERROR(VLOOKUP(ROWS($T$3:T634),$R$3:$S$718,2,0),"")</f>
        <v>Velkoobchod s mléčnými výrobky, vejci, jedlými oleji a tuky</v>
      </c>
      <c r="U634">
        <f>IF(ISNUMBER(SEARCH('1Př1'!$A$33,N634)),MAX($M$2:M633)+1,0)</f>
        <v>632</v>
      </c>
      <c r="V634" s="290" t="s">
        <v>2009</v>
      </c>
      <c r="W634" t="str">
        <f>IFERROR(VLOOKUP(ROWS($W$3:W634),$U$3:$V$718,2,0),"")</f>
        <v>Velkoobchod s mléčnými výrobky, vejci, jedlými oleji a tuky</v>
      </c>
      <c r="X634">
        <f>IF(ISNUMBER(SEARCH('1Př1'!$A$34,N634)),MAX($M$2:M633)+1,0)</f>
        <v>632</v>
      </c>
      <c r="Y634" s="290" t="s">
        <v>2009</v>
      </c>
      <c r="Z634" t="str">
        <f>IFERROR(VLOOKUP(ROWS($Z$3:Z634),$X$3:$Y$718,2,0),"")</f>
        <v>Velkoobchod s mléčnými výrobky, vejci, jedlými oleji a tuky</v>
      </c>
    </row>
    <row r="635" spans="13:26" ht="12.75">
      <c r="M635" s="289">
        <f>IF(ISNUMBER(SEARCH(ZAKL_DATA!$B$29,N635)),MAX($M$2:M634)+1,0)</f>
        <v>633</v>
      </c>
      <c r="N635" s="482" t="s">
        <v>3499</v>
      </c>
      <c r="O635" s="482" t="s">
        <v>3500</v>
      </c>
      <c r="Q635" s="291" t="str">
        <f>IFERROR(VLOOKUP(ROWS($Q$3:Q635),$M$3:$N$718,2,0),"")</f>
        <v>Výroba strojů pro aditivní výrobu</v>
      </c>
      <c r="R635">
        <f>IF(ISNUMBER(SEARCH('1Př1'!$A$32,N635)),MAX($M$2:M634)+1,0)</f>
        <v>633</v>
      </c>
      <c r="S635" s="290" t="s">
        <v>2010</v>
      </c>
      <c r="T635" t="str">
        <f>IFERROR(VLOOKUP(ROWS($T$3:T635),$R$3:$S$718,2,0),"")</f>
        <v>Velkoobchod s nápoji</v>
      </c>
      <c r="U635">
        <f>IF(ISNUMBER(SEARCH('1Př1'!$A$33,N635)),MAX($M$2:M634)+1,0)</f>
        <v>633</v>
      </c>
      <c r="V635" s="290" t="s">
        <v>2010</v>
      </c>
      <c r="W635" t="str">
        <f>IFERROR(VLOOKUP(ROWS($W$3:W635),$U$3:$V$718,2,0),"")</f>
        <v>Velkoobchod s nápoji</v>
      </c>
      <c r="X635">
        <f>IF(ISNUMBER(SEARCH('1Př1'!$A$34,N635)),MAX($M$2:M634)+1,0)</f>
        <v>633</v>
      </c>
      <c r="Y635" s="290" t="s">
        <v>2010</v>
      </c>
      <c r="Z635" t="str">
        <f>IFERROR(VLOOKUP(ROWS($Z$3:Z635),$X$3:$Y$718,2,0),"")</f>
        <v>Velkoobchod s nápoji</v>
      </c>
    </row>
    <row r="636" spans="13:26" ht="12.75">
      <c r="M636" s="289">
        <f>IF(ISNUMBER(SEARCH(ZAKL_DATA!$B$29,N636)),MAX($M$2:M635)+1,0)</f>
        <v>634</v>
      </c>
      <c r="N636" s="482" t="s">
        <v>1925</v>
      </c>
      <c r="O636" s="482" t="s">
        <v>3501</v>
      </c>
      <c r="Q636" s="291" t="str">
        <f>IFERROR(VLOOKUP(ROWS($Q$3:Q636),$M$3:$N$718,2,0),"")</f>
        <v>Výroba strojů pro metalurgii</v>
      </c>
      <c r="R636">
        <f>IF(ISNUMBER(SEARCH('1Př1'!$A$32,N636)),MAX($M$2:M635)+1,0)</f>
        <v>634</v>
      </c>
      <c r="S636" s="290" t="s">
        <v>2011</v>
      </c>
      <c r="T636" t="str">
        <f>IFERROR(VLOOKUP(ROWS($T$3:T636),$R$3:$S$718,2,0),"")</f>
        <v>Velkoobchod s tabákovými výrobky</v>
      </c>
      <c r="U636">
        <f>IF(ISNUMBER(SEARCH('1Př1'!$A$33,N636)),MAX($M$2:M635)+1,0)</f>
        <v>634</v>
      </c>
      <c r="V636" s="290" t="s">
        <v>2011</v>
      </c>
      <c r="W636" t="str">
        <f>IFERROR(VLOOKUP(ROWS($W$3:W636),$U$3:$V$718,2,0),"")</f>
        <v>Velkoobchod s tabákovými výrobky</v>
      </c>
      <c r="X636">
        <f>IF(ISNUMBER(SEARCH('1Př1'!$A$34,N636)),MAX($M$2:M635)+1,0)</f>
        <v>634</v>
      </c>
      <c r="Y636" s="290" t="s">
        <v>2011</v>
      </c>
      <c r="Z636" t="str">
        <f>IFERROR(VLOOKUP(ROWS($Z$3:Z636),$X$3:$Y$718,2,0),"")</f>
        <v>Velkoobchod s tabákovými výrobky</v>
      </c>
    </row>
    <row r="637" spans="13:26" ht="12.75">
      <c r="M637" s="289">
        <f>IF(ISNUMBER(SEARCH(ZAKL_DATA!$B$29,N637)),MAX($M$2:M636)+1,0)</f>
        <v>635</v>
      </c>
      <c r="N637" s="482" t="s">
        <v>1926</v>
      </c>
      <c r="O637" s="482" t="s">
        <v>3502</v>
      </c>
      <c r="Q637" s="291" t="str">
        <f>IFERROR(VLOOKUP(ROWS($Q$3:Q637),$M$3:$N$718,2,0),"")</f>
        <v>Výroba strojů pro těžbu, dobývání a stavebnictví</v>
      </c>
      <c r="R637">
        <f>IF(ISNUMBER(SEARCH('1Př1'!$A$32,N637)),MAX($M$2:M636)+1,0)</f>
        <v>635</v>
      </c>
      <c r="S637" s="290" t="s">
        <v>2012</v>
      </c>
      <c r="T637" t="str">
        <f>IFERROR(VLOOKUP(ROWS($T$3:T637),$R$3:$S$718,2,0),"")</f>
        <v>Velkoobchod s cukrem, čokoládou a cukrovinkami</v>
      </c>
      <c r="U637">
        <f>IF(ISNUMBER(SEARCH('1Př1'!$A$33,N637)),MAX($M$2:M636)+1,0)</f>
        <v>635</v>
      </c>
      <c r="V637" s="290" t="s">
        <v>2012</v>
      </c>
      <c r="W637" t="str">
        <f>IFERROR(VLOOKUP(ROWS($W$3:W637),$U$3:$V$718,2,0),"")</f>
        <v>Velkoobchod s cukrem, čokoládou a cukrovinkami</v>
      </c>
      <c r="X637">
        <f>IF(ISNUMBER(SEARCH('1Př1'!$A$34,N637)),MAX($M$2:M636)+1,0)</f>
        <v>635</v>
      </c>
      <c r="Y637" s="290" t="s">
        <v>2012</v>
      </c>
      <c r="Z637" t="str">
        <f>IFERROR(VLOOKUP(ROWS($Z$3:Z637),$X$3:$Y$718,2,0),"")</f>
        <v>Velkoobchod s cukrem, čokoládou a cukrovinkami</v>
      </c>
    </row>
    <row r="638" spans="13:26" ht="25.5">
      <c r="M638" s="289">
        <f>IF(ISNUMBER(SEARCH(ZAKL_DATA!$B$29,N638)),MAX($M$2:M637)+1,0)</f>
        <v>636</v>
      </c>
      <c r="N638" s="482" t="s">
        <v>3503</v>
      </c>
      <c r="O638" s="482" t="s">
        <v>3504</v>
      </c>
      <c r="Q638" s="291" t="str">
        <f>IFERROR(VLOOKUP(ROWS($Q$3:Q638),$M$3:$N$718,2,0),"")</f>
        <v>Výroba sucharů, sušenek a trvanlivých pekařských a cukrářských výrobků</v>
      </c>
      <c r="R638">
        <f>IF(ISNUMBER(SEARCH('1Př1'!$A$32,N638)),MAX($M$2:M637)+1,0)</f>
        <v>636</v>
      </c>
      <c r="S638" s="290" t="s">
        <v>2013</v>
      </c>
      <c r="T638" t="str">
        <f>IFERROR(VLOOKUP(ROWS($T$3:T638),$R$3:$S$718,2,0),"")</f>
        <v>Velkoobchod s kávou, čajem, kakaem a kořením</v>
      </c>
      <c r="U638">
        <f>IF(ISNUMBER(SEARCH('1Př1'!$A$33,N638)),MAX($M$2:M637)+1,0)</f>
        <v>636</v>
      </c>
      <c r="V638" s="290" t="s">
        <v>2013</v>
      </c>
      <c r="W638" t="str">
        <f>IFERROR(VLOOKUP(ROWS($W$3:W638),$U$3:$V$718,2,0),"")</f>
        <v>Velkoobchod s kávou, čajem, kakaem a kořením</v>
      </c>
      <c r="X638">
        <f>IF(ISNUMBER(SEARCH('1Př1'!$A$34,N638)),MAX($M$2:M637)+1,0)</f>
        <v>636</v>
      </c>
      <c r="Y638" s="290" t="s">
        <v>2013</v>
      </c>
      <c r="Z638" t="str">
        <f>IFERROR(VLOOKUP(ROWS($Z$3:Z638),$X$3:$Y$718,2,0),"")</f>
        <v>Velkoobchod s kávou, čajem, kakaem a kořením</v>
      </c>
    </row>
    <row r="639" spans="13:26" ht="12.75">
      <c r="M639" s="289">
        <f>IF(ISNUMBER(SEARCH(ZAKL_DATA!$B$29,N639)),MAX($M$2:M638)+1,0)</f>
        <v>637</v>
      </c>
      <c r="N639" s="482" t="s">
        <v>3505</v>
      </c>
      <c r="O639" s="482" t="s">
        <v>3506</v>
      </c>
      <c r="Q639" s="291" t="str">
        <f>IFERROR(VLOOKUP(ROWS($Q$3:Q639),$M$3:$N$718,2,0),"")</f>
        <v>Výroba surového železa, oceli a feroslitin j. n.</v>
      </c>
      <c r="R639">
        <f>IF(ISNUMBER(SEARCH('1Př1'!$A$32,N639)),MAX($M$2:M638)+1,0)</f>
        <v>637</v>
      </c>
      <c r="S639" s="290" t="s">
        <v>2014</v>
      </c>
      <c r="T639" t="str">
        <f>IFERROR(VLOOKUP(ROWS($T$3:T639),$R$3:$S$718,2,0),"")</f>
        <v>Specializ.velkoobchod s jinými potravinami,včetně ryb,korýšů a měkkýšů</v>
      </c>
      <c r="U639">
        <f>IF(ISNUMBER(SEARCH('1Př1'!$A$33,N639)),MAX($M$2:M638)+1,0)</f>
        <v>637</v>
      </c>
      <c r="V639" s="290" t="s">
        <v>2014</v>
      </c>
      <c r="W639" t="str">
        <f>IFERROR(VLOOKUP(ROWS($W$3:W639),$U$3:$V$718,2,0),"")</f>
        <v>Specializ.velkoobchod s jinými potravinami,včetně ryb,korýšů a měkkýšů</v>
      </c>
      <c r="X639">
        <f>IF(ISNUMBER(SEARCH('1Př1'!$A$34,N639)),MAX($M$2:M638)+1,0)</f>
        <v>637</v>
      </c>
      <c r="Y639" s="290" t="s">
        <v>2014</v>
      </c>
      <c r="Z639" t="str">
        <f>IFERROR(VLOOKUP(ROWS($Z$3:Z639),$X$3:$Y$718,2,0),"")</f>
        <v>Specializ.velkoobchod s jinými potravinami,včetně ryb,korýšů a měkkýšů</v>
      </c>
    </row>
    <row r="640" spans="13:26" ht="12.75">
      <c r="M640" s="289">
        <f>IF(ISNUMBER(SEARCH(ZAKL_DATA!$B$29,N640)),MAX($M$2:M639)+1,0)</f>
        <v>638</v>
      </c>
      <c r="N640" s="482" t="s">
        <v>3507</v>
      </c>
      <c r="O640" s="482" t="s">
        <v>3508</v>
      </c>
      <c r="Q640" s="291" t="str">
        <f>IFERROR(VLOOKUP(ROWS($Q$3:Q640),$M$3:$N$718,2,0),"")</f>
        <v>Výroba svrchních oděvů</v>
      </c>
      <c r="R640">
        <f>IF(ISNUMBER(SEARCH('1Př1'!$A$32,N640)),MAX($M$2:M639)+1,0)</f>
        <v>638</v>
      </c>
      <c r="S640" s="290" t="s">
        <v>2015</v>
      </c>
      <c r="T640" t="str">
        <f>IFERROR(VLOOKUP(ROWS($T$3:T640),$R$3:$S$718,2,0),"")</f>
        <v>Nespecializovaný velkoobchod s potravinami,nápoji a tabákovými výroby</v>
      </c>
      <c r="U640">
        <f>IF(ISNUMBER(SEARCH('1Př1'!$A$33,N640)),MAX($M$2:M639)+1,0)</f>
        <v>638</v>
      </c>
      <c r="V640" s="290" t="s">
        <v>2015</v>
      </c>
      <c r="W640" t="str">
        <f>IFERROR(VLOOKUP(ROWS($W$3:W640),$U$3:$V$718,2,0),"")</f>
        <v>Nespecializovaný velkoobchod s potravinami,nápoji a tabákovými výroby</v>
      </c>
      <c r="X640">
        <f>IF(ISNUMBER(SEARCH('1Př1'!$A$34,N640)),MAX($M$2:M639)+1,0)</f>
        <v>638</v>
      </c>
      <c r="Y640" s="290" t="s">
        <v>2015</v>
      </c>
      <c r="Z640" t="str">
        <f>IFERROR(VLOOKUP(ROWS($Z$3:Z640),$X$3:$Y$718,2,0),"")</f>
        <v>Nespecializovaný velkoobchod s potravinami,nápoji a tabákovými výroby</v>
      </c>
    </row>
    <row r="641" spans="13:26" ht="12.75">
      <c r="M641" s="289">
        <f>IF(ISNUMBER(SEARCH(ZAKL_DATA!$B$29,N641)),MAX($M$2:M640)+1,0)</f>
        <v>639</v>
      </c>
      <c r="N641" s="482" t="s">
        <v>1838</v>
      </c>
      <c r="O641" s="482" t="s">
        <v>3509</v>
      </c>
      <c r="Q641" s="291" t="str">
        <f>IFERROR(VLOOKUP(ROWS($Q$3:Q641),$M$3:$N$718,2,0),"")</f>
        <v>Výroba syntetického kaučuku v primárních formách</v>
      </c>
      <c r="R641">
        <f>IF(ISNUMBER(SEARCH('1Př1'!$A$32,N641)),MAX($M$2:M640)+1,0)</f>
        <v>639</v>
      </c>
      <c r="S641" s="290" t="s">
        <v>2016</v>
      </c>
      <c r="T641" t="str">
        <f>IFERROR(VLOOKUP(ROWS($T$3:T641),$R$3:$S$718,2,0),"")</f>
        <v>Velkoobchod s textilem</v>
      </c>
      <c r="U641">
        <f>IF(ISNUMBER(SEARCH('1Př1'!$A$33,N641)),MAX($M$2:M640)+1,0)</f>
        <v>639</v>
      </c>
      <c r="V641" s="290" t="s">
        <v>2016</v>
      </c>
      <c r="W641" t="str">
        <f>IFERROR(VLOOKUP(ROWS($W$3:W641),$U$3:$V$718,2,0),"")</f>
        <v>Velkoobchod s textilem</v>
      </c>
      <c r="X641">
        <f>IF(ISNUMBER(SEARCH('1Př1'!$A$34,N641)),MAX($M$2:M640)+1,0)</f>
        <v>639</v>
      </c>
      <c r="Y641" s="290" t="s">
        <v>2016</v>
      </c>
      <c r="Z641" t="str">
        <f>IFERROR(VLOOKUP(ROWS($Z$3:Z641),$X$3:$Y$718,2,0),"")</f>
        <v>Velkoobchod s textilem</v>
      </c>
    </row>
    <row r="642" spans="13:26" ht="12.75">
      <c r="M642" s="289">
        <f>IF(ISNUMBER(SEARCH(ZAKL_DATA!$B$29,N642)),MAX($M$2:M641)+1,0)</f>
        <v>640</v>
      </c>
      <c r="N642" s="482" t="s">
        <v>1776</v>
      </c>
      <c r="O642" s="482" t="s">
        <v>3510</v>
      </c>
      <c r="Q642" s="291" t="str">
        <f>IFERROR(VLOOKUP(ROWS($Q$3:Q642),$M$3:$N$718,2,0),"")</f>
        <v>Výroba škrobárenských výrobků</v>
      </c>
      <c r="R642">
        <f>IF(ISNUMBER(SEARCH('1Př1'!$A$32,N642)),MAX($M$2:M641)+1,0)</f>
        <v>640</v>
      </c>
      <c r="S642" s="290" t="s">
        <v>2017</v>
      </c>
      <c r="T642" t="str">
        <f>IFERROR(VLOOKUP(ROWS($T$3:T642),$R$3:$S$718,2,0),"")</f>
        <v>Velkoobchod s oděvy a obuví</v>
      </c>
      <c r="U642">
        <f>IF(ISNUMBER(SEARCH('1Př1'!$A$33,N642)),MAX($M$2:M641)+1,0)</f>
        <v>640</v>
      </c>
      <c r="V642" s="290" t="s">
        <v>2017</v>
      </c>
      <c r="W642" t="str">
        <f>IFERROR(VLOOKUP(ROWS($W$3:W642),$U$3:$V$718,2,0),"")</f>
        <v>Velkoobchod s oděvy a obuví</v>
      </c>
      <c r="X642">
        <f>IF(ISNUMBER(SEARCH('1Př1'!$A$34,N642)),MAX($M$2:M641)+1,0)</f>
        <v>640</v>
      </c>
      <c r="Y642" s="290" t="s">
        <v>2017</v>
      </c>
      <c r="Z642" t="str">
        <f>IFERROR(VLOOKUP(ROWS($Z$3:Z642),$X$3:$Y$718,2,0),"")</f>
        <v>Velkoobchod s oděvy a obuví</v>
      </c>
    </row>
    <row r="643" spans="13:26" ht="12.75">
      <c r="M643" s="289">
        <f>IF(ISNUMBER(SEARCH(ZAKL_DATA!$B$29,N643)),MAX($M$2:M642)+1,0)</f>
        <v>641</v>
      </c>
      <c r="N643" s="482" t="s">
        <v>722</v>
      </c>
      <c r="O643" s="482" t="s">
        <v>3511</v>
      </c>
      <c r="Q643" s="291" t="str">
        <f>IFERROR(VLOOKUP(ROWS($Q$3:Q643),$M$3:$N$718,2,0),"")</f>
        <v>Výroba tabákových výrobků</v>
      </c>
      <c r="R643">
        <f>IF(ISNUMBER(SEARCH('1Př1'!$A$32,N643)),MAX($M$2:M642)+1,0)</f>
        <v>641</v>
      </c>
      <c r="S643" s="290" t="s">
        <v>2018</v>
      </c>
      <c r="T643" t="str">
        <f>IFERROR(VLOOKUP(ROWS($T$3:T643),$R$3:$S$718,2,0),"")</f>
        <v>Velkoobchod s elektrospotřebiči a elektronikou</v>
      </c>
      <c r="U643">
        <f>IF(ISNUMBER(SEARCH('1Př1'!$A$33,N643)),MAX($M$2:M642)+1,0)</f>
        <v>641</v>
      </c>
      <c r="V643" s="290" t="s">
        <v>2018</v>
      </c>
      <c r="W643" t="str">
        <f>IFERROR(VLOOKUP(ROWS($W$3:W643),$U$3:$V$718,2,0),"")</f>
        <v>Velkoobchod s elektrospotřebiči a elektronikou</v>
      </c>
      <c r="X643">
        <f>IF(ISNUMBER(SEARCH('1Př1'!$A$34,N643)),MAX($M$2:M642)+1,0)</f>
        <v>641</v>
      </c>
      <c r="Y643" s="290" t="s">
        <v>2018</v>
      </c>
      <c r="Z643" t="str">
        <f>IFERROR(VLOOKUP(ROWS($Z$3:Z643),$X$3:$Y$718,2,0),"")</f>
        <v>Velkoobchod s elektrospotřebiči a elektronikou</v>
      </c>
    </row>
    <row r="644" spans="13:26" ht="12.75">
      <c r="M644" s="289">
        <f>IF(ISNUMBER(SEARCH(ZAKL_DATA!$B$29,N644)),MAX($M$2:M643)+1,0)</f>
        <v>642</v>
      </c>
      <c r="N644" s="482" t="s">
        <v>1826</v>
      </c>
      <c r="O644" s="482" t="s">
        <v>3512</v>
      </c>
      <c r="Q644" s="291" t="str">
        <f>IFERROR(VLOOKUP(ROWS($Q$3:Q644),$M$3:$N$718,2,0),"")</f>
        <v>Výroba tapet</v>
      </c>
      <c r="R644">
        <f>IF(ISNUMBER(SEARCH('1Př1'!$A$32,N644)),MAX($M$2:M643)+1,0)</f>
        <v>642</v>
      </c>
      <c r="S644" s="290" t="s">
        <v>2019</v>
      </c>
      <c r="T644" t="str">
        <f>IFERROR(VLOOKUP(ROWS($T$3:T644),$R$3:$S$718,2,0),"")</f>
        <v>Velkoobchod s porcelán.,keram.a skleněnými výrobky a čisticími prostř.</v>
      </c>
      <c r="U644">
        <f>IF(ISNUMBER(SEARCH('1Př1'!$A$33,N644)),MAX($M$2:M643)+1,0)</f>
        <v>642</v>
      </c>
      <c r="V644" s="290" t="s">
        <v>2019</v>
      </c>
      <c r="W644" t="str">
        <f>IFERROR(VLOOKUP(ROWS($W$3:W644),$U$3:$V$718,2,0),"")</f>
        <v>Velkoobchod s porcelán.,keram.a skleněnými výrobky a čisticími prostř.</v>
      </c>
      <c r="X644">
        <f>IF(ISNUMBER(SEARCH('1Př1'!$A$34,N644)),MAX($M$2:M643)+1,0)</f>
        <v>642</v>
      </c>
      <c r="Y644" s="290" t="s">
        <v>2019</v>
      </c>
      <c r="Z644" t="str">
        <f>IFERROR(VLOOKUP(ROWS($Z$3:Z644),$X$3:$Y$718,2,0),"")</f>
        <v>Velkoobchod s porcelán.,keram.a skleněnými výrobky a čisticími prostř.</v>
      </c>
    </row>
    <row r="645" spans="13:26" ht="12.75">
      <c r="M645" s="289">
        <f>IF(ISNUMBER(SEARCH(ZAKL_DATA!$B$29,N645)),MAX($M$2:M644)+1,0)</f>
        <v>643</v>
      </c>
      <c r="N645" s="482" t="s">
        <v>1832</v>
      </c>
      <c r="O645" s="482" t="s">
        <v>3513</v>
      </c>
      <c r="Q645" s="291" t="str">
        <f>IFERROR(VLOOKUP(ROWS($Q$3:Q645),$M$3:$N$718,2,0),"")</f>
        <v>Výroba technických plynů</v>
      </c>
      <c r="R645">
        <f>IF(ISNUMBER(SEARCH('1Př1'!$A$32,N645)),MAX($M$2:M644)+1,0)</f>
        <v>643</v>
      </c>
      <c r="S645" s="290" t="s">
        <v>2020</v>
      </c>
      <c r="T645" t="str">
        <f>IFERROR(VLOOKUP(ROWS($T$3:T645),$R$3:$S$718,2,0),"")</f>
        <v>Velkoobchod s kosmetickými výrobky</v>
      </c>
      <c r="U645">
        <f>IF(ISNUMBER(SEARCH('1Př1'!$A$33,N645)),MAX($M$2:M644)+1,0)</f>
        <v>643</v>
      </c>
      <c r="V645" s="290" t="s">
        <v>2020</v>
      </c>
      <c r="W645" t="str">
        <f>IFERROR(VLOOKUP(ROWS($W$3:W645),$U$3:$V$718,2,0),"")</f>
        <v>Velkoobchod s kosmetickými výrobky</v>
      </c>
      <c r="X645">
        <f>IF(ISNUMBER(SEARCH('1Př1'!$A$34,N645)),MAX($M$2:M644)+1,0)</f>
        <v>643</v>
      </c>
      <c r="Y645" s="290" t="s">
        <v>2020</v>
      </c>
      <c r="Z645" t="str">
        <f>IFERROR(VLOOKUP(ROWS($Z$3:Z645),$X$3:$Y$718,2,0),"")</f>
        <v>Velkoobchod s kosmetickými výrobky</v>
      </c>
    </row>
    <row r="646" spans="13:26" ht="25.5">
      <c r="M646" s="289">
        <f>IF(ISNUMBER(SEARCH(ZAKL_DATA!$B$29,N646)),MAX($M$2:M645)+1,0)</f>
        <v>644</v>
      </c>
      <c r="N646" s="482" t="s">
        <v>3514</v>
      </c>
      <c r="O646" s="482" t="s">
        <v>3515</v>
      </c>
      <c r="Q646" s="291" t="str">
        <f>IFERROR(VLOOKUP(ROWS($Q$3:Q646),$M$3:$N$718,2,0),"")</f>
        <v>Výroba tvářecích a obráběcích strojů na opracování kovů</v>
      </c>
      <c r="R646">
        <f>IF(ISNUMBER(SEARCH('1Př1'!$A$32,N646)),MAX($M$2:M645)+1,0)</f>
        <v>644</v>
      </c>
      <c r="S646" s="290" t="s">
        <v>2021</v>
      </c>
      <c r="T646" t="str">
        <f>IFERROR(VLOOKUP(ROWS($T$3:T646),$R$3:$S$718,2,0),"")</f>
        <v>Velkoobchod s farmaceutickými výrobky</v>
      </c>
      <c r="U646">
        <f>IF(ISNUMBER(SEARCH('1Př1'!$A$33,N646)),MAX($M$2:M645)+1,0)</f>
        <v>644</v>
      </c>
      <c r="V646" s="290" t="s">
        <v>2021</v>
      </c>
      <c r="W646" t="str">
        <f>IFERROR(VLOOKUP(ROWS($W$3:W646),$U$3:$V$718,2,0),"")</f>
        <v>Velkoobchod s farmaceutickými výrobky</v>
      </c>
      <c r="X646">
        <f>IF(ISNUMBER(SEARCH('1Př1'!$A$34,N646)),MAX($M$2:M645)+1,0)</f>
        <v>644</v>
      </c>
      <c r="Y646" s="290" t="s">
        <v>2021</v>
      </c>
      <c r="Z646" t="str">
        <f>IFERROR(VLOOKUP(ROWS($Z$3:Z646),$X$3:$Y$718,2,0),"")</f>
        <v>Velkoobchod s farmaceutickými výrobky</v>
      </c>
    </row>
    <row r="647" spans="13:26" ht="25.5">
      <c r="M647" s="289">
        <f>IF(ISNUMBER(SEARCH(ZAKL_DATA!$B$29,N647)),MAX($M$2:M646)+1,0)</f>
        <v>645</v>
      </c>
      <c r="N647" s="482" t="s">
        <v>3516</v>
      </c>
      <c r="O647" s="482" t="s">
        <v>3517</v>
      </c>
      <c r="Q647" s="291" t="str">
        <f>IFERROR(VLOOKUP(ROWS($Q$3:Q647),$M$3:$N$718,2,0),"")</f>
        <v>Výroba tyčí a prutů ze železa nebo oceli válcovaných za tepla</v>
      </c>
      <c r="R647">
        <f>IF(ISNUMBER(SEARCH('1Př1'!$A$32,N647)),MAX($M$2:M646)+1,0)</f>
        <v>645</v>
      </c>
      <c r="S647" s="290" t="s">
        <v>2022</v>
      </c>
      <c r="T647" t="str">
        <f>IFERROR(VLOOKUP(ROWS($T$3:T647),$R$3:$S$718,2,0),"")</f>
        <v>Velkoobchod s nábytkem, koberci a svítidly</v>
      </c>
      <c r="U647">
        <f>IF(ISNUMBER(SEARCH('1Př1'!$A$33,N647)),MAX($M$2:M646)+1,0)</f>
        <v>645</v>
      </c>
      <c r="V647" s="290" t="s">
        <v>2022</v>
      </c>
      <c r="W647" t="str">
        <f>IFERROR(VLOOKUP(ROWS($W$3:W647),$U$3:$V$718,2,0),"")</f>
        <v>Velkoobchod s nábytkem, koberci a svítidly</v>
      </c>
      <c r="X647">
        <f>IF(ISNUMBER(SEARCH('1Př1'!$A$34,N647)),MAX($M$2:M646)+1,0)</f>
        <v>645</v>
      </c>
      <c r="Y647" s="290" t="s">
        <v>2022</v>
      </c>
      <c r="Z647" t="str">
        <f>IFERROR(VLOOKUP(ROWS($Z$3:Z647),$X$3:$Y$718,2,0),"")</f>
        <v>Velkoobchod s nábytkem, koberci a svítidly</v>
      </c>
    </row>
    <row r="648" spans="13:26" ht="12.75">
      <c r="M648" s="289">
        <f>IF(ISNUMBER(SEARCH(ZAKL_DATA!$B$29,N648)),MAX($M$2:M647)+1,0)</f>
        <v>646</v>
      </c>
      <c r="N648" s="482" t="s">
        <v>1864</v>
      </c>
      <c r="O648" s="482" t="s">
        <v>3518</v>
      </c>
      <c r="Q648" s="291" t="str">
        <f>IFERROR(VLOOKUP(ROWS($Q$3:Q648),$M$3:$N$718,2,0),"")</f>
        <v>Výroba vápna a sádry</v>
      </c>
      <c r="R648">
        <f>IF(ISNUMBER(SEARCH('1Př1'!$A$32,N648)),MAX($M$2:M647)+1,0)</f>
        <v>646</v>
      </c>
      <c r="S648" s="290" t="s">
        <v>2023</v>
      </c>
      <c r="T648" t="str">
        <f>IFERROR(VLOOKUP(ROWS($T$3:T648),$R$3:$S$718,2,0),"")</f>
        <v>Velkoobchod s hodinami, hodinkami a klenoty</v>
      </c>
      <c r="U648">
        <f>IF(ISNUMBER(SEARCH('1Př1'!$A$33,N648)),MAX($M$2:M647)+1,0)</f>
        <v>646</v>
      </c>
      <c r="V648" s="290" t="s">
        <v>2023</v>
      </c>
      <c r="W648" t="str">
        <f>IFERROR(VLOOKUP(ROWS($W$3:W648),$U$3:$V$718,2,0),"")</f>
        <v>Velkoobchod s hodinami, hodinkami a klenoty</v>
      </c>
      <c r="X648">
        <f>IF(ISNUMBER(SEARCH('1Př1'!$A$34,N648)),MAX($M$2:M647)+1,0)</f>
        <v>646</v>
      </c>
      <c r="Y648" s="290" t="s">
        <v>2023</v>
      </c>
      <c r="Z648" t="str">
        <f>IFERROR(VLOOKUP(ROWS($Z$3:Z648),$X$3:$Y$718,2,0),"")</f>
        <v>Velkoobchod s hodinami, hodinkami a klenoty</v>
      </c>
    </row>
    <row r="649" spans="13:26" ht="12.75">
      <c r="M649" s="289">
        <f>IF(ISNUMBER(SEARCH(ZAKL_DATA!$B$29,N649)),MAX($M$2:M648)+1,0)</f>
        <v>647</v>
      </c>
      <c r="N649" s="482" t="s">
        <v>1790</v>
      </c>
      <c r="O649" s="482" t="s">
        <v>3519</v>
      </c>
      <c r="Q649" s="291" t="str">
        <f>IFERROR(VLOOKUP(ROWS($Q$3:Q649),$M$3:$N$718,2,0),"")</f>
        <v>Výroba vína z vinných hroznů</v>
      </c>
      <c r="R649">
        <f>IF(ISNUMBER(SEARCH('1Př1'!$A$32,N649)),MAX($M$2:M648)+1,0)</f>
        <v>647</v>
      </c>
      <c r="S649" s="290" t="s">
        <v>2024</v>
      </c>
      <c r="T649" t="str">
        <f>IFERROR(VLOOKUP(ROWS($T$3:T649),$R$3:$S$718,2,0),"")</f>
        <v>Velkoobchod s ostatními výrobky převážně pro domácnost</v>
      </c>
      <c r="U649">
        <f>IF(ISNUMBER(SEARCH('1Př1'!$A$33,N649)),MAX($M$2:M648)+1,0)</f>
        <v>647</v>
      </c>
      <c r="V649" s="290" t="s">
        <v>2024</v>
      </c>
      <c r="W649" t="str">
        <f>IFERROR(VLOOKUP(ROWS($W$3:W649),$U$3:$V$718,2,0),"")</f>
        <v>Velkoobchod s ostatními výrobky převážně pro domácnost</v>
      </c>
      <c r="X649">
        <f>IF(ISNUMBER(SEARCH('1Př1'!$A$34,N649)),MAX($M$2:M648)+1,0)</f>
        <v>647</v>
      </c>
      <c r="Y649" s="290" t="s">
        <v>2024</v>
      </c>
      <c r="Z649" t="str">
        <f>IFERROR(VLOOKUP(ROWS($Z$3:Z649),$X$3:$Y$718,2,0),"")</f>
        <v>Velkoobchod s ostatními výrobky převážně pro domácnost</v>
      </c>
    </row>
    <row r="650" spans="13:26" ht="12.75">
      <c r="M650" s="289">
        <f>IF(ISNUMBER(SEARCH(ZAKL_DATA!$B$29,N650)),MAX($M$2:M649)+1,0)</f>
        <v>648</v>
      </c>
      <c r="N650" s="482" t="s">
        <v>3520</v>
      </c>
      <c r="O650" s="482" t="s">
        <v>3521</v>
      </c>
      <c r="Q650" s="291" t="str">
        <f>IFERROR(VLOOKUP(ROWS($Q$3:Q650),$M$3:$N$718,2,0),"")</f>
        <v>Výroba vláknocementových výrobků</v>
      </c>
      <c r="R650">
        <f>IF(ISNUMBER(SEARCH('1Př1'!$A$32,N650)),MAX($M$2:M649)+1,0)</f>
        <v>648</v>
      </c>
      <c r="S650" s="290" t="s">
        <v>2025</v>
      </c>
      <c r="T650" t="str">
        <f>IFERROR(VLOOKUP(ROWS($T$3:T650),$R$3:$S$718,2,0),"")</f>
        <v>Velkoobchod s počítači, počítačovým periferním zařízením a softwarem</v>
      </c>
      <c r="U650">
        <f>IF(ISNUMBER(SEARCH('1Př1'!$A$33,N650)),MAX($M$2:M649)+1,0)</f>
        <v>648</v>
      </c>
      <c r="V650" s="290" t="s">
        <v>2025</v>
      </c>
      <c r="W650" t="str">
        <f>IFERROR(VLOOKUP(ROWS($W$3:W650),$U$3:$V$718,2,0),"")</f>
        <v>Velkoobchod s počítači, počítačovým periferním zařízením a softwarem</v>
      </c>
      <c r="X650">
        <f>IF(ISNUMBER(SEARCH('1Př1'!$A$34,N650)),MAX($M$2:M649)+1,0)</f>
        <v>648</v>
      </c>
      <c r="Y650" s="290" t="s">
        <v>2025</v>
      </c>
      <c r="Z650" t="str">
        <f>IFERROR(VLOOKUP(ROWS($Z$3:Z650),$X$3:$Y$718,2,0),"")</f>
        <v>Velkoobchod s počítači, počítačovým periferním zařízením a softwarem</v>
      </c>
    </row>
    <row r="651" spans="13:26" ht="25.5">
      <c r="M651" s="289">
        <f>IF(ISNUMBER(SEARCH(ZAKL_DATA!$B$29,N651)),MAX($M$2:M650)+1,0)</f>
        <v>649</v>
      </c>
      <c r="N651" s="482" t="s">
        <v>1823</v>
      </c>
      <c r="O651" s="482" t="s">
        <v>3522</v>
      </c>
      <c r="Q651" s="291" t="str">
        <f>IFERROR(VLOOKUP(ROWS($Q$3:Q651),$M$3:$N$718,2,0),"")</f>
        <v>Výroba vlnitého papíru a lepenky, papírových a lepenkových obalů</v>
      </c>
      <c r="R651">
        <f>IF(ISNUMBER(SEARCH('1Př1'!$A$32,N651)),MAX($M$2:M650)+1,0)</f>
        <v>649</v>
      </c>
      <c r="S651" s="290" t="s">
        <v>2026</v>
      </c>
      <c r="T651" t="str">
        <f>IFERROR(VLOOKUP(ROWS($T$3:T651),$R$3:$S$718,2,0),"")</f>
        <v>Velkoobchod s elektronickým a telekomunikačním zařízením a jeho díly</v>
      </c>
      <c r="U651">
        <f>IF(ISNUMBER(SEARCH('1Př1'!$A$33,N651)),MAX($M$2:M650)+1,0)</f>
        <v>649</v>
      </c>
      <c r="V651" s="290" t="s">
        <v>2026</v>
      </c>
      <c r="W651" t="str">
        <f>IFERROR(VLOOKUP(ROWS($W$3:W651),$U$3:$V$718,2,0),"")</f>
        <v>Velkoobchod s elektronickým a telekomunikačním zařízením a jeho díly</v>
      </c>
      <c r="X651">
        <f>IF(ISNUMBER(SEARCH('1Př1'!$A$34,N651)),MAX($M$2:M650)+1,0)</f>
        <v>649</v>
      </c>
      <c r="Y651" s="290" t="s">
        <v>2026</v>
      </c>
      <c r="Z651" t="str">
        <f>IFERROR(VLOOKUP(ROWS($Z$3:Z651),$X$3:$Y$718,2,0),"")</f>
        <v>Velkoobchod s elektronickým a telekomunikačním zařízením a jeho díly</v>
      </c>
    </row>
    <row r="652" spans="13:26" ht="12.75">
      <c r="M652" s="289">
        <f>IF(ISNUMBER(SEARCH(ZAKL_DATA!$B$29,N652)),MAX($M$2:M651)+1,0)</f>
        <v>650</v>
      </c>
      <c r="N652" s="482" t="s">
        <v>1542</v>
      </c>
      <c r="O652" s="482" t="s">
        <v>3523</v>
      </c>
      <c r="Q652" s="291" t="str">
        <f>IFERROR(VLOOKUP(ROWS($Q$3:Q652),$M$3:$N$718,2,0),"")</f>
        <v>Výroba vojenských bojových vozidel</v>
      </c>
      <c r="R652">
        <f>IF(ISNUMBER(SEARCH('1Př1'!$A$32,N652)),MAX($M$2:M651)+1,0)</f>
        <v>650</v>
      </c>
      <c r="S652" s="290" t="s">
        <v>2027</v>
      </c>
      <c r="T652" t="str">
        <f>IFERROR(VLOOKUP(ROWS($T$3:T652),$R$3:$S$718,2,0),"")</f>
        <v>Velkoobchod se zemědělskými stroji, strojním zařízením a příslušenstvím</v>
      </c>
      <c r="U652">
        <f>IF(ISNUMBER(SEARCH('1Př1'!$A$33,N652)),MAX($M$2:M651)+1,0)</f>
        <v>650</v>
      </c>
      <c r="V652" s="290" t="s">
        <v>2027</v>
      </c>
      <c r="W652" t="str">
        <f>IFERROR(VLOOKUP(ROWS($W$3:W652),$U$3:$V$718,2,0),"")</f>
        <v>Velkoobchod se zemědělskými stroji, strojním zařízením a příslušenstvím</v>
      </c>
      <c r="X652">
        <f>IF(ISNUMBER(SEARCH('1Př1'!$A$34,N652)),MAX($M$2:M651)+1,0)</f>
        <v>650</v>
      </c>
      <c r="Y652" s="290" t="s">
        <v>2027</v>
      </c>
      <c r="Z652" t="str">
        <f>IFERROR(VLOOKUP(ROWS($Z$3:Z652),$X$3:$Y$718,2,0),"")</f>
        <v>Velkoobchod se zemědělskými stroji, strojním zařízením a příslušenstvím</v>
      </c>
    </row>
    <row r="653" spans="13:26" ht="25.5">
      <c r="M653" s="289">
        <f>IF(ISNUMBER(SEARCH(ZAKL_DATA!$B$29,N653)),MAX($M$2:M652)+1,0)</f>
        <v>651</v>
      </c>
      <c r="N653" s="482" t="s">
        <v>3524</v>
      </c>
      <c r="O653" s="482" t="s">
        <v>3525</v>
      </c>
      <c r="Q653" s="291" t="str">
        <f>IFERROR(VLOOKUP(ROWS($Q$3:Q653),$M$3:$N$718,2,0),"")</f>
        <v>Výroba vojenských letadel, kosmických lodí a souvisejících zařízení</v>
      </c>
      <c r="R653">
        <f>IF(ISNUMBER(SEARCH('1Př1'!$A$32,N653)),MAX($M$2:M652)+1,0)</f>
        <v>651</v>
      </c>
      <c r="S653" s="290" t="s">
        <v>2028</v>
      </c>
      <c r="T653" t="str">
        <f>IFERROR(VLOOKUP(ROWS($T$3:T653),$R$3:$S$718,2,0),"")</f>
        <v>Velkoobchod s obráběcími stroji</v>
      </c>
      <c r="U653">
        <f>IF(ISNUMBER(SEARCH('1Př1'!$A$33,N653)),MAX($M$2:M652)+1,0)</f>
        <v>651</v>
      </c>
      <c r="V653" s="290" t="s">
        <v>2028</v>
      </c>
      <c r="W653" t="str">
        <f>IFERROR(VLOOKUP(ROWS($W$3:W653),$U$3:$V$718,2,0),"")</f>
        <v>Velkoobchod s obráběcími stroji</v>
      </c>
      <c r="X653">
        <f>IF(ISNUMBER(SEARCH('1Př1'!$A$34,N653)),MAX($M$2:M652)+1,0)</f>
        <v>651</v>
      </c>
      <c r="Y653" s="290" t="s">
        <v>2028</v>
      </c>
      <c r="Z653" t="str">
        <f>IFERROR(VLOOKUP(ROWS($Z$3:Z653),$X$3:$Y$718,2,0),"")</f>
        <v>Velkoobchod s obráběcími stroji</v>
      </c>
    </row>
    <row r="654" spans="13:26" ht="12.75">
      <c r="M654" s="289">
        <f>IF(ISNUMBER(SEARCH(ZAKL_DATA!$B$29,N654)),MAX($M$2:M653)+1,0)</f>
        <v>652</v>
      </c>
      <c r="N654" s="482" t="s">
        <v>1363</v>
      </c>
      <c r="O654" s="482" t="s">
        <v>3526</v>
      </c>
      <c r="Q654" s="291" t="str">
        <f>IFERROR(VLOOKUP(ROWS($Q$3:Q654),$M$3:$N$718,2,0),"")</f>
        <v>Výroba základních farmaceutických výrobků</v>
      </c>
      <c r="R654">
        <f>IF(ISNUMBER(SEARCH('1Př1'!$A$32,N654)),MAX($M$2:M653)+1,0)</f>
        <v>652</v>
      </c>
      <c r="S654" s="290" t="s">
        <v>2029</v>
      </c>
      <c r="T654" t="str">
        <f>IFERROR(VLOOKUP(ROWS($T$3:T654),$R$3:$S$718,2,0),"")</f>
        <v>Velkoobchod s těžebními a stavebními stroji a zařízením</v>
      </c>
      <c r="U654">
        <f>IF(ISNUMBER(SEARCH('1Př1'!$A$33,N654)),MAX($M$2:M653)+1,0)</f>
        <v>652</v>
      </c>
      <c r="V654" s="290" t="s">
        <v>2029</v>
      </c>
      <c r="W654" t="str">
        <f>IFERROR(VLOOKUP(ROWS($W$3:W654),$U$3:$V$718,2,0),"")</f>
        <v>Velkoobchod s těžebními a stavebními stroji a zařízením</v>
      </c>
      <c r="X654">
        <f>IF(ISNUMBER(SEARCH('1Př1'!$A$34,N654)),MAX($M$2:M653)+1,0)</f>
        <v>652</v>
      </c>
      <c r="Y654" s="290" t="s">
        <v>2029</v>
      </c>
      <c r="Z654" t="str">
        <f>IFERROR(VLOOKUP(ROWS($Z$3:Z654),$X$3:$Y$718,2,0),"")</f>
        <v>Velkoobchod s těžebními a stavebními stroji a zařízením</v>
      </c>
    </row>
    <row r="655" spans="13:26" ht="25.5">
      <c r="M655" s="289">
        <f>IF(ISNUMBER(SEARCH(ZAKL_DATA!$B$29,N655)),MAX($M$2:M654)+1,0)</f>
        <v>653</v>
      </c>
      <c r="N655" s="482" t="s">
        <v>3527</v>
      </c>
      <c r="O655" s="482" t="s">
        <v>3528</v>
      </c>
      <c r="Q655" s="291" t="str">
        <f>IFERROR(VLOOKUP(ROWS($Q$3:Q655),$M$3:$N$718,2,0),"")</f>
        <v>Výroba základních hutních výrobků ze železa a oceli, výroba surového železa a oceli</v>
      </c>
      <c r="R655">
        <f>IF(ISNUMBER(SEARCH('1Př1'!$A$32,N655)),MAX($M$2:M654)+1,0)</f>
        <v>653</v>
      </c>
      <c r="S655" s="290" t="s">
        <v>2030</v>
      </c>
      <c r="T655" t="str">
        <f>IFERROR(VLOOKUP(ROWS($T$3:T655),$R$3:$S$718,2,0),"")</f>
        <v>Velkoobchod se strojním zařízením pro text.průmysl,šicími a plet.stroji</v>
      </c>
      <c r="U655">
        <f>IF(ISNUMBER(SEARCH('1Př1'!$A$33,N655)),MAX($M$2:M654)+1,0)</f>
        <v>653</v>
      </c>
      <c r="V655" s="290" t="s">
        <v>2030</v>
      </c>
      <c r="W655" t="str">
        <f>IFERROR(VLOOKUP(ROWS($W$3:W655),$U$3:$V$718,2,0),"")</f>
        <v>Velkoobchod se strojním zařízením pro text.průmysl,šicími a plet.stroji</v>
      </c>
      <c r="X655">
        <f>IF(ISNUMBER(SEARCH('1Př1'!$A$34,N655)),MAX($M$2:M654)+1,0)</f>
        <v>653</v>
      </c>
      <c r="Y655" s="290" t="s">
        <v>2030</v>
      </c>
      <c r="Z655" t="str">
        <f>IFERROR(VLOOKUP(ROWS($Z$3:Z655),$X$3:$Y$718,2,0),"")</f>
        <v>Velkoobchod se strojním zařízením pro text.průmysl,šicími a plet.stroji</v>
      </c>
    </row>
    <row r="656" spans="13:26" ht="12.75">
      <c r="M656" s="289">
        <f>IF(ISNUMBER(SEARCH(ZAKL_DATA!$B$29,N656)),MAX($M$2:M655)+1,0)</f>
        <v>654</v>
      </c>
      <c r="N656" s="482" t="s">
        <v>1894</v>
      </c>
      <c r="O656" s="482" t="s">
        <v>3529</v>
      </c>
      <c r="Q656" s="291" t="str">
        <f>IFERROR(VLOOKUP(ROWS($Q$3:Q656),$M$3:$N$718,2,0),"")</f>
        <v>Výroba zámků a kování</v>
      </c>
      <c r="R656">
        <f>IF(ISNUMBER(SEARCH('1Př1'!$A$32,N656)),MAX($M$2:M655)+1,0)</f>
        <v>654</v>
      </c>
      <c r="S656" s="290" t="s">
        <v>2031</v>
      </c>
      <c r="T656" t="str">
        <f>IFERROR(VLOOKUP(ROWS($T$3:T656),$R$3:$S$718,2,0),"")</f>
        <v>Velkoobchod s kancelářským nábytkem</v>
      </c>
      <c r="U656">
        <f>IF(ISNUMBER(SEARCH('1Př1'!$A$33,N656)),MAX($M$2:M655)+1,0)</f>
        <v>654</v>
      </c>
      <c r="V656" s="290" t="s">
        <v>2031</v>
      </c>
      <c r="W656" t="str">
        <f>IFERROR(VLOOKUP(ROWS($W$3:W656),$U$3:$V$718,2,0),"")</f>
        <v>Velkoobchod s kancelářským nábytkem</v>
      </c>
      <c r="X656">
        <f>IF(ISNUMBER(SEARCH('1Př1'!$A$34,N656)),MAX($M$2:M655)+1,0)</f>
        <v>654</v>
      </c>
      <c r="Y656" s="290" t="s">
        <v>2031</v>
      </c>
      <c r="Z656" t="str">
        <f>IFERROR(VLOOKUP(ROWS($Z$3:Z656),$X$3:$Y$718,2,0),"")</f>
        <v>Velkoobchod s kancelářským nábytkem</v>
      </c>
    </row>
    <row r="657" spans="13:26" ht="25.5">
      <c r="M657" s="289">
        <f>IF(ISNUMBER(SEARCH(ZAKL_DATA!$B$29,N657)),MAX($M$2:M656)+1,0)</f>
        <v>655</v>
      </c>
      <c r="N657" s="482" t="s">
        <v>3530</v>
      </c>
      <c r="O657" s="482" t="s">
        <v>3531</v>
      </c>
      <c r="Q657" s="291" t="str">
        <f>IFERROR(VLOOKUP(ROWS($Q$3:Q657),$M$3:$N$718,2,0),"")</f>
        <v>Výroba zavazadel, kabelek, sedlářských a řemenářských výrobků z jakýchkoli materiálů</v>
      </c>
      <c r="R657">
        <f>IF(ISNUMBER(SEARCH('1Př1'!$A$32,N657)),MAX($M$2:M656)+1,0)</f>
        <v>655</v>
      </c>
      <c r="S657" s="290" t="s">
        <v>2032</v>
      </c>
      <c r="T657" t="str">
        <f>IFERROR(VLOOKUP(ROWS($T$3:T657),$R$3:$S$718,2,0),"")</f>
        <v>Velkoobchod s ostatními kancelářskými stroji a zařízením</v>
      </c>
      <c r="U657">
        <f>IF(ISNUMBER(SEARCH('1Př1'!$A$33,N657)),MAX($M$2:M656)+1,0)</f>
        <v>655</v>
      </c>
      <c r="V657" s="290" t="s">
        <v>2032</v>
      </c>
      <c r="W657" t="str">
        <f>IFERROR(VLOOKUP(ROWS($W$3:W657),$U$3:$V$718,2,0),"")</f>
        <v>Velkoobchod s ostatními kancelářskými stroji a zařízením</v>
      </c>
      <c r="X657">
        <f>IF(ISNUMBER(SEARCH('1Př1'!$A$34,N657)),MAX($M$2:M656)+1,0)</f>
        <v>655</v>
      </c>
      <c r="Y657" s="290" t="s">
        <v>2032</v>
      </c>
      <c r="Z657" t="str">
        <f>IFERROR(VLOOKUP(ROWS($Z$3:Z657),$X$3:$Y$718,2,0),"")</f>
        <v>Velkoobchod s ostatními kancelářskými stroji a zařízením</v>
      </c>
    </row>
    <row r="658" spans="13:26" ht="12.75">
      <c r="M658" s="289">
        <f>IF(ISNUMBER(SEARCH(ZAKL_DATA!$B$29,N658)),MAX($M$2:M657)+1,0)</f>
        <v>656</v>
      </c>
      <c r="N658" s="482" t="s">
        <v>1443</v>
      </c>
      <c r="O658" s="482" t="s">
        <v>3532</v>
      </c>
      <c r="Q658" s="291" t="str">
        <f>IFERROR(VLOOKUP(ROWS($Q$3:Q658),$M$3:$N$718,2,0),"")</f>
        <v>Výroba zbraní a střeliva</v>
      </c>
      <c r="R658">
        <f>IF(ISNUMBER(SEARCH('1Př1'!$A$32,N658)),MAX($M$2:M657)+1,0)</f>
        <v>656</v>
      </c>
      <c r="S658" s="290" t="s">
        <v>2033</v>
      </c>
      <c r="T658" t="str">
        <f>IFERROR(VLOOKUP(ROWS($T$3:T658),$R$3:$S$718,2,0),"")</f>
        <v>Velkoobchod s ostatními stroji a zařízením</v>
      </c>
      <c r="U658">
        <f>IF(ISNUMBER(SEARCH('1Př1'!$A$33,N658)),MAX($M$2:M657)+1,0)</f>
        <v>656</v>
      </c>
      <c r="V658" s="290" t="s">
        <v>2033</v>
      </c>
      <c r="W658" t="str">
        <f>IFERROR(VLOOKUP(ROWS($W$3:W658),$U$3:$V$718,2,0),"")</f>
        <v>Velkoobchod s ostatními stroji a zařízením</v>
      </c>
      <c r="X658">
        <f>IF(ISNUMBER(SEARCH('1Př1'!$A$34,N658)),MAX($M$2:M657)+1,0)</f>
        <v>656</v>
      </c>
      <c r="Y658" s="290" t="s">
        <v>2033</v>
      </c>
      <c r="Z658" t="str">
        <f>IFERROR(VLOOKUP(ROWS($Z$3:Z658),$X$3:$Y$718,2,0),"")</f>
        <v>Velkoobchod s ostatními stroji a zařízením</v>
      </c>
    </row>
    <row r="659" spans="13:26" ht="12.75">
      <c r="M659" s="289">
        <f>IF(ISNUMBER(SEARCH(ZAKL_DATA!$B$29,N659)),MAX($M$2:M658)+1,0)</f>
        <v>657</v>
      </c>
      <c r="N659" s="482" t="s">
        <v>1918</v>
      </c>
      <c r="O659" s="482" t="s">
        <v>3533</v>
      </c>
      <c r="Q659" s="291" t="str">
        <f>IFERROR(VLOOKUP(ROWS($Q$3:Q659),$M$3:$N$718,2,0),"")</f>
        <v>Výroba zdvihacích a manipulačních zařízení</v>
      </c>
      <c r="R659">
        <f>IF(ISNUMBER(SEARCH('1Př1'!$A$32,N659)),MAX($M$2:M658)+1,0)</f>
        <v>657</v>
      </c>
      <c r="S659" s="290" t="s">
        <v>2034</v>
      </c>
      <c r="T659" t="str">
        <f>IFERROR(VLOOKUP(ROWS($T$3:T659),$R$3:$S$718,2,0),"")</f>
        <v>Velkoobchod s pevnými, kapalnými a plynnými palivy a příbuznými výrobky</v>
      </c>
      <c r="U659">
        <f>IF(ISNUMBER(SEARCH('1Př1'!$A$33,N659)),MAX($M$2:M658)+1,0)</f>
        <v>657</v>
      </c>
      <c r="V659" s="290" t="s">
        <v>2034</v>
      </c>
      <c r="W659" t="str">
        <f>IFERROR(VLOOKUP(ROWS($W$3:W659),$U$3:$V$718,2,0),"")</f>
        <v>Velkoobchod s pevnými, kapalnými a plynnými palivy a příbuznými výrobky</v>
      </c>
      <c r="X659">
        <f>IF(ISNUMBER(SEARCH('1Př1'!$A$34,N659)),MAX($M$2:M658)+1,0)</f>
        <v>657</v>
      </c>
      <c r="Y659" s="290" t="s">
        <v>2034</v>
      </c>
      <c r="Z659" t="str">
        <f>IFERROR(VLOOKUP(ROWS($Z$3:Z659),$X$3:$Y$718,2,0),"")</f>
        <v>Velkoobchod s pevnými, kapalnými a plynnými palivy a příbuznými výrobky</v>
      </c>
    </row>
    <row r="660" spans="13:26" ht="12.75">
      <c r="M660" s="289">
        <f>IF(ISNUMBER(SEARCH(ZAKL_DATA!$B$29,N660)),MAX($M$2:M659)+1,0)</f>
        <v>658</v>
      </c>
      <c r="N660" s="482" t="s">
        <v>1515</v>
      </c>
      <c r="O660" s="482" t="s">
        <v>3534</v>
      </c>
      <c r="Q660" s="291" t="str">
        <f>IFERROR(VLOOKUP(ROWS($Q$3:Q660),$M$3:$N$718,2,0),"")</f>
        <v>Výroba zemědělských a lesnických strojů</v>
      </c>
      <c r="R660">
        <f>IF(ISNUMBER(SEARCH('1Př1'!$A$32,N660)),MAX($M$2:M659)+1,0)</f>
        <v>658</v>
      </c>
      <c r="S660" s="290" t="s">
        <v>2035</v>
      </c>
      <c r="T660" t="str">
        <f>IFERROR(VLOOKUP(ROWS($T$3:T660),$R$3:$S$718,2,0),"")</f>
        <v>Velkoobchod s rudami, kovy a hutními výrobky</v>
      </c>
      <c r="U660">
        <f>IF(ISNUMBER(SEARCH('1Př1'!$A$33,N660)),MAX($M$2:M659)+1,0)</f>
        <v>658</v>
      </c>
      <c r="V660" s="290" t="s">
        <v>2035</v>
      </c>
      <c r="W660" t="str">
        <f>IFERROR(VLOOKUP(ROWS($W$3:W660),$U$3:$V$718,2,0),"")</f>
        <v>Velkoobchod s rudami, kovy a hutními výrobky</v>
      </c>
      <c r="X660">
        <f>IF(ISNUMBER(SEARCH('1Př1'!$A$34,N660)),MAX($M$2:M659)+1,0)</f>
        <v>658</v>
      </c>
      <c r="Y660" s="290" t="s">
        <v>2035</v>
      </c>
      <c r="Z660" t="str">
        <f>IFERROR(VLOOKUP(ROWS($Z$3:Z660),$X$3:$Y$718,2,0),"")</f>
        <v>Velkoobchod s rudami, kovy a hutními výrobky</v>
      </c>
    </row>
    <row r="661" spans="13:26" ht="12.75">
      <c r="M661" s="289">
        <f>IF(ISNUMBER(SEARCH(ZAKL_DATA!$B$29,N661)),MAX($M$2:M660)+1,0)</f>
        <v>659</v>
      </c>
      <c r="N661" s="482" t="s">
        <v>3535</v>
      </c>
      <c r="O661" s="482" t="s">
        <v>3536</v>
      </c>
      <c r="Q661" s="291" t="str">
        <f>IFERROR(VLOOKUP(ROWS($Q$3:Q661),$M$3:$N$718,2,0),"")</f>
        <v>Výroba zmrzliny a ledu k lidské spotřebě</v>
      </c>
      <c r="R661">
        <f>IF(ISNUMBER(SEARCH('1Př1'!$A$32,N661)),MAX($M$2:M660)+1,0)</f>
        <v>659</v>
      </c>
      <c r="S661" s="290" t="s">
        <v>2036</v>
      </c>
      <c r="T661" t="str">
        <f>IFERROR(VLOOKUP(ROWS($T$3:T661),$R$3:$S$718,2,0),"")</f>
        <v>Velkoobchod se dřevem, stavebními materiály a sanitárním vybavením</v>
      </c>
      <c r="U661">
        <f>IF(ISNUMBER(SEARCH('1Př1'!$A$33,N661)),MAX($M$2:M660)+1,0)</f>
        <v>659</v>
      </c>
      <c r="V661" s="290" t="s">
        <v>2036</v>
      </c>
      <c r="W661" t="str">
        <f>IFERROR(VLOOKUP(ROWS($W$3:W661),$U$3:$V$718,2,0),"")</f>
        <v>Velkoobchod se dřevem, stavebními materiály a sanitárním vybavením</v>
      </c>
      <c r="X661">
        <f>IF(ISNUMBER(SEARCH('1Př1'!$A$34,N661)),MAX($M$2:M660)+1,0)</f>
        <v>659</v>
      </c>
      <c r="Y661" s="290" t="s">
        <v>2036</v>
      </c>
      <c r="Z661" t="str">
        <f>IFERROR(VLOOKUP(ROWS($Z$3:Z661),$X$3:$Y$718,2,0),"")</f>
        <v>Velkoobchod se dřevem, stavebními materiály a sanitárním vybavením</v>
      </c>
    </row>
    <row r="662" spans="13:26" ht="12.75">
      <c r="M662" s="289">
        <f>IF(ISNUMBER(SEARCH(ZAKL_DATA!$B$29,N662)),MAX($M$2:M661)+1,0)</f>
        <v>660</v>
      </c>
      <c r="N662" s="482" t="s">
        <v>1383</v>
      </c>
      <c r="O662" s="482" t="s">
        <v>3537</v>
      </c>
      <c r="Q662" s="291" t="str">
        <f>IFERROR(VLOOKUP(ROWS($Q$3:Q662),$M$3:$N$718,2,0),"")</f>
        <v>Výroba žáruvzdorných výrobků</v>
      </c>
      <c r="R662">
        <f>IF(ISNUMBER(SEARCH('1Př1'!$A$32,N662)),MAX($M$2:M661)+1,0)</f>
        <v>660</v>
      </c>
      <c r="S662" s="290" t="s">
        <v>2037</v>
      </c>
      <c r="T662" t="str">
        <f>IFERROR(VLOOKUP(ROWS($T$3:T662),$R$3:$S$718,2,0),"")</f>
        <v>Velkoobchod s železářským zbožím,instalatér.a topenářskými potřebami</v>
      </c>
      <c r="U662">
        <f>IF(ISNUMBER(SEARCH('1Př1'!$A$33,N662)),MAX($M$2:M661)+1,0)</f>
        <v>660</v>
      </c>
      <c r="V662" s="290" t="s">
        <v>2037</v>
      </c>
      <c r="W662" t="str">
        <f>IFERROR(VLOOKUP(ROWS($W$3:W662),$U$3:$V$718,2,0),"")</f>
        <v>Velkoobchod s železářským zbožím,instalatér.a topenářskými potřebami</v>
      </c>
      <c r="X662">
        <f>IF(ISNUMBER(SEARCH('1Př1'!$A$34,N662)),MAX($M$2:M661)+1,0)</f>
        <v>660</v>
      </c>
      <c r="Y662" s="290" t="s">
        <v>2037</v>
      </c>
      <c r="Z662" t="str">
        <f>IFERROR(VLOOKUP(ROWS($Z$3:Z662),$X$3:$Y$718,2,0),"")</f>
        <v>Velkoobchod s železářským zbožím,instalatér.a topenářskými potřebami</v>
      </c>
    </row>
    <row r="663" spans="13:26" ht="12.75">
      <c r="M663" s="289">
        <f>IF(ISNUMBER(SEARCH(ZAKL_DATA!$B$29,N663)),MAX($M$2:M662)+1,0)</f>
        <v>661</v>
      </c>
      <c r="N663" s="482" t="s">
        <v>3538</v>
      </c>
      <c r="O663" s="482" t="s">
        <v>3539</v>
      </c>
      <c r="Q663" s="291" t="str">
        <f>IFERROR(VLOOKUP(ROWS($Q$3:Q663),$M$3:$N$718,2,0),"")</f>
        <v>Výroba železničních lokomotiv a kolejových vozidel</v>
      </c>
      <c r="R663">
        <f>IF(ISNUMBER(SEARCH('1Př1'!$A$32,N663)),MAX($M$2:M662)+1,0)</f>
        <v>661</v>
      </c>
      <c r="S663" s="290" t="s">
        <v>2038</v>
      </c>
      <c r="T663" t="str">
        <f>IFERROR(VLOOKUP(ROWS($T$3:T663),$R$3:$S$718,2,0),"")</f>
        <v>Velkoobchod s chemickými výrobky</v>
      </c>
      <c r="U663">
        <f>IF(ISNUMBER(SEARCH('1Př1'!$A$33,N663)),MAX($M$2:M662)+1,0)</f>
        <v>661</v>
      </c>
      <c r="V663" s="290" t="s">
        <v>2038</v>
      </c>
      <c r="W663" t="str">
        <f>IFERROR(VLOOKUP(ROWS($W$3:W663),$U$3:$V$718,2,0),"")</f>
        <v>Velkoobchod s chemickými výrobky</v>
      </c>
      <c r="X663">
        <f>IF(ISNUMBER(SEARCH('1Př1'!$A$34,N663)),MAX($M$2:M662)+1,0)</f>
        <v>661</v>
      </c>
      <c r="Y663" s="290" t="s">
        <v>2038</v>
      </c>
      <c r="Z663" t="str">
        <f>IFERROR(VLOOKUP(ROWS($Z$3:Z663),$X$3:$Y$718,2,0),"")</f>
        <v>Velkoobchod s chemickými výrobky</v>
      </c>
    </row>
    <row r="664" spans="13:26" ht="12.75">
      <c r="M664" s="289">
        <f>IF(ISNUMBER(SEARCH(ZAKL_DATA!$B$29,N664)),MAX($M$2:M663)+1,0)</f>
        <v>662</v>
      </c>
      <c r="N664" s="482" t="s">
        <v>3540</v>
      </c>
      <c r="O664" s="482" t="s">
        <v>3541</v>
      </c>
      <c r="Q664" s="291" t="str">
        <f>IFERROR(VLOOKUP(ROWS($Q$3:Q664),$M$3:$N$718,2,0),"")</f>
        <v>Výrobu ledu pro chladicí účely</v>
      </c>
      <c r="R664">
        <f>IF(ISNUMBER(SEARCH('1Př1'!$A$32,N664)),MAX($M$2:M663)+1,0)</f>
        <v>662</v>
      </c>
      <c r="S664" s="290" t="s">
        <v>2039</v>
      </c>
      <c r="T664" t="str">
        <f>IFERROR(VLOOKUP(ROWS($T$3:T664),$R$3:$S$718,2,0),"")</f>
        <v>Velkoobchod s ostatními meziprodukty</v>
      </c>
      <c r="U664">
        <f>IF(ISNUMBER(SEARCH('1Př1'!$A$33,N664)),MAX($M$2:M663)+1,0)</f>
        <v>662</v>
      </c>
      <c r="V664" s="290" t="s">
        <v>2039</v>
      </c>
      <c r="W664" t="str">
        <f>IFERROR(VLOOKUP(ROWS($W$3:W664),$U$3:$V$718,2,0),"")</f>
        <v>Velkoobchod s ostatními meziprodukty</v>
      </c>
      <c r="X664">
        <f>IF(ISNUMBER(SEARCH('1Př1'!$A$34,N664)),MAX($M$2:M663)+1,0)</f>
        <v>662</v>
      </c>
      <c r="Y664" s="290" t="s">
        <v>2039</v>
      </c>
      <c r="Z664" t="str">
        <f>IFERROR(VLOOKUP(ROWS($Z$3:Z664),$X$3:$Y$718,2,0),"")</f>
        <v>Velkoobchod s ostatními meziprodukty</v>
      </c>
    </row>
    <row r="665" spans="13:26" ht="12.75">
      <c r="M665" s="289">
        <f>IF(ISNUMBER(SEARCH(ZAKL_DATA!$B$29,N665)),MAX($M$2:M664)+1,0)</f>
        <v>663</v>
      </c>
      <c r="N665" s="482" t="s">
        <v>1605</v>
      </c>
      <c r="O665" s="482" t="s">
        <v>3542</v>
      </c>
      <c r="Q665" s="291" t="str">
        <f>IFERROR(VLOOKUP(ROWS($Q$3:Q665),$M$3:$N$718,2,0),"")</f>
        <v>Výstavba bytových a nebytových budov</v>
      </c>
      <c r="R665">
        <f>IF(ISNUMBER(SEARCH('1Př1'!$A$32,N665)),MAX($M$2:M664)+1,0)</f>
        <v>663</v>
      </c>
      <c r="S665" s="290" t="s">
        <v>2040</v>
      </c>
      <c r="T665" t="str">
        <f>IFERROR(VLOOKUP(ROWS($T$3:T665),$R$3:$S$718,2,0),"")</f>
        <v>Velkoobchod s odpadem a šrotem</v>
      </c>
      <c r="U665">
        <f>IF(ISNUMBER(SEARCH('1Př1'!$A$33,N665)),MAX($M$2:M664)+1,0)</f>
        <v>663</v>
      </c>
      <c r="V665" s="290" t="s">
        <v>2040</v>
      </c>
      <c r="W665" t="str">
        <f>IFERROR(VLOOKUP(ROWS($W$3:W665),$U$3:$V$718,2,0),"")</f>
        <v>Velkoobchod s odpadem a šrotem</v>
      </c>
      <c r="X665">
        <f>IF(ISNUMBER(SEARCH('1Př1'!$A$34,N665)),MAX($M$2:M664)+1,0)</f>
        <v>663</v>
      </c>
      <c r="Y665" s="290" t="s">
        <v>2040</v>
      </c>
      <c r="Z665" t="str">
        <f>IFERROR(VLOOKUP(ROWS($Z$3:Z665),$X$3:$Y$718,2,0),"")</f>
        <v>Velkoobchod s odpadem a šrotem</v>
      </c>
    </row>
    <row r="666" spans="13:26" ht="25.5">
      <c r="M666" s="289">
        <f>IF(ISNUMBER(SEARCH(ZAKL_DATA!$B$29,N666)),MAX($M$2:M665)+1,0)</f>
        <v>664</v>
      </c>
      <c r="N666" s="482" t="s">
        <v>1974</v>
      </c>
      <c r="O666" s="482" t="s">
        <v>3543</v>
      </c>
      <c r="Q666" s="291" t="str">
        <f>IFERROR(VLOOKUP(ROWS($Q$3:Q666),$M$3:$N$718,2,0),"")</f>
        <v>Výstavba inženýrských sítí pro elektřinu a telekomunikace</v>
      </c>
      <c r="R666">
        <f>IF(ISNUMBER(SEARCH('1Př1'!$A$32,N666)),MAX($M$2:M665)+1,0)</f>
        <v>664</v>
      </c>
      <c r="S666" s="290" t="s">
        <v>2041</v>
      </c>
      <c r="T666" t="str">
        <f>IFERROR(VLOOKUP(ROWS($T$3:T666),$R$3:$S$718,2,0),"")</f>
        <v>Maloobchod s převahou potravin,nápojů a tabák.výrobků v nespecializ.prod.</v>
      </c>
      <c r="U666">
        <f>IF(ISNUMBER(SEARCH('1Př1'!$A$33,N666)),MAX($M$2:M665)+1,0)</f>
        <v>664</v>
      </c>
      <c r="V666" s="290" t="s">
        <v>2041</v>
      </c>
      <c r="W666" t="str">
        <f>IFERROR(VLOOKUP(ROWS($W$3:W666),$U$3:$V$718,2,0),"")</f>
        <v>Maloobchod s převahou potravin,nápojů a tabák.výrobků v nespecializ.prod.</v>
      </c>
      <c r="X666">
        <f>IF(ISNUMBER(SEARCH('1Př1'!$A$34,N666)),MAX($M$2:M665)+1,0)</f>
        <v>664</v>
      </c>
      <c r="Y666" s="290" t="s">
        <v>2041</v>
      </c>
      <c r="Z666" t="str">
        <f>IFERROR(VLOOKUP(ROWS($Z$3:Z666),$X$3:$Y$718,2,0),"")</f>
        <v>Maloobchod s převahou potravin,nápojů a tabák.výrobků v nespecializ.prod.</v>
      </c>
    </row>
    <row r="667" spans="13:26" ht="12.75">
      <c r="M667" s="289">
        <f>IF(ISNUMBER(SEARCH(ZAKL_DATA!$B$29,N667)),MAX($M$2:M666)+1,0)</f>
        <v>665</v>
      </c>
      <c r="N667" s="482" t="s">
        <v>1973</v>
      </c>
      <c r="O667" s="482" t="s">
        <v>3544</v>
      </c>
      <c r="Q667" s="291" t="str">
        <f>IFERROR(VLOOKUP(ROWS($Q$3:Q667),$M$3:$N$718,2,0),"")</f>
        <v>Výstavba inženýrských sítí pro kapaliny a plyny</v>
      </c>
      <c r="R667">
        <f>IF(ISNUMBER(SEARCH('1Př1'!$A$32,N667)),MAX($M$2:M666)+1,0)</f>
        <v>665</v>
      </c>
      <c r="S667" s="290" t="s">
        <v>2042</v>
      </c>
      <c r="T667" t="str">
        <f>IFERROR(VLOOKUP(ROWS($T$3:T667),$R$3:$S$718,2,0),"")</f>
        <v>Ostatní maloobchod v nespecializovaných prodejnách</v>
      </c>
      <c r="U667">
        <f>IF(ISNUMBER(SEARCH('1Př1'!$A$33,N667)),MAX($M$2:M666)+1,0)</f>
        <v>665</v>
      </c>
      <c r="V667" s="290" t="s">
        <v>2042</v>
      </c>
      <c r="W667" t="str">
        <f>IFERROR(VLOOKUP(ROWS($W$3:W667),$U$3:$V$718,2,0),"")</f>
        <v>Ostatní maloobchod v nespecializovaných prodejnách</v>
      </c>
      <c r="X667">
        <f>IF(ISNUMBER(SEARCH('1Př1'!$A$34,N667)),MAX($M$2:M666)+1,0)</f>
        <v>665</v>
      </c>
      <c r="Y667" s="290" t="s">
        <v>2042</v>
      </c>
      <c r="Z667" t="str">
        <f>IFERROR(VLOOKUP(ROWS($Z$3:Z667),$X$3:$Y$718,2,0),"")</f>
        <v>Ostatní maloobchod v nespecializovaných prodejnách</v>
      </c>
    </row>
    <row r="668" spans="13:26" ht="12.75">
      <c r="M668" s="289">
        <f>IF(ISNUMBER(SEARCH(ZAKL_DATA!$B$29,N668)),MAX($M$2:M667)+1,0)</f>
        <v>666</v>
      </c>
      <c r="N668" s="482" t="s">
        <v>1972</v>
      </c>
      <c r="O668" s="482" t="s">
        <v>3545</v>
      </c>
      <c r="Q668" s="291" t="str">
        <f>IFERROR(VLOOKUP(ROWS($Q$3:Q668),$M$3:$N$718,2,0),"")</f>
        <v>Výstavba mostů a tunelů</v>
      </c>
      <c r="R668">
        <f>IF(ISNUMBER(SEARCH('1Př1'!$A$32,N668)),MAX($M$2:M667)+1,0)</f>
        <v>666</v>
      </c>
      <c r="S668" s="290" t="s">
        <v>2043</v>
      </c>
      <c r="T668" t="str">
        <f>IFERROR(VLOOKUP(ROWS($T$3:T668),$R$3:$S$718,2,0),"")</f>
        <v>Maloobchod s ovocem a zeleninou</v>
      </c>
      <c r="U668">
        <f>IF(ISNUMBER(SEARCH('1Př1'!$A$33,N668)),MAX($M$2:M667)+1,0)</f>
        <v>666</v>
      </c>
      <c r="V668" s="290" t="s">
        <v>2043</v>
      </c>
      <c r="W668" t="str">
        <f>IFERROR(VLOOKUP(ROWS($W$3:W668),$U$3:$V$718,2,0),"")</f>
        <v>Maloobchod s ovocem a zeleninou</v>
      </c>
      <c r="X668">
        <f>IF(ISNUMBER(SEARCH('1Př1'!$A$34,N668)),MAX($M$2:M667)+1,0)</f>
        <v>666</v>
      </c>
      <c r="Y668" s="290" t="s">
        <v>2043</v>
      </c>
      <c r="Z668" t="str">
        <f>IFERROR(VLOOKUP(ROWS($Z$3:Z668),$X$3:$Y$718,2,0),"")</f>
        <v>Maloobchod s ovocem a zeleninou</v>
      </c>
    </row>
    <row r="669" spans="13:26" ht="12.75">
      <c r="M669" s="289">
        <f>IF(ISNUMBER(SEARCH(ZAKL_DATA!$B$29,N669)),MAX($M$2:M668)+1,0)</f>
        <v>667</v>
      </c>
      <c r="N669" s="482" t="s">
        <v>3546</v>
      </c>
      <c r="O669" s="482" t="s">
        <v>3547</v>
      </c>
      <c r="Q669" s="291" t="str">
        <f>IFERROR(VLOOKUP(ROWS($Q$3:Q669),$M$3:$N$718,2,0),"")</f>
        <v>Výstavba ostatních inženýrských děl j. n.</v>
      </c>
      <c r="R669">
        <f>IF(ISNUMBER(SEARCH('1Př1'!$A$32,N669)),MAX($M$2:M668)+1,0)</f>
        <v>667</v>
      </c>
      <c r="S669" s="290" t="s">
        <v>2044</v>
      </c>
      <c r="T669" t="str">
        <f>IFERROR(VLOOKUP(ROWS($T$3:T669),$R$3:$S$718,2,0),"")</f>
        <v>Maloobchod s masem a masnými výrobky</v>
      </c>
      <c r="U669">
        <f>IF(ISNUMBER(SEARCH('1Př1'!$A$33,N669)),MAX($M$2:M668)+1,0)</f>
        <v>667</v>
      </c>
      <c r="V669" s="290" t="s">
        <v>2044</v>
      </c>
      <c r="W669" t="str">
        <f>IFERROR(VLOOKUP(ROWS($W$3:W669),$U$3:$V$718,2,0),"")</f>
        <v>Maloobchod s masem a masnými výrobky</v>
      </c>
      <c r="X669">
        <f>IF(ISNUMBER(SEARCH('1Př1'!$A$34,N669)),MAX($M$2:M668)+1,0)</f>
        <v>667</v>
      </c>
      <c r="Y669" s="290" t="s">
        <v>2044</v>
      </c>
      <c r="Z669" t="str">
        <f>IFERROR(VLOOKUP(ROWS($Z$3:Z669),$X$3:$Y$718,2,0),"")</f>
        <v>Maloobchod s masem a masnými výrobky</v>
      </c>
    </row>
    <row r="670" spans="13:26" ht="12.75">
      <c r="M670" s="289">
        <f>IF(ISNUMBER(SEARCH(ZAKL_DATA!$B$29,N670)),MAX($M$2:M669)+1,0)</f>
        <v>668</v>
      </c>
      <c r="N670" s="482" t="s">
        <v>1970</v>
      </c>
      <c r="O670" s="482" t="s">
        <v>3548</v>
      </c>
      <c r="Q670" s="291" t="str">
        <f>IFERROR(VLOOKUP(ROWS($Q$3:Q670),$M$3:$N$718,2,0),"")</f>
        <v>Výstavba silnic a dálnic</v>
      </c>
      <c r="R670">
        <f>IF(ISNUMBER(SEARCH('1Př1'!$A$32,N670)),MAX($M$2:M669)+1,0)</f>
        <v>668</v>
      </c>
      <c r="S670" s="290" t="s">
        <v>2045</v>
      </c>
      <c r="T670" t="str">
        <f>IFERROR(VLOOKUP(ROWS($T$3:T670),$R$3:$S$718,2,0),"")</f>
        <v>Maloobchod s rybami, korýši a měkkýši</v>
      </c>
      <c r="U670">
        <f>IF(ISNUMBER(SEARCH('1Př1'!$A$33,N670)),MAX($M$2:M669)+1,0)</f>
        <v>668</v>
      </c>
      <c r="V670" s="290" t="s">
        <v>2045</v>
      </c>
      <c r="W670" t="str">
        <f>IFERROR(VLOOKUP(ROWS($W$3:W670),$U$3:$V$718,2,0),"")</f>
        <v>Maloobchod s rybami, korýši a měkkýši</v>
      </c>
      <c r="X670">
        <f>IF(ISNUMBER(SEARCH('1Př1'!$A$34,N670)),MAX($M$2:M669)+1,0)</f>
        <v>668</v>
      </c>
      <c r="Y670" s="290" t="s">
        <v>2045</v>
      </c>
      <c r="Z670" t="str">
        <f>IFERROR(VLOOKUP(ROWS($Z$3:Z670),$X$3:$Y$718,2,0),"")</f>
        <v>Maloobchod s rybami, korýši a měkkýši</v>
      </c>
    </row>
    <row r="671" spans="13:26" ht="12.75">
      <c r="M671" s="289">
        <f>IF(ISNUMBER(SEARCH(ZAKL_DATA!$B$29,N671)),MAX($M$2:M670)+1,0)</f>
        <v>669</v>
      </c>
      <c r="N671" s="482" t="s">
        <v>1975</v>
      </c>
      <c r="O671" s="482" t="s">
        <v>3549</v>
      </c>
      <c r="Q671" s="291" t="str">
        <f>IFERROR(VLOOKUP(ROWS($Q$3:Q671),$M$3:$N$718,2,0),"")</f>
        <v>Výstavba vodních děl</v>
      </c>
      <c r="R671">
        <f>IF(ISNUMBER(SEARCH('1Př1'!$A$32,N671)),MAX($M$2:M670)+1,0)</f>
        <v>669</v>
      </c>
      <c r="S671" s="290" t="s">
        <v>2046</v>
      </c>
      <c r="T671" t="str">
        <f>IFERROR(VLOOKUP(ROWS($T$3:T671),$R$3:$S$718,2,0),"")</f>
        <v>Maloobchod s chlebem, pečivem, cukrářskými výrobky a cukrovinkami</v>
      </c>
      <c r="U671">
        <f>IF(ISNUMBER(SEARCH('1Př1'!$A$33,N671)),MAX($M$2:M670)+1,0)</f>
        <v>669</v>
      </c>
      <c r="V671" s="290" t="s">
        <v>2046</v>
      </c>
      <c r="W671" t="str">
        <f>IFERROR(VLOOKUP(ROWS($W$3:W671),$U$3:$V$718,2,0),"")</f>
        <v>Maloobchod s chlebem, pečivem, cukrářskými výrobky a cukrovinkami</v>
      </c>
      <c r="X671">
        <f>IF(ISNUMBER(SEARCH('1Př1'!$A$34,N671)),MAX($M$2:M670)+1,0)</f>
        <v>669</v>
      </c>
      <c r="Y671" s="290" t="s">
        <v>2046</v>
      </c>
      <c r="Z671" t="str">
        <f>IFERROR(VLOOKUP(ROWS($Z$3:Z671),$X$3:$Y$718,2,0),"")</f>
        <v>Maloobchod s chlebem, pečivem, cukrářskými výrobky a cukrovinkami</v>
      </c>
    </row>
    <row r="672" spans="13:26" ht="12.75">
      <c r="M672" s="289">
        <f>IF(ISNUMBER(SEARCH(ZAKL_DATA!$B$29,N672)),MAX($M$2:M671)+1,0)</f>
        <v>670</v>
      </c>
      <c r="N672" s="482" t="s">
        <v>1971</v>
      </c>
      <c r="O672" s="482" t="s">
        <v>3550</v>
      </c>
      <c r="Q672" s="291" t="str">
        <f>IFERROR(VLOOKUP(ROWS($Q$3:Q672),$M$3:$N$718,2,0),"")</f>
        <v>Výstavba železnic a podzemních drah</v>
      </c>
      <c r="R672">
        <f>IF(ISNUMBER(SEARCH('1Př1'!$A$32,N672)),MAX($M$2:M671)+1,0)</f>
        <v>670</v>
      </c>
      <c r="S672" s="290" t="s">
        <v>2047</v>
      </c>
      <c r="T672" t="str">
        <f>IFERROR(VLOOKUP(ROWS($T$3:T672),$R$3:$S$718,2,0),"")</f>
        <v>Maloobchod s nápoji</v>
      </c>
      <c r="U672">
        <f>IF(ISNUMBER(SEARCH('1Př1'!$A$33,N672)),MAX($M$2:M671)+1,0)</f>
        <v>670</v>
      </c>
      <c r="V672" s="290" t="s">
        <v>2047</v>
      </c>
      <c r="W672" t="str">
        <f>IFERROR(VLOOKUP(ROWS($W$3:W672),$U$3:$V$718,2,0),"")</f>
        <v>Maloobchod s nápoji</v>
      </c>
      <c r="X672">
        <f>IF(ISNUMBER(SEARCH('1Př1'!$A$34,N672)),MAX($M$2:M671)+1,0)</f>
        <v>670</v>
      </c>
      <c r="Y672" s="290" t="s">
        <v>2047</v>
      </c>
      <c r="Z672" t="str">
        <f>IFERROR(VLOOKUP(ROWS($Z$3:Z672),$X$3:$Y$718,2,0),"")</f>
        <v>Maloobchod s nápoji</v>
      </c>
    </row>
    <row r="673" spans="13:26" ht="12.75">
      <c r="M673" s="289">
        <f>IF(ISNUMBER(SEARCH(ZAKL_DATA!$B$29,N673)),MAX($M$2:M672)+1,0)</f>
        <v>671</v>
      </c>
      <c r="N673" s="482" t="s">
        <v>3551</v>
      </c>
      <c r="O673" s="482" t="s">
        <v>3552</v>
      </c>
      <c r="Q673" s="291" t="str">
        <f>IFERROR(VLOOKUP(ROWS($Q$3:Q673),$M$3:$N$718,2,0),"")</f>
        <v>Výtvarná tvorba</v>
      </c>
      <c r="R673">
        <f>IF(ISNUMBER(SEARCH('1Př1'!$A$32,N673)),MAX($M$2:M672)+1,0)</f>
        <v>671</v>
      </c>
      <c r="S673" s="290" t="s">
        <v>2048</v>
      </c>
      <c r="T673" t="str">
        <f>IFERROR(VLOOKUP(ROWS($T$3:T673),$R$3:$S$718,2,0),"")</f>
        <v>Maloobchod s tabákovými výrobky</v>
      </c>
      <c r="U673">
        <f>IF(ISNUMBER(SEARCH('1Př1'!$A$33,N673)),MAX($M$2:M672)+1,0)</f>
        <v>671</v>
      </c>
      <c r="V673" s="290" t="s">
        <v>2048</v>
      </c>
      <c r="W673" t="str">
        <f>IFERROR(VLOOKUP(ROWS($W$3:W673),$U$3:$V$718,2,0),"")</f>
        <v>Maloobchod s tabákovými výrobky</v>
      </c>
      <c r="X673">
        <f>IF(ISNUMBER(SEARCH('1Př1'!$A$34,N673)),MAX($M$2:M672)+1,0)</f>
        <v>671</v>
      </c>
      <c r="Y673" s="290" t="s">
        <v>2048</v>
      </c>
      <c r="Z673" t="str">
        <f>IFERROR(VLOOKUP(ROWS($Z$3:Z673),$X$3:$Y$718,2,0),"")</f>
        <v>Maloobchod s tabákovými výrobky</v>
      </c>
    </row>
    <row r="674" spans="13:26" ht="25.5">
      <c r="M674" s="289">
        <f>IF(ISNUMBER(SEARCH(ZAKL_DATA!$B$29,N674)),MAX($M$2:M673)+1,0)</f>
        <v>672</v>
      </c>
      <c r="N674" s="482" t="s">
        <v>1702</v>
      </c>
      <c r="O674" s="482" t="s">
        <v>3553</v>
      </c>
      <c r="Q674" s="291" t="str">
        <f>IFERROR(VLOOKUP(ROWS($Q$3:Q674),$M$3:$N$718,2,0),"")</f>
        <v>Výzkum a vývoj v oblasti přírodních a technických věd</v>
      </c>
      <c r="R674">
        <f>IF(ISNUMBER(SEARCH('1Př1'!$A$32,N674)),MAX($M$2:M673)+1,0)</f>
        <v>672</v>
      </c>
      <c r="S674" s="290" t="s">
        <v>2049</v>
      </c>
      <c r="T674" t="str">
        <f>IFERROR(VLOOKUP(ROWS($T$3:T674),$R$3:$S$718,2,0),"")</f>
        <v>Ostatní maloobchod s potravinami ve specializovaných prodejnách</v>
      </c>
      <c r="U674">
        <f>IF(ISNUMBER(SEARCH('1Př1'!$A$33,N674)),MAX($M$2:M673)+1,0)</f>
        <v>672</v>
      </c>
      <c r="V674" s="290" t="s">
        <v>2049</v>
      </c>
      <c r="W674" t="str">
        <f>IFERROR(VLOOKUP(ROWS($W$3:W674),$U$3:$V$718,2,0),"")</f>
        <v>Ostatní maloobchod s potravinami ve specializovaných prodejnách</v>
      </c>
      <c r="X674">
        <f>IF(ISNUMBER(SEARCH('1Př1'!$A$34,N674)),MAX($M$2:M673)+1,0)</f>
        <v>672</v>
      </c>
      <c r="Y674" s="290" t="s">
        <v>2049</v>
      </c>
      <c r="Z674" t="str">
        <f>IFERROR(VLOOKUP(ROWS($Z$3:Z674),$X$3:$Y$718,2,0),"")</f>
        <v>Ostatní maloobchod s potravinami ve specializovaných prodejnách</v>
      </c>
    </row>
    <row r="675" spans="13:26" ht="25.5">
      <c r="M675" s="289">
        <f>IF(ISNUMBER(SEARCH(ZAKL_DATA!$B$29,N675)),MAX($M$2:M674)+1,0)</f>
        <v>673</v>
      </c>
      <c r="N675" s="482" t="s">
        <v>1704</v>
      </c>
      <c r="O675" s="482" t="s">
        <v>3554</v>
      </c>
      <c r="Q675" s="291" t="str">
        <f>IFERROR(VLOOKUP(ROWS($Q$3:Q675),$M$3:$N$718,2,0),"")</f>
        <v>Výzkum a vývoj v oblasti společenských a humanitních věd</v>
      </c>
      <c r="R675">
        <f>IF(ISNUMBER(SEARCH('1Př1'!$A$32,N675)),MAX($M$2:M674)+1,0)</f>
        <v>673</v>
      </c>
      <c r="S675" s="290" t="s">
        <v>2050</v>
      </c>
      <c r="T675" t="str">
        <f>IFERROR(VLOOKUP(ROWS($T$3:T675),$R$3:$S$718,2,0),"")</f>
        <v>Maloobchod s počítači, počítačovým periferním zařízením a softwarem</v>
      </c>
      <c r="U675">
        <f>IF(ISNUMBER(SEARCH('1Př1'!$A$33,N675)),MAX($M$2:M674)+1,0)</f>
        <v>673</v>
      </c>
      <c r="V675" s="290" t="s">
        <v>2050</v>
      </c>
      <c r="W675" t="str">
        <f>IFERROR(VLOOKUP(ROWS($W$3:W675),$U$3:$V$718,2,0),"")</f>
        <v>Maloobchod s počítači, počítačovým periferním zařízením a softwarem</v>
      </c>
      <c r="X675">
        <f>IF(ISNUMBER(SEARCH('1Př1'!$A$34,N675)),MAX($M$2:M674)+1,0)</f>
        <v>673</v>
      </c>
      <c r="Y675" s="290" t="s">
        <v>2050</v>
      </c>
      <c r="Z675" t="str">
        <f>IFERROR(VLOOKUP(ROWS($Z$3:Z675),$X$3:$Y$718,2,0),"")</f>
        <v>Maloobchod s počítači, počítačovým periferním zařízením a softwarem</v>
      </c>
    </row>
    <row r="676" spans="13:26" ht="12.75">
      <c r="M676" s="289">
        <f>IF(ISNUMBER(SEARCH(ZAKL_DATA!$B$29,N676)),MAX($M$2:M675)+1,0)</f>
        <v>674</v>
      </c>
      <c r="N676" s="482" t="s">
        <v>2156</v>
      </c>
      <c r="O676" s="482" t="s">
        <v>3555</v>
      </c>
      <c r="Q676" s="291" t="str">
        <f>IFERROR(VLOOKUP(ROWS($Q$3:Q676),$M$3:$N$718,2,0),"")</f>
        <v>Vzdělávání v jazykových školách</v>
      </c>
      <c r="R676">
        <f>IF(ISNUMBER(SEARCH('1Př1'!$A$32,N676)),MAX($M$2:M675)+1,0)</f>
        <v>674</v>
      </c>
      <c r="S676" s="290" t="s">
        <v>2051</v>
      </c>
      <c r="T676" t="str">
        <f>IFERROR(VLOOKUP(ROWS($T$3:T676),$R$3:$S$718,2,0),"")</f>
        <v>Maloobchod s telekomunikačním zařízením</v>
      </c>
      <c r="U676">
        <f>IF(ISNUMBER(SEARCH('1Př1'!$A$33,N676)),MAX($M$2:M675)+1,0)</f>
        <v>674</v>
      </c>
      <c r="V676" s="290" t="s">
        <v>2051</v>
      </c>
      <c r="W676" t="str">
        <f>IFERROR(VLOOKUP(ROWS($W$3:W676),$U$3:$V$718,2,0),"")</f>
        <v>Maloobchod s telekomunikačním zařízením</v>
      </c>
      <c r="X676">
        <f>IF(ISNUMBER(SEARCH('1Př1'!$A$34,N676)),MAX($M$2:M675)+1,0)</f>
        <v>674</v>
      </c>
      <c r="Y676" s="290" t="s">
        <v>2051</v>
      </c>
      <c r="Z676" t="str">
        <f>IFERROR(VLOOKUP(ROWS($Z$3:Z676),$X$3:$Y$718,2,0),"")</f>
        <v>Maloobchod s telekomunikačním zařízením</v>
      </c>
    </row>
    <row r="677" spans="13:26" ht="12.75">
      <c r="M677" s="289">
        <f>IF(ISNUMBER(SEARCH(ZAKL_DATA!$B$29,N677)),MAX($M$2:M676)+1,0)</f>
        <v>675</v>
      </c>
      <c r="N677" s="482" t="s">
        <v>3556</v>
      </c>
      <c r="O677" s="482" t="s">
        <v>3557</v>
      </c>
      <c r="Q677" s="291" t="str">
        <f>IFERROR(VLOOKUP(ROWS($Q$3:Q677),$M$3:$N$718,2,0),"")</f>
        <v>Zajišťovací činnosti</v>
      </c>
      <c r="R677">
        <f>IF(ISNUMBER(SEARCH('1Př1'!$A$32,N677)),MAX($M$2:M676)+1,0)</f>
        <v>675</v>
      </c>
      <c r="S677" s="290" t="s">
        <v>2052</v>
      </c>
      <c r="T677" t="str">
        <f>IFERROR(VLOOKUP(ROWS($T$3:T677),$R$3:$S$718,2,0),"")</f>
        <v>Maloobchod s audio- a videozařízením</v>
      </c>
      <c r="U677">
        <f>IF(ISNUMBER(SEARCH('1Př1'!$A$33,N677)),MAX($M$2:M676)+1,0)</f>
        <v>675</v>
      </c>
      <c r="V677" s="290" t="s">
        <v>2052</v>
      </c>
      <c r="W677" t="str">
        <f>IFERROR(VLOOKUP(ROWS($W$3:W677),$U$3:$V$718,2,0),"")</f>
        <v>Maloobchod s audio- a videozařízením</v>
      </c>
      <c r="X677">
        <f>IF(ISNUMBER(SEARCH('1Př1'!$A$34,N677)),MAX($M$2:M676)+1,0)</f>
        <v>675</v>
      </c>
      <c r="Y677" s="290" t="s">
        <v>2052</v>
      </c>
      <c r="Z677" t="str">
        <f>IFERROR(VLOOKUP(ROWS($Z$3:Z677),$X$3:$Y$718,2,0),"")</f>
        <v>Maloobchod s audio- a videozařízením</v>
      </c>
    </row>
    <row r="678" spans="13:26" ht="25.5">
      <c r="M678" s="289">
        <f>IF(ISNUMBER(SEARCH(ZAKL_DATA!$B$29,N678)),MAX($M$2:M677)+1,0)</f>
        <v>676</v>
      </c>
      <c r="N678" s="482" t="s">
        <v>1663</v>
      </c>
      <c r="O678" s="482" t="s">
        <v>3558</v>
      </c>
      <c r="Q678" s="291" t="str">
        <f>IFERROR(VLOOKUP(ROWS($Q$3:Q678),$M$3:$N$718,2,0),"")</f>
        <v>Základní poštovní služby poskytované na základě poštovní licence</v>
      </c>
      <c r="R678">
        <f>IF(ISNUMBER(SEARCH('1Př1'!$A$32,N678)),MAX($M$2:M677)+1,0)</f>
        <v>676</v>
      </c>
      <c r="S678" s="290" t="s">
        <v>2053</v>
      </c>
      <c r="T678" t="str">
        <f>IFERROR(VLOOKUP(ROWS($T$3:T678),$R$3:$S$718,2,0),"")</f>
        <v>Maloobchod s textilem</v>
      </c>
      <c r="U678">
        <f>IF(ISNUMBER(SEARCH('1Př1'!$A$33,N678)),MAX($M$2:M677)+1,0)</f>
        <v>676</v>
      </c>
      <c r="V678" s="290" t="s">
        <v>2053</v>
      </c>
      <c r="W678" t="str">
        <f>IFERROR(VLOOKUP(ROWS($W$3:W678),$U$3:$V$718,2,0),"")</f>
        <v>Maloobchod s textilem</v>
      </c>
      <c r="X678">
        <f>IF(ISNUMBER(SEARCH('1Př1'!$A$34,N678)),MAX($M$2:M677)+1,0)</f>
        <v>676</v>
      </c>
      <c r="Y678" s="290" t="s">
        <v>2053</v>
      </c>
      <c r="Z678" t="str">
        <f>IFERROR(VLOOKUP(ROWS($Z$3:Z678),$X$3:$Y$718,2,0),"")</f>
        <v>Maloobchod s textilem</v>
      </c>
    </row>
    <row r="679" spans="13:26" ht="25.5">
      <c r="M679" s="289">
        <f>IF(ISNUMBER(SEARCH(ZAKL_DATA!$B$29,N679)),MAX($M$2:M678)+1,0)</f>
        <v>677</v>
      </c>
      <c r="N679" s="482" t="s">
        <v>2109</v>
      </c>
      <c r="O679" s="482" t="s">
        <v>3559</v>
      </c>
      <c r="Q679" s="291" t="str">
        <f>IFERROR(VLOOKUP(ROWS($Q$3:Q679),$M$3:$N$718,2,0),"")</f>
        <v>Zastupování médií při prodeji reklamního času a prostoru</v>
      </c>
      <c r="R679">
        <f>IF(ISNUMBER(SEARCH('1Př1'!$A$32,N679)),MAX($M$2:M678)+1,0)</f>
        <v>677</v>
      </c>
      <c r="S679" s="290" t="s">
        <v>2054</v>
      </c>
      <c r="T679" t="str">
        <f>IFERROR(VLOOKUP(ROWS($T$3:T679),$R$3:$S$718,2,0),"")</f>
        <v>Maloobchod s železářským zbožím, barvami, sklem a potřebami pro kutily</v>
      </c>
      <c r="U679">
        <f>IF(ISNUMBER(SEARCH('1Př1'!$A$33,N679)),MAX($M$2:M678)+1,0)</f>
        <v>677</v>
      </c>
      <c r="V679" s="290" t="s">
        <v>2054</v>
      </c>
      <c r="W679" t="str">
        <f>IFERROR(VLOOKUP(ROWS($W$3:W679),$U$3:$V$718,2,0),"")</f>
        <v>Maloobchod s železářským zbožím, barvami, sklem a potřebami pro kutily</v>
      </c>
      <c r="X679">
        <f>IF(ISNUMBER(SEARCH('1Př1'!$A$34,N679)),MAX($M$2:M678)+1,0)</f>
        <v>677</v>
      </c>
      <c r="Y679" s="290" t="s">
        <v>2054</v>
      </c>
      <c r="Z679" t="str">
        <f>IFERROR(VLOOKUP(ROWS($Z$3:Z679),$X$3:$Y$718,2,0),"")</f>
        <v>Maloobchod s železářským zbožím, barvami, sklem a potřebami pro kutily</v>
      </c>
    </row>
    <row r="680" spans="13:26" ht="12.75">
      <c r="M680" s="289">
        <f>IF(ISNUMBER(SEARCH(ZAKL_DATA!$B$29,N680)),MAX($M$2:M679)+1,0)</f>
        <v>678</v>
      </c>
      <c r="N680" s="482" t="s">
        <v>3560</v>
      </c>
      <c r="O680" s="482" t="s">
        <v>3561</v>
      </c>
      <c r="Q680" s="291" t="str">
        <f>IFERROR(VLOOKUP(ROWS($Q$3:Q680),$M$3:$N$718,2,0),"")</f>
        <v>Zednické práce</v>
      </c>
      <c r="R680">
        <f>IF(ISNUMBER(SEARCH('1Př1'!$A$32,N680)),MAX($M$2:M679)+1,0)</f>
        <v>678</v>
      </c>
      <c r="S680" s="290" t="s">
        <v>2055</v>
      </c>
      <c r="T680" t="str">
        <f>IFERROR(VLOOKUP(ROWS($T$3:T680),$R$3:$S$718,2,0),"")</f>
        <v>Maloobchod s koberci, podlahovými krytinami a nástěnnými obklady</v>
      </c>
      <c r="U680">
        <f>IF(ISNUMBER(SEARCH('1Př1'!$A$33,N680)),MAX($M$2:M679)+1,0)</f>
        <v>678</v>
      </c>
      <c r="V680" s="290" t="s">
        <v>2055</v>
      </c>
      <c r="W680" t="str">
        <f>IFERROR(VLOOKUP(ROWS($W$3:W680),$U$3:$V$718,2,0),"")</f>
        <v>Maloobchod s koberci, podlahovými krytinami a nástěnnými obklady</v>
      </c>
      <c r="X680">
        <f>IF(ISNUMBER(SEARCH('1Př1'!$A$34,N680)),MAX($M$2:M679)+1,0)</f>
        <v>678</v>
      </c>
      <c r="Y680" s="290" t="s">
        <v>2055</v>
      </c>
      <c r="Z680" t="str">
        <f>IFERROR(VLOOKUP(ROWS($Z$3:Z680),$X$3:$Y$718,2,0),"")</f>
        <v>Maloobchod s koberci, podlahovými krytinami a nástěnnými obklady</v>
      </c>
    </row>
    <row r="681" spans="13:26" ht="12.75">
      <c r="M681" s="289">
        <f>IF(ISNUMBER(SEARCH(ZAKL_DATA!$B$29,N681)),MAX($M$2:M680)+1,0)</f>
        <v>679</v>
      </c>
      <c r="N681" s="482" t="s">
        <v>3562</v>
      </c>
      <c r="O681" s="482" t="s">
        <v>3563</v>
      </c>
      <c r="Q681" s="291" t="str">
        <f>IFERROR(VLOOKUP(ROWS($Q$3:Q681),$M$3:$N$718,2,0),"")</f>
        <v>Zpracování a konečná úprava dřeva</v>
      </c>
      <c r="R681">
        <f>IF(ISNUMBER(SEARCH('1Př1'!$A$32,N681)),MAX($M$2:M680)+1,0)</f>
        <v>679</v>
      </c>
      <c r="S681" s="290" t="s">
        <v>2056</v>
      </c>
      <c r="T681" t="str">
        <f>IFERROR(VLOOKUP(ROWS($T$3:T681),$R$3:$S$718,2,0),"")</f>
        <v>Maloobchod s elektrospotřebiči a elektronikou</v>
      </c>
      <c r="U681">
        <f>IF(ISNUMBER(SEARCH('1Př1'!$A$33,N681)),MAX($M$2:M680)+1,0)</f>
        <v>679</v>
      </c>
      <c r="V681" s="290" t="s">
        <v>2056</v>
      </c>
      <c r="W681" t="str">
        <f>IFERROR(VLOOKUP(ROWS($W$3:W681),$U$3:$V$718,2,0),"")</f>
        <v>Maloobchod s elektrospotřebiči a elektronikou</v>
      </c>
      <c r="X681">
        <f>IF(ISNUMBER(SEARCH('1Př1'!$A$34,N681)),MAX($M$2:M680)+1,0)</f>
        <v>679</v>
      </c>
      <c r="Y681" s="290" t="s">
        <v>2056</v>
      </c>
      <c r="Z681" t="str">
        <f>IFERROR(VLOOKUP(ROWS($Z$3:Z681),$X$3:$Y$718,2,0),"")</f>
        <v>Maloobchod s elektrospotřebiči a elektronikou</v>
      </c>
    </row>
    <row r="682" spans="13:26" ht="12.75">
      <c r="M682" s="289">
        <f>IF(ISNUMBER(SEARCH(ZAKL_DATA!$B$29,N682)),MAX($M$2:M681)+1,0)</f>
        <v>680</v>
      </c>
      <c r="N682" s="482" t="s">
        <v>3564</v>
      </c>
      <c r="O682" s="482" t="s">
        <v>3565</v>
      </c>
      <c r="Q682" s="291" t="str">
        <f>IFERROR(VLOOKUP(ROWS($Q$3:Q682),$M$3:$N$718,2,0),"")</f>
        <v>Zpracování a konečná úprava plastových výrobků</v>
      </c>
      <c r="R682">
        <f>IF(ISNUMBER(SEARCH('1Př1'!$A$32,N682)),MAX($M$2:M681)+1,0)</f>
        <v>680</v>
      </c>
      <c r="S682" s="290" t="s">
        <v>2057</v>
      </c>
      <c r="T682" t="str">
        <f>IFERROR(VLOOKUP(ROWS($T$3:T682),$R$3:$S$718,2,0),"")</f>
        <v>Maloobchod s nábytkem,svítidly a ost.výr.přev.pro dom.ve specializ.prod.</v>
      </c>
      <c r="U682">
        <f>IF(ISNUMBER(SEARCH('1Př1'!$A$33,N682)),MAX($M$2:M681)+1,0)</f>
        <v>680</v>
      </c>
      <c r="V682" s="290" t="s">
        <v>2057</v>
      </c>
      <c r="W682" t="str">
        <f>IFERROR(VLOOKUP(ROWS($W$3:W682),$U$3:$V$718,2,0),"")</f>
        <v>Maloobchod s nábytkem,svítidly a ost.výr.přev.pro dom.ve specializ.prod.</v>
      </c>
      <c r="X682">
        <f>IF(ISNUMBER(SEARCH('1Př1'!$A$34,N682)),MAX($M$2:M681)+1,0)</f>
        <v>680</v>
      </c>
      <c r="Y682" s="290" t="s">
        <v>2057</v>
      </c>
      <c r="Z682" t="str">
        <f>IFERROR(VLOOKUP(ROWS($Z$3:Z682),$X$3:$Y$718,2,0),"")</f>
        <v>Maloobchod s nábytkem,svítidly a ost.výr.přev.pro dom.ve specializ.prod.</v>
      </c>
    </row>
    <row r="683" spans="13:26" ht="12.75">
      <c r="M683" s="289">
        <f>IF(ISNUMBER(SEARCH(ZAKL_DATA!$B$29,N683)),MAX($M$2:M682)+1,0)</f>
        <v>681</v>
      </c>
      <c r="N683" s="482" t="s">
        <v>1768</v>
      </c>
      <c r="O683" s="482" t="s">
        <v>3566</v>
      </c>
      <c r="Q683" s="291" t="str">
        <f>IFERROR(VLOOKUP(ROWS($Q$3:Q683),$M$3:$N$718,2,0),"")</f>
        <v>Zpracování a konzervování brambor</v>
      </c>
      <c r="R683">
        <f>IF(ISNUMBER(SEARCH('1Př1'!$A$32,N683)),MAX($M$2:M682)+1,0)</f>
        <v>681</v>
      </c>
      <c r="S683" s="290" t="s">
        <v>2058</v>
      </c>
      <c r="T683" t="str">
        <f>IFERROR(VLOOKUP(ROWS($T$3:T683),$R$3:$S$718,2,0),"")</f>
        <v>Maloobchod s knihami</v>
      </c>
      <c r="U683">
        <f>IF(ISNUMBER(SEARCH('1Př1'!$A$33,N683)),MAX($M$2:M682)+1,0)</f>
        <v>681</v>
      </c>
      <c r="V683" s="290" t="s">
        <v>2058</v>
      </c>
      <c r="W683" t="str">
        <f>IFERROR(VLOOKUP(ROWS($W$3:W683),$U$3:$V$718,2,0),"")</f>
        <v>Maloobchod s knihami</v>
      </c>
      <c r="X683">
        <f>IF(ISNUMBER(SEARCH('1Př1'!$A$34,N683)),MAX($M$2:M682)+1,0)</f>
        <v>681</v>
      </c>
      <c r="Y683" s="290" t="s">
        <v>2058</v>
      </c>
      <c r="Z683" t="str">
        <f>IFERROR(VLOOKUP(ROWS($Z$3:Z683),$X$3:$Y$718,2,0),"")</f>
        <v>Maloobchod s knihami</v>
      </c>
    </row>
    <row r="684" spans="13:26" ht="12.75">
      <c r="M684" s="289">
        <f>IF(ISNUMBER(SEARCH(ZAKL_DATA!$B$29,N684)),MAX($M$2:M683)+1,0)</f>
        <v>682</v>
      </c>
      <c r="N684" s="482" t="s">
        <v>1766</v>
      </c>
      <c r="O684" s="482" t="s">
        <v>3567</v>
      </c>
      <c r="Q684" s="291" t="str">
        <f>IFERROR(VLOOKUP(ROWS($Q$3:Q684),$M$3:$N$718,2,0),"")</f>
        <v>Zpracování a konzervování drůbežího masa</v>
      </c>
      <c r="R684">
        <f>IF(ISNUMBER(SEARCH('1Př1'!$A$32,N684)),MAX($M$2:M683)+1,0)</f>
        <v>682</v>
      </c>
      <c r="S684" s="290" t="s">
        <v>2059</v>
      </c>
      <c r="T684" t="str">
        <f>IFERROR(VLOOKUP(ROWS($T$3:T684),$R$3:$S$718,2,0),"")</f>
        <v>Maloobchod s novinami, časopisy a papírnickým zbožím</v>
      </c>
      <c r="U684">
        <f>IF(ISNUMBER(SEARCH('1Př1'!$A$33,N684)),MAX($M$2:M683)+1,0)</f>
        <v>682</v>
      </c>
      <c r="V684" s="290" t="s">
        <v>2059</v>
      </c>
      <c r="W684" t="str">
        <f>IFERROR(VLOOKUP(ROWS($W$3:W684),$U$3:$V$718,2,0),"")</f>
        <v>Maloobchod s novinami, časopisy a papírnickým zbožím</v>
      </c>
      <c r="X684">
        <f>IF(ISNUMBER(SEARCH('1Př1'!$A$34,N684)),MAX($M$2:M683)+1,0)</f>
        <v>682</v>
      </c>
      <c r="Y684" s="290" t="s">
        <v>2059</v>
      </c>
      <c r="Z684" t="str">
        <f>IFERROR(VLOOKUP(ROWS($Z$3:Z684),$X$3:$Y$718,2,0),"")</f>
        <v>Maloobchod s novinami, časopisy a papírnickým zbožím</v>
      </c>
    </row>
    <row r="685" spans="13:26" ht="25.5">
      <c r="M685" s="289">
        <f>IF(ISNUMBER(SEARCH(ZAKL_DATA!$B$29,N685)),MAX($M$2:M684)+1,0)</f>
        <v>683</v>
      </c>
      <c r="N685" s="482" t="s">
        <v>3568</v>
      </c>
      <c r="O685" s="482" t="s">
        <v>3569</v>
      </c>
      <c r="Q685" s="291" t="str">
        <f>IFERROR(VLOOKUP(ROWS($Q$3:Q685),$M$3:$N$718,2,0),"")</f>
        <v>Zpracování a konzervování masa, kromě drůbežího masa</v>
      </c>
      <c r="R685">
        <f>IF(ISNUMBER(SEARCH('1Př1'!$A$32,N685)),MAX($M$2:M684)+1,0)</f>
        <v>683</v>
      </c>
      <c r="S685" s="290" t="s">
        <v>2060</v>
      </c>
      <c r="T685" t="str">
        <f>IFERROR(VLOOKUP(ROWS($T$3:T685),$R$3:$S$718,2,0),"")</f>
        <v>Maloobchod s audio- a videozáznamy</v>
      </c>
      <c r="U685">
        <f>IF(ISNUMBER(SEARCH('1Př1'!$A$33,N685)),MAX($M$2:M684)+1,0)</f>
        <v>683</v>
      </c>
      <c r="V685" s="290" t="s">
        <v>2060</v>
      </c>
      <c r="W685" t="str">
        <f>IFERROR(VLOOKUP(ROWS($W$3:W685),$U$3:$V$718,2,0),"")</f>
        <v>Maloobchod s audio- a videozáznamy</v>
      </c>
      <c r="X685">
        <f>IF(ISNUMBER(SEARCH('1Př1'!$A$34,N685)),MAX($M$2:M684)+1,0)</f>
        <v>683</v>
      </c>
      <c r="Y685" s="290" t="s">
        <v>2060</v>
      </c>
      <c r="Z685" t="str">
        <f>IFERROR(VLOOKUP(ROWS($Z$3:Z685),$X$3:$Y$718,2,0),"")</f>
        <v>Maloobchod s audio- a videozáznamy</v>
      </c>
    </row>
    <row r="686" spans="13:26" ht="12.75">
      <c r="M686" s="289">
        <f>IF(ISNUMBER(SEARCH(ZAKL_DATA!$B$29,N686)),MAX($M$2:M685)+1,0)</f>
        <v>684</v>
      </c>
      <c r="N686" s="482" t="s">
        <v>1127</v>
      </c>
      <c r="O686" s="482" t="s">
        <v>3570</v>
      </c>
      <c r="Q686" s="291" t="str">
        <f>IFERROR(VLOOKUP(ROWS($Q$3:Q686),$M$3:$N$718,2,0),"")</f>
        <v>Zpracování a konzervování ryb, korýšů a měkkýšů</v>
      </c>
      <c r="R686">
        <f>IF(ISNUMBER(SEARCH('1Př1'!$A$32,N686)),MAX($M$2:M685)+1,0)</f>
        <v>684</v>
      </c>
      <c r="S686" s="290" t="s">
        <v>2061</v>
      </c>
      <c r="T686" t="str">
        <f>IFERROR(VLOOKUP(ROWS($T$3:T686),$R$3:$S$718,2,0),"")</f>
        <v>Maloobchod se sportovním vybavením</v>
      </c>
      <c r="U686">
        <f>IF(ISNUMBER(SEARCH('1Př1'!$A$33,N686)),MAX($M$2:M685)+1,0)</f>
        <v>684</v>
      </c>
      <c r="V686" s="290" t="s">
        <v>2061</v>
      </c>
      <c r="W686" t="str">
        <f>IFERROR(VLOOKUP(ROWS($W$3:W686),$U$3:$V$718,2,0),"")</f>
        <v>Maloobchod se sportovním vybavením</v>
      </c>
      <c r="X686">
        <f>IF(ISNUMBER(SEARCH('1Př1'!$A$34,N686)),MAX($M$2:M685)+1,0)</f>
        <v>684</v>
      </c>
      <c r="Y686" s="290" t="s">
        <v>2061</v>
      </c>
      <c r="Z686" t="str">
        <f>IFERROR(VLOOKUP(ROWS($Z$3:Z686),$X$3:$Y$718,2,0),"")</f>
        <v>Maloobchod se sportovním vybavením</v>
      </c>
    </row>
    <row r="687" spans="13:26" ht="12.75">
      <c r="M687" s="289">
        <f>IF(ISNUMBER(SEARCH(ZAKL_DATA!$B$29,N687)),MAX($M$2:M686)+1,0)</f>
        <v>685</v>
      </c>
      <c r="N687" s="482" t="s">
        <v>1782</v>
      </c>
      <c r="O687" s="482" t="s">
        <v>3571</v>
      </c>
      <c r="Q687" s="291" t="str">
        <f>IFERROR(VLOOKUP(ROWS($Q$3:Q687),$M$3:$N$718,2,0),"")</f>
        <v>Zpracování čaje a kávy</v>
      </c>
      <c r="R687">
        <f>IF(ISNUMBER(SEARCH('1Př1'!$A$32,N687)),MAX($M$2:M686)+1,0)</f>
        <v>685</v>
      </c>
      <c r="S687" s="290" t="s">
        <v>2062</v>
      </c>
      <c r="T687" t="str">
        <f>IFERROR(VLOOKUP(ROWS($T$3:T687),$R$3:$S$718,2,0),"")</f>
        <v>Maloobchod s hrami a hračkami</v>
      </c>
      <c r="U687">
        <f>IF(ISNUMBER(SEARCH('1Př1'!$A$33,N687)),MAX($M$2:M686)+1,0)</f>
        <v>685</v>
      </c>
      <c r="V687" s="290" t="s">
        <v>2062</v>
      </c>
      <c r="W687" t="str">
        <f>IFERROR(VLOOKUP(ROWS($W$3:W687),$U$3:$V$718,2,0),"")</f>
        <v>Maloobchod s hrami a hračkami</v>
      </c>
      <c r="X687">
        <f>IF(ISNUMBER(SEARCH('1Př1'!$A$34,N687)),MAX($M$2:M686)+1,0)</f>
        <v>685</v>
      </c>
      <c r="Y687" s="290" t="s">
        <v>2062</v>
      </c>
      <c r="Z687" t="str">
        <f>IFERROR(VLOOKUP(ROWS($Z$3:Z687),$X$3:$Y$718,2,0),"")</f>
        <v>Maloobchod s hrami a hračkami</v>
      </c>
    </row>
    <row r="688" spans="13:26" ht="12.75">
      <c r="M688" s="289">
        <f>IF(ISNUMBER(SEARCH(ZAKL_DATA!$B$29,N688)),MAX($M$2:M687)+1,0)</f>
        <v>686</v>
      </c>
      <c r="N688" s="482" t="s">
        <v>1882</v>
      </c>
      <c r="O688" s="482" t="s">
        <v>3572</v>
      </c>
      <c r="Q688" s="291" t="str">
        <f>IFERROR(VLOOKUP(ROWS($Q$3:Q688),$M$3:$N$718,2,0),"")</f>
        <v>Zpracování jaderného paliva</v>
      </c>
      <c r="R688">
        <f>IF(ISNUMBER(SEARCH('1Př1'!$A$32,N688)),MAX($M$2:M687)+1,0)</f>
        <v>686</v>
      </c>
      <c r="S688" s="290" t="s">
        <v>2063</v>
      </c>
      <c r="T688" t="str">
        <f>IFERROR(VLOOKUP(ROWS($T$3:T688),$R$3:$S$718,2,0),"")</f>
        <v>Maloobchod s oděvy</v>
      </c>
      <c r="U688">
        <f>IF(ISNUMBER(SEARCH('1Př1'!$A$33,N688)),MAX($M$2:M687)+1,0)</f>
        <v>686</v>
      </c>
      <c r="V688" s="290" t="s">
        <v>2063</v>
      </c>
      <c r="W688" t="str">
        <f>IFERROR(VLOOKUP(ROWS($W$3:W688),$U$3:$V$718,2,0),"")</f>
        <v>Maloobchod s oděvy</v>
      </c>
      <c r="X688">
        <f>IF(ISNUMBER(SEARCH('1Př1'!$A$34,N688)),MAX($M$2:M687)+1,0)</f>
        <v>686</v>
      </c>
      <c r="Y688" s="290" t="s">
        <v>2063</v>
      </c>
      <c r="Z688" t="str">
        <f>IFERROR(VLOOKUP(ROWS($Z$3:Z688),$X$3:$Y$718,2,0),"")</f>
        <v>Maloobchod s oděvy</v>
      </c>
    </row>
    <row r="689" spans="13:26" ht="12.75">
      <c r="M689" s="289">
        <f>IF(ISNUMBER(SEARCH(ZAKL_DATA!$B$29,N689)),MAX($M$2:M688)+1,0)</f>
        <v>687</v>
      </c>
      <c r="N689" s="482" t="s">
        <v>3573</v>
      </c>
      <c r="O689" s="482" t="s">
        <v>3574</v>
      </c>
      <c r="Q689" s="291" t="str">
        <f>IFERROR(VLOOKUP(ROWS($Q$3:Q689),$M$3:$N$718,2,0),"")</f>
        <v>Zpracování odpadů k energetickému využití</v>
      </c>
      <c r="R689">
        <f>IF(ISNUMBER(SEARCH('1Př1'!$A$32,N689)),MAX($M$2:M688)+1,0)</f>
        <v>687</v>
      </c>
      <c r="S689" s="290" t="s">
        <v>2064</v>
      </c>
      <c r="T689" t="str">
        <f>IFERROR(VLOOKUP(ROWS($T$3:T689),$R$3:$S$718,2,0),"")</f>
        <v>Maloobchod s obuví a koženými výrobky</v>
      </c>
      <c r="U689">
        <f>IF(ISNUMBER(SEARCH('1Př1'!$A$33,N689)),MAX($M$2:M688)+1,0)</f>
        <v>687</v>
      </c>
      <c r="V689" s="290" t="s">
        <v>2064</v>
      </c>
      <c r="W689" t="str">
        <f>IFERROR(VLOOKUP(ROWS($W$3:W689),$U$3:$V$718,2,0),"")</f>
        <v>Maloobchod s obuví a koženými výrobky</v>
      </c>
      <c r="X689">
        <f>IF(ISNUMBER(SEARCH('1Př1'!$A$34,N689)),MAX($M$2:M688)+1,0)</f>
        <v>687</v>
      </c>
      <c r="Y689" s="290" t="s">
        <v>2064</v>
      </c>
      <c r="Z689" t="str">
        <f>IFERROR(VLOOKUP(ROWS($Z$3:Z689),$X$3:$Y$718,2,0),"")</f>
        <v>Maloobchod s obuví a koženými výrobky</v>
      </c>
    </row>
    <row r="690" spans="13:26" ht="12.75">
      <c r="M690" s="289">
        <f>IF(ISNUMBER(SEARCH(ZAKL_DATA!$B$29,N690)),MAX($M$2:M689)+1,0)</f>
        <v>688</v>
      </c>
      <c r="N690" s="482" t="s">
        <v>3575</v>
      </c>
      <c r="O690" s="482" t="s">
        <v>3576</v>
      </c>
      <c r="Q690" s="291" t="str">
        <f>IFERROR(VLOOKUP(ROWS($Q$3:Q690),$M$3:$N$718,2,0),"")</f>
        <v>Zpracování odpadů k ostatnímu využití</v>
      </c>
      <c r="R690">
        <f>IF(ISNUMBER(SEARCH('1Př1'!$A$32,N690)),MAX($M$2:M689)+1,0)</f>
        <v>688</v>
      </c>
      <c r="S690" s="290" t="s">
        <v>2065</v>
      </c>
      <c r="T690" t="str">
        <f>IFERROR(VLOOKUP(ROWS($T$3:T690),$R$3:$S$718,2,0),"")</f>
        <v>Maloobchod s farmaceutickými přípravky</v>
      </c>
      <c r="U690">
        <f>IF(ISNUMBER(SEARCH('1Př1'!$A$33,N690)),MAX($M$2:M689)+1,0)</f>
        <v>688</v>
      </c>
      <c r="V690" s="290" t="s">
        <v>2065</v>
      </c>
      <c r="W690" t="str">
        <f>IFERROR(VLOOKUP(ROWS($W$3:W690),$U$3:$V$718,2,0),"")</f>
        <v>Maloobchod s farmaceutickými přípravky</v>
      </c>
      <c r="X690">
        <f>IF(ISNUMBER(SEARCH('1Př1'!$A$34,N690)),MAX($M$2:M689)+1,0)</f>
        <v>688</v>
      </c>
      <c r="Y690" s="290" t="s">
        <v>2065</v>
      </c>
      <c r="Z690" t="str">
        <f>IFERROR(VLOOKUP(ROWS($Z$3:Z690),$X$3:$Y$718,2,0),"")</f>
        <v>Maloobchod s farmaceutickými přípravky</v>
      </c>
    </row>
    <row r="691" spans="13:26" ht="25.5">
      <c r="M691" s="289">
        <f>IF(ISNUMBER(SEARCH(ZAKL_DATA!$B$29,N691)),MAX($M$2:M690)+1,0)</f>
        <v>689</v>
      </c>
      <c r="N691" s="482" t="s">
        <v>3577</v>
      </c>
      <c r="O691" s="482" t="s">
        <v>3578</v>
      </c>
      <c r="Q691" s="291" t="str">
        <f>IFERROR(VLOOKUP(ROWS($Q$3:Q691),$M$3:$N$718,2,0),"")</f>
        <v>Zpracování odpadů k získání materiálů k dalšímu využití</v>
      </c>
      <c r="R691">
        <f>IF(ISNUMBER(SEARCH('1Př1'!$A$32,N691)),MAX($M$2:M690)+1,0)</f>
        <v>689</v>
      </c>
      <c r="S691" s="290" t="s">
        <v>2066</v>
      </c>
      <c r="T691" t="str">
        <f>IFERROR(VLOOKUP(ROWS($T$3:T691),$R$3:$S$718,2,0),"")</f>
        <v>Maloobchod se zdravotnickými a ortopedickými výrobky</v>
      </c>
      <c r="U691">
        <f>IF(ISNUMBER(SEARCH('1Př1'!$A$33,N691)),MAX($M$2:M690)+1,0)</f>
        <v>689</v>
      </c>
      <c r="V691" s="290" t="s">
        <v>2066</v>
      </c>
      <c r="W691" t="str">
        <f>IFERROR(VLOOKUP(ROWS($W$3:W691),$U$3:$V$718,2,0),"")</f>
        <v>Maloobchod se zdravotnickými a ortopedickými výrobky</v>
      </c>
      <c r="X691">
        <f>IF(ISNUMBER(SEARCH('1Př1'!$A$34,N691)),MAX($M$2:M690)+1,0)</f>
        <v>689</v>
      </c>
      <c r="Y691" s="290" t="s">
        <v>2066</v>
      </c>
      <c r="Z691" t="str">
        <f>IFERROR(VLOOKUP(ROWS($Z$3:Z691),$X$3:$Y$718,2,0),"")</f>
        <v>Maloobchod se zdravotnickými a ortopedickými výrobky</v>
      </c>
    </row>
    <row r="692" spans="13:26" ht="12.75">
      <c r="M692" s="289">
        <f>IF(ISNUMBER(SEARCH(ZAKL_DATA!$B$29,N692)),MAX($M$2:M691)+1,0)</f>
        <v>690</v>
      </c>
      <c r="N692" s="482" t="s">
        <v>3579</v>
      </c>
      <c r="O692" s="482" t="s">
        <v>3580</v>
      </c>
      <c r="Q692" s="291" t="str">
        <f>IFERROR(VLOOKUP(ROWS($Q$3:Q692),$M$3:$N$718,2,0),"")</f>
        <v>Zprostředkování v oblasti nákladní dopravy</v>
      </c>
      <c r="R692">
        <f>IF(ISNUMBER(SEARCH('1Př1'!$A$32,N692)),MAX($M$2:M691)+1,0)</f>
        <v>690</v>
      </c>
      <c r="S692" s="290" t="s">
        <v>2067</v>
      </c>
      <c r="T692" t="str">
        <f>IFERROR(VLOOKUP(ROWS($T$3:T692),$R$3:$S$718,2,0),"")</f>
        <v>Maloobchod s kosmetickými a toaletními výrobky</v>
      </c>
      <c r="U692">
        <f>IF(ISNUMBER(SEARCH('1Př1'!$A$33,N692)),MAX($M$2:M691)+1,0)</f>
        <v>690</v>
      </c>
      <c r="V692" s="290" t="s">
        <v>2067</v>
      </c>
      <c r="W692" t="str">
        <f>IFERROR(VLOOKUP(ROWS($W$3:W692),$U$3:$V$718,2,0),"")</f>
        <v>Maloobchod s kosmetickými a toaletními výrobky</v>
      </c>
      <c r="X692">
        <f>IF(ISNUMBER(SEARCH('1Př1'!$A$34,N692)),MAX($M$2:M691)+1,0)</f>
        <v>690</v>
      </c>
      <c r="Y692" s="290" t="s">
        <v>2067</v>
      </c>
      <c r="Z692" t="str">
        <f>IFERROR(VLOOKUP(ROWS($Z$3:Z692),$X$3:$Y$718,2,0),"")</f>
        <v>Maloobchod s kosmetickými a toaletními výrobky</v>
      </c>
    </row>
    <row r="693" spans="13:26" ht="12.75">
      <c r="M693" s="289">
        <f>IF(ISNUMBER(SEARCH(ZAKL_DATA!$B$29,N693)),MAX($M$2:M692)+1,0)</f>
        <v>691</v>
      </c>
      <c r="N693" s="482" t="s">
        <v>3581</v>
      </c>
      <c r="O693" s="482" t="s">
        <v>3582</v>
      </c>
      <c r="Q693" s="291" t="str">
        <f>IFERROR(VLOOKUP(ROWS($Q$3:Q693),$M$3:$N$718,2,0),"")</f>
        <v>Zprostředkování v oblasti nemovitostí</v>
      </c>
      <c r="R693">
        <f>IF(ISNUMBER(SEARCH('1Př1'!$A$32,N693)),MAX($M$2:M692)+1,0)</f>
        <v>691</v>
      </c>
      <c r="S693" s="290" t="s">
        <v>2068</v>
      </c>
      <c r="T693" t="str">
        <f>IFERROR(VLOOKUP(ROWS($T$3:T693),$R$3:$S$718,2,0),"")</f>
        <v>Maloob.s květinami,rostl.,osivy,hnoj.,zvířaty pro záj.chov a krmivy pro ně</v>
      </c>
      <c r="U693">
        <f>IF(ISNUMBER(SEARCH('1Př1'!$A$33,N693)),MAX($M$2:M692)+1,0)</f>
        <v>691</v>
      </c>
      <c r="V693" s="290" t="s">
        <v>2068</v>
      </c>
      <c r="W693" t="str">
        <f>IFERROR(VLOOKUP(ROWS($W$3:W693),$U$3:$V$718,2,0),"")</f>
        <v>Maloob.s květinami,rostl.,osivy,hnoj.,zvířaty pro záj.chov a krmivy pro ně</v>
      </c>
      <c r="X693">
        <f>IF(ISNUMBER(SEARCH('1Př1'!$A$34,N693)),MAX($M$2:M692)+1,0)</f>
        <v>691</v>
      </c>
      <c r="Y693" s="290" t="s">
        <v>2068</v>
      </c>
      <c r="Z693" t="str">
        <f>IFERROR(VLOOKUP(ROWS($Z$3:Z693),$X$3:$Y$718,2,0),"")</f>
        <v>Maloob.s květinami,rostl.,osivy,hnoj.,zvířaty pro záj.chov a krmivy pro ně</v>
      </c>
    </row>
    <row r="694" spans="13:26" ht="25.5">
      <c r="M694" s="289">
        <f>IF(ISNUMBER(SEARCH(ZAKL_DATA!$B$29,N694)),MAX($M$2:M693)+1,0)</f>
        <v>692</v>
      </c>
      <c r="N694" s="482" t="s">
        <v>3583</v>
      </c>
      <c r="O694" s="482" t="s">
        <v>3584</v>
      </c>
      <c r="Q694" s="291" t="str">
        <f>IFERROR(VLOOKUP(ROWS($Q$3:Q694),$M$3:$N$718,2,0),"")</f>
        <v>Zprostředkování v oblasti nespecializovaného maloobchodu</v>
      </c>
      <c r="R694">
        <f>IF(ISNUMBER(SEARCH('1Př1'!$A$32,N694)),MAX($M$2:M693)+1,0)</f>
        <v>692</v>
      </c>
      <c r="S694" s="290" t="s">
        <v>2069</v>
      </c>
      <c r="T694" t="str">
        <f>IFERROR(VLOOKUP(ROWS($T$3:T694),$R$3:$S$718,2,0),"")</f>
        <v>Maloobchod s hodinami, hodinkami a klenoty</v>
      </c>
      <c r="U694">
        <f>IF(ISNUMBER(SEARCH('1Př1'!$A$33,N694)),MAX($M$2:M693)+1,0)</f>
        <v>692</v>
      </c>
      <c r="V694" s="290" t="s">
        <v>2069</v>
      </c>
      <c r="W694" t="str">
        <f>IFERROR(VLOOKUP(ROWS($W$3:W694),$U$3:$V$718,2,0),"")</f>
        <v>Maloobchod s hodinami, hodinkami a klenoty</v>
      </c>
      <c r="X694">
        <f>IF(ISNUMBER(SEARCH('1Př1'!$A$34,N694)),MAX($M$2:M693)+1,0)</f>
        <v>692</v>
      </c>
      <c r="Y694" s="290" t="s">
        <v>2069</v>
      </c>
      <c r="Z694" t="str">
        <f>IFERROR(VLOOKUP(ROWS($Z$3:Z694),$X$3:$Y$718,2,0),"")</f>
        <v>Maloobchod s hodinami, hodinkami a klenoty</v>
      </c>
    </row>
    <row r="695" spans="13:26" ht="25.5">
      <c r="M695" s="289">
        <f>IF(ISNUMBER(SEARCH(ZAKL_DATA!$B$29,N695)),MAX($M$2:M694)+1,0)</f>
        <v>693</v>
      </c>
      <c r="N695" s="482" t="s">
        <v>3585</v>
      </c>
      <c r="O695" s="484" t="s">
        <v>3586</v>
      </c>
      <c r="Q695" s="291" t="str">
        <f>IFERROR(VLOOKUP(ROWS($Q$3:Q695),$M$3:$N$718,2,0),"")</f>
        <v>Zprostředkování v oblasti nespecializovaného velkoobchodu za provizi</v>
      </c>
      <c r="R695">
        <f>IF(ISNUMBER(SEARCH('1Př1'!$A$32,N695)),MAX($M$2:M694)+1,0)</f>
        <v>693</v>
      </c>
      <c r="S695" s="290" t="s">
        <v>2070</v>
      </c>
      <c r="T695" t="str">
        <f>IFERROR(VLOOKUP(ROWS($T$3:T695),$R$3:$S$718,2,0),"")</f>
        <v>Ostatní maloobchod s novým zbožím ve specializovaných prodejnách</v>
      </c>
      <c r="U695">
        <f>IF(ISNUMBER(SEARCH('1Př1'!$A$33,N695)),MAX($M$2:M694)+1,0)</f>
        <v>693</v>
      </c>
      <c r="V695" s="290" t="s">
        <v>2070</v>
      </c>
      <c r="W695" t="str">
        <f>IFERROR(VLOOKUP(ROWS($W$3:W695),$U$3:$V$718,2,0),"")</f>
        <v>Ostatní maloobchod s novým zbožím ve specializovaných prodejnách</v>
      </c>
      <c r="X695">
        <f>IF(ISNUMBER(SEARCH('1Př1'!$A$34,N695)),MAX($M$2:M694)+1,0)</f>
        <v>693</v>
      </c>
      <c r="Y695" s="290" t="s">
        <v>2070</v>
      </c>
      <c r="Z695" t="str">
        <f>IFERROR(VLOOKUP(ROWS($Z$3:Z695),$X$3:$Y$718,2,0),"")</f>
        <v>Ostatní maloobchod s novým zbožím ve specializovaných prodejnách</v>
      </c>
    </row>
    <row r="696" spans="13:26" ht="38.25">
      <c r="M696" s="289">
        <f>IF(ISNUMBER(SEARCH(ZAKL_DATA!$B$29,N696)),MAX($M$2:M695)+1,0)</f>
        <v>694</v>
      </c>
      <c r="N696" s="482" t="s">
        <v>3587</v>
      </c>
      <c r="O696" s="482" t="s">
        <v>3588</v>
      </c>
      <c r="Q696" s="291" t="str">
        <f>IFERROR(VLOOKUP(ROWS($Q$3:Q696),$M$3:$N$718,2,0),"")</f>
        <v>Zprostředkování v oblasti oprav a údržby počítačů, výrobků pro osobní potřebu a převážně pro domácnost a motorových vozidel a motocyklů</v>
      </c>
      <c r="R696">
        <f>IF(ISNUMBER(SEARCH('1Př1'!$A$32,N696)),MAX($M$2:M695)+1,0)</f>
        <v>694</v>
      </c>
      <c r="S696" s="290" t="s">
        <v>2071</v>
      </c>
      <c r="T696" t="str">
        <f>IFERROR(VLOOKUP(ROWS($T$3:T696),$R$3:$S$718,2,0),"")</f>
        <v>Maloobchod s použitým zbožím v prodejnách</v>
      </c>
      <c r="U696">
        <f>IF(ISNUMBER(SEARCH('1Př1'!$A$33,N696)),MAX($M$2:M695)+1,0)</f>
        <v>694</v>
      </c>
      <c r="V696" s="290" t="s">
        <v>2071</v>
      </c>
      <c r="W696" t="str">
        <f>IFERROR(VLOOKUP(ROWS($W$3:W696),$U$3:$V$718,2,0),"")</f>
        <v>Maloobchod s použitým zbožím v prodejnách</v>
      </c>
      <c r="X696">
        <f>IF(ISNUMBER(SEARCH('1Př1'!$A$34,N696)),MAX($M$2:M695)+1,0)</f>
        <v>694</v>
      </c>
      <c r="Y696" s="290" t="s">
        <v>2071</v>
      </c>
      <c r="Z696" t="str">
        <f>IFERROR(VLOOKUP(ROWS($Z$3:Z696),$X$3:$Y$718,2,0),"")</f>
        <v>Maloobchod s použitým zbožím v prodejnách</v>
      </c>
    </row>
    <row r="697" spans="13:26" ht="12.75">
      <c r="M697" s="289">
        <f>IF(ISNUMBER(SEARCH(ZAKL_DATA!$B$29,N697)),MAX($M$2:M696)+1,0)</f>
        <v>695</v>
      </c>
      <c r="N697" s="482" t="s">
        <v>3589</v>
      </c>
      <c r="O697" s="482" t="s">
        <v>3590</v>
      </c>
      <c r="Q697" s="291" t="str">
        <f>IFERROR(VLOOKUP(ROWS($Q$3:Q697),$M$3:$N$718,2,0),"")</f>
        <v>Zprostředkování v oblasti osobní dopravy</v>
      </c>
      <c r="R697">
        <f>IF(ISNUMBER(SEARCH('1Př1'!$A$32,N697)),MAX($M$2:M696)+1,0)</f>
        <v>695</v>
      </c>
      <c r="S697" s="290" t="s">
        <v>2072</v>
      </c>
      <c r="T697" t="str">
        <f>IFERROR(VLOOKUP(ROWS($T$3:T697),$R$3:$S$718,2,0),"")</f>
        <v>Maloobchod s potravinami,nápoji a tabák.výrobky ve stáncích a na trzích</v>
      </c>
      <c r="U697">
        <f>IF(ISNUMBER(SEARCH('1Př1'!$A$33,N697)),MAX($M$2:M696)+1,0)</f>
        <v>695</v>
      </c>
      <c r="V697" s="290" t="s">
        <v>2072</v>
      </c>
      <c r="W697" t="str">
        <f>IFERROR(VLOOKUP(ROWS($W$3:W697),$U$3:$V$718,2,0),"")</f>
        <v>Maloobchod s potravinami,nápoji a tabák.výrobky ve stáncích a na trzích</v>
      </c>
      <c r="X697">
        <f>IF(ISNUMBER(SEARCH('1Př1'!$A$34,N697)),MAX($M$2:M696)+1,0)</f>
        <v>695</v>
      </c>
      <c r="Y697" s="290" t="s">
        <v>2072</v>
      </c>
      <c r="Z697" t="str">
        <f>IFERROR(VLOOKUP(ROWS($Z$3:Z697),$X$3:$Y$718,2,0),"")</f>
        <v>Maloobchod s potravinami,nápoji a tabák.výrobky ve stáncích a na trzích</v>
      </c>
    </row>
    <row r="698" spans="13:26" ht="12.75">
      <c r="M698" s="289">
        <f>IF(ISNUMBER(SEARCH(ZAKL_DATA!$B$29,N698)),MAX($M$2:M697)+1,0)</f>
        <v>696</v>
      </c>
      <c r="N698" s="482" t="s">
        <v>3591</v>
      </c>
      <c r="O698" s="482" t="s">
        <v>3592</v>
      </c>
      <c r="Q698" s="291" t="str">
        <f>IFERROR(VLOOKUP(ROWS($Q$3:Q698),$M$3:$N$718,2,0),"")</f>
        <v>Zprostředkování v oblasti osobních služeb</v>
      </c>
      <c r="R698">
        <f>IF(ISNUMBER(SEARCH('1Př1'!$A$32,N698)),MAX($M$2:M697)+1,0)</f>
        <v>696</v>
      </c>
      <c r="S698" s="290" t="s">
        <v>2073</v>
      </c>
      <c r="T698" t="str">
        <f>IFERROR(VLOOKUP(ROWS($T$3:T698),$R$3:$S$718,2,0),"")</f>
        <v>Maloobchod s textilem, oděvy a obuví ve stáncích a na trzích</v>
      </c>
      <c r="U698">
        <f>IF(ISNUMBER(SEARCH('1Př1'!$A$33,N698)),MAX($M$2:M697)+1,0)</f>
        <v>696</v>
      </c>
      <c r="V698" s="290" t="s">
        <v>2073</v>
      </c>
      <c r="W698" t="str">
        <f>IFERROR(VLOOKUP(ROWS($W$3:W698),$U$3:$V$718,2,0),"")</f>
        <v>Maloobchod s textilem, oděvy a obuví ve stáncích a na trzích</v>
      </c>
      <c r="X698">
        <f>IF(ISNUMBER(SEARCH('1Př1'!$A$34,N698)),MAX($M$2:M697)+1,0)</f>
        <v>696</v>
      </c>
      <c r="Y698" s="290" t="s">
        <v>2073</v>
      </c>
      <c r="Z698" t="str">
        <f>IFERROR(VLOOKUP(ROWS($Z$3:Z698),$X$3:$Y$718,2,0),"")</f>
        <v>Maloobchod s textilem, oděvy a obuví ve stáncích a na trzích</v>
      </c>
    </row>
    <row r="699" spans="13:26" ht="25.5">
      <c r="M699" s="289">
        <f>IF(ISNUMBER(SEARCH(ZAKL_DATA!$B$29,N699)),MAX($M$2:M698)+1,0)</f>
        <v>697</v>
      </c>
      <c r="N699" s="482" t="s">
        <v>3593</v>
      </c>
      <c r="O699" s="482" t="s">
        <v>3594</v>
      </c>
      <c r="Q699" s="291" t="str">
        <f>IFERROR(VLOOKUP(ROWS($Q$3:Q699),$M$3:$N$718,2,0),"")</f>
        <v>Zprostředkování v oblasti pobytových služeb sociální péče</v>
      </c>
      <c r="R699">
        <f>IF(ISNUMBER(SEARCH('1Př1'!$A$32,N699)),MAX($M$2:M698)+1,0)</f>
        <v>697</v>
      </c>
      <c r="S699" s="290" t="s">
        <v>2074</v>
      </c>
      <c r="T699" t="str">
        <f>IFERROR(VLOOKUP(ROWS($T$3:T699),$R$3:$S$718,2,0),"")</f>
        <v>Maloobchod s ostatním zbožím ve stáncích a na trzích</v>
      </c>
      <c r="U699">
        <f>IF(ISNUMBER(SEARCH('1Př1'!$A$33,N699)),MAX($M$2:M698)+1,0)</f>
        <v>697</v>
      </c>
      <c r="V699" s="290" t="s">
        <v>2074</v>
      </c>
      <c r="W699" t="str">
        <f>IFERROR(VLOOKUP(ROWS($W$3:W699),$U$3:$V$718,2,0),"")</f>
        <v>Maloobchod s ostatním zbožím ve stáncích a na trzích</v>
      </c>
      <c r="X699">
        <f>IF(ISNUMBER(SEARCH('1Př1'!$A$34,N699)),MAX($M$2:M698)+1,0)</f>
        <v>697</v>
      </c>
      <c r="Y699" s="290" t="s">
        <v>2074</v>
      </c>
      <c r="Z699" t="str">
        <f>IFERROR(VLOOKUP(ROWS($Z$3:Z699),$X$3:$Y$718,2,0),"")</f>
        <v>Maloobchod s ostatním zbožím ve stáncích a na trzích</v>
      </c>
    </row>
    <row r="700" spans="13:26" ht="25.5">
      <c r="M700" s="289">
        <f>IF(ISNUMBER(SEARCH(ZAKL_DATA!$B$29,N700)),MAX($M$2:M699)+1,0)</f>
        <v>698</v>
      </c>
      <c r="N700" s="482" t="s">
        <v>3595</v>
      </c>
      <c r="O700" s="482" t="s">
        <v>3596</v>
      </c>
      <c r="Q700" s="291" t="str">
        <f>IFERROR(VLOOKUP(ROWS($Q$3:Q700),$M$3:$N$718,2,0),"")</f>
        <v>Zprostředkování v oblasti podpůrných činností pro podnikání j. n.</v>
      </c>
      <c r="R700">
        <f>IF(ISNUMBER(SEARCH('1Př1'!$A$32,N700)),MAX($M$2:M699)+1,0)</f>
        <v>698</v>
      </c>
      <c r="S700" s="290" t="s">
        <v>2075</v>
      </c>
      <c r="T700" t="str">
        <f>IFERROR(VLOOKUP(ROWS($T$3:T700),$R$3:$S$718,2,0),"")</f>
        <v>Maloobchod prostřednictvím internetu nebo zásilkové služby</v>
      </c>
      <c r="U700">
        <f>IF(ISNUMBER(SEARCH('1Př1'!$A$33,N700)),MAX($M$2:M699)+1,0)</f>
        <v>698</v>
      </c>
      <c r="V700" s="290" t="s">
        <v>2075</v>
      </c>
      <c r="W700" t="str">
        <f>IFERROR(VLOOKUP(ROWS($W$3:W700),$U$3:$V$718,2,0),"")</f>
        <v>Maloobchod prostřednictvím internetu nebo zásilkové služby</v>
      </c>
      <c r="X700">
        <f>IF(ISNUMBER(SEARCH('1Př1'!$A$34,N700)),MAX($M$2:M699)+1,0)</f>
        <v>698</v>
      </c>
      <c r="Y700" s="290" t="s">
        <v>2075</v>
      </c>
      <c r="Z700" t="str">
        <f>IFERROR(VLOOKUP(ROWS($Z$3:Z700),$X$3:$Y$718,2,0),"")</f>
        <v>Maloobchod prostřednictvím internetu nebo zásilkové služby</v>
      </c>
    </row>
    <row r="701" spans="13:26" ht="25.5">
      <c r="M701" s="289">
        <f>IF(ISNUMBER(SEARCH(ZAKL_DATA!$B$29,N701)),MAX($M$2:M700)+1,0)</f>
        <v>699</v>
      </c>
      <c r="N701" s="482" t="s">
        <v>3597</v>
      </c>
      <c r="O701" s="482" t="s">
        <v>3598</v>
      </c>
      <c r="Q701" s="291" t="str">
        <f>IFERROR(VLOOKUP(ROWS($Q$3:Q701),$M$3:$N$718,2,0),"")</f>
        <v>Zprostředkování v oblasti poštovních a kurýrních činností</v>
      </c>
      <c r="R701">
        <f>IF(ISNUMBER(SEARCH('1Př1'!$A$32,N701)),MAX($M$2:M700)+1,0)</f>
        <v>699</v>
      </c>
      <c r="S701" s="290" t="s">
        <v>2076</v>
      </c>
      <c r="T701" t="str">
        <f>IFERROR(VLOOKUP(ROWS($T$3:T701),$R$3:$S$718,2,0),"")</f>
        <v>Ostatní maloobchod mimo prodejny, stánky a trhy</v>
      </c>
      <c r="U701">
        <f>IF(ISNUMBER(SEARCH('1Př1'!$A$33,N701)),MAX($M$2:M700)+1,0)</f>
        <v>699</v>
      </c>
      <c r="V701" s="290" t="s">
        <v>2076</v>
      </c>
      <c r="W701" t="str">
        <f>IFERROR(VLOOKUP(ROWS($W$3:W701),$U$3:$V$718,2,0),"")</f>
        <v>Ostatní maloobchod mimo prodejny, stánky a trhy</v>
      </c>
      <c r="X701">
        <f>IF(ISNUMBER(SEARCH('1Př1'!$A$34,N701)),MAX($M$2:M700)+1,0)</f>
        <v>699</v>
      </c>
      <c r="Y701" s="290" t="s">
        <v>2076</v>
      </c>
      <c r="Z701" t="str">
        <f>IFERROR(VLOOKUP(ROWS($Z$3:Z701),$X$3:$Y$718,2,0),"")</f>
        <v>Ostatní maloobchod mimo prodejny, stánky a trhy</v>
      </c>
    </row>
    <row r="702" spans="13:26" ht="25.5">
      <c r="M702" s="289">
        <f>IF(ISNUMBER(SEARCH(ZAKL_DATA!$B$29,N702)),MAX($M$2:M701)+1,0)</f>
        <v>700</v>
      </c>
      <c r="N702" s="482" t="s">
        <v>3599</v>
      </c>
      <c r="O702" s="482" t="s">
        <v>3600</v>
      </c>
      <c r="Q702" s="291" t="str">
        <f>IFERROR(VLOOKUP(ROWS($Q$3:Q702),$M$3:$N$718,2,0),"")</f>
        <v>Zprostředkování v oblasti pronájmu a leasingu automobilů, obytných automobilů a přívěsů</v>
      </c>
      <c r="R702">
        <f>IF(ISNUMBER(SEARCH('1Př1'!$A$32,N702)),MAX($M$2:M701)+1,0)</f>
        <v>700</v>
      </c>
      <c r="S702" s="290" t="s">
        <v>2077</v>
      </c>
      <c r="T702" t="str">
        <f>IFERROR(VLOOKUP(ROWS($T$3:T702),$R$3:$S$718,2,0),"")</f>
        <v>Městská a příměstská pozemní osobní doprava</v>
      </c>
      <c r="U702">
        <f>IF(ISNUMBER(SEARCH('1Př1'!$A$33,N702)),MAX($M$2:M701)+1,0)</f>
        <v>700</v>
      </c>
      <c r="V702" s="290" t="s">
        <v>2077</v>
      </c>
      <c r="W702" t="str">
        <f>IFERROR(VLOOKUP(ROWS($W$3:W702),$U$3:$V$718,2,0),"")</f>
        <v>Městská a příměstská pozemní osobní doprava</v>
      </c>
      <c r="X702">
        <f>IF(ISNUMBER(SEARCH('1Př1'!$A$34,N702)),MAX($M$2:M701)+1,0)</f>
        <v>700</v>
      </c>
      <c r="Y702" s="290" t="s">
        <v>2077</v>
      </c>
      <c r="Z702" t="str">
        <f>IFERROR(VLOOKUP(ROWS($Z$3:Z702),$X$3:$Y$718,2,0),"")</f>
        <v>Městská a příměstská pozemní osobní doprava</v>
      </c>
    </row>
    <row r="703" spans="13:26" ht="25.5">
      <c r="M703" s="289">
        <f>IF(ISNUMBER(SEARCH(ZAKL_DATA!$B$29,N703)),MAX($M$2:M702)+1,0)</f>
        <v>701</v>
      </c>
      <c r="N703" s="482" t="s">
        <v>3601</v>
      </c>
      <c r="O703" s="482" t="s">
        <v>3602</v>
      </c>
      <c r="Q703" s="291" t="str">
        <f>IFERROR(VLOOKUP(ROWS($Q$3:Q703),$M$3:$N$718,2,0),"")</f>
        <v>Zprostředkování v oblasti pronájmu a leasingu jiných hmotných statků a nefinančních nehmotných aktiv</v>
      </c>
      <c r="R703">
        <f>IF(ISNUMBER(SEARCH('1Př1'!$A$32,N703)),MAX($M$2:M702)+1,0)</f>
        <v>701</v>
      </c>
      <c r="S703" s="290" t="s">
        <v>2078</v>
      </c>
      <c r="T703" t="str">
        <f>IFERROR(VLOOKUP(ROWS($T$3:T703),$R$3:$S$718,2,0),"")</f>
        <v>Taxislužba a pronájem osobních vozů s řidičem</v>
      </c>
      <c r="U703">
        <f>IF(ISNUMBER(SEARCH('1Př1'!$A$33,N703)),MAX($M$2:M702)+1,0)</f>
        <v>701</v>
      </c>
      <c r="V703" s="290" t="s">
        <v>2078</v>
      </c>
      <c r="W703" t="str">
        <f>IFERROR(VLOOKUP(ROWS($W$3:W703),$U$3:$V$718,2,0),"")</f>
        <v>Taxislužba a pronájem osobních vozů s řidičem</v>
      </c>
      <c r="X703">
        <f>IF(ISNUMBER(SEARCH('1Př1'!$A$34,N703)),MAX($M$2:M702)+1,0)</f>
        <v>701</v>
      </c>
      <c r="Y703" s="290" t="s">
        <v>2078</v>
      </c>
      <c r="Z703" t="str">
        <f>IFERROR(VLOOKUP(ROWS($Z$3:Z703),$X$3:$Y$718,2,0),"")</f>
        <v>Taxislužba a pronájem osobních vozů s řidičem</v>
      </c>
    </row>
    <row r="704" spans="13:26" ht="25.5">
      <c r="M704" s="289">
        <f>IF(ISNUMBER(SEARCH(ZAKL_DATA!$B$29,N704)),MAX($M$2:M703)+1,0)</f>
        <v>702</v>
      </c>
      <c r="N704" s="482" t="s">
        <v>3603</v>
      </c>
      <c r="O704" s="482" t="s">
        <v>3604</v>
      </c>
      <c r="Q704" s="291" t="str">
        <f>IFERROR(VLOOKUP(ROWS($Q$3:Q704),$M$3:$N$718,2,0),"")</f>
        <v>Zprostředkování v oblasti specializovaného maloobchodu</v>
      </c>
      <c r="R704">
        <f>IF(ISNUMBER(SEARCH('1Př1'!$A$32,N704)),MAX($M$2:M703)+1,0)</f>
        <v>702</v>
      </c>
      <c r="S704" s="290" t="s">
        <v>2079</v>
      </c>
      <c r="T704" t="str">
        <f>IFERROR(VLOOKUP(ROWS($T$3:T704),$R$3:$S$718,2,0),"")</f>
        <v>Ostatní pozemní osobní doprava j. n.</v>
      </c>
      <c r="U704">
        <f>IF(ISNUMBER(SEARCH('1Př1'!$A$33,N704)),MAX($M$2:M703)+1,0)</f>
        <v>702</v>
      </c>
      <c r="V704" s="290" t="s">
        <v>2079</v>
      </c>
      <c r="W704" t="str">
        <f>IFERROR(VLOOKUP(ROWS($W$3:W704),$U$3:$V$718,2,0),"")</f>
        <v>Ostatní pozemní osobní doprava j. n.</v>
      </c>
      <c r="X704">
        <f>IF(ISNUMBER(SEARCH('1Př1'!$A$34,N704)),MAX($M$2:M703)+1,0)</f>
        <v>702</v>
      </c>
      <c r="Y704" s="290" t="s">
        <v>2079</v>
      </c>
      <c r="Z704" t="str">
        <f>IFERROR(VLOOKUP(ROWS($Z$3:Z704),$X$3:$Y$718,2,0),"")</f>
        <v>Ostatní pozemní osobní doprava j. n.</v>
      </c>
    </row>
    <row r="705" spans="13:26" ht="25.5">
      <c r="M705" s="289">
        <f>IF(ISNUMBER(SEARCH(ZAKL_DATA!$B$29,N705)),MAX($M$2:M704)+1,0)</f>
        <v>703</v>
      </c>
      <c r="N705" s="482" t="s">
        <v>3605</v>
      </c>
      <c r="O705" s="482" t="s">
        <v>3606</v>
      </c>
      <c r="Q705" s="291" t="str">
        <f>IFERROR(VLOOKUP(ROWS($Q$3:Q705),$M$3:$N$718,2,0),"")</f>
        <v>Zprostředkování v oblasti specializovaného velkoobchodu za provizi s ostatním zbožím</v>
      </c>
      <c r="R705">
        <f>IF(ISNUMBER(SEARCH('1Př1'!$A$32,N705)),MAX($M$2:M704)+1,0)</f>
        <v>703</v>
      </c>
      <c r="S705" s="290" t="s">
        <v>2080</v>
      </c>
      <c r="T705" t="str">
        <f>IFERROR(VLOOKUP(ROWS($T$3:T705),$R$3:$S$718,2,0),"")</f>
        <v>Silniční nákladní doprava</v>
      </c>
      <c r="U705">
        <f>IF(ISNUMBER(SEARCH('1Př1'!$A$33,N705)),MAX($M$2:M704)+1,0)</f>
        <v>703</v>
      </c>
      <c r="V705" s="290" t="s">
        <v>2080</v>
      </c>
      <c r="W705" t="str">
        <f>IFERROR(VLOOKUP(ROWS($W$3:W705),$U$3:$V$718,2,0),"")</f>
        <v>Silniční nákladní doprava</v>
      </c>
      <c r="X705">
        <f>IF(ISNUMBER(SEARCH('1Př1'!$A$34,N705)),MAX($M$2:M704)+1,0)</f>
        <v>703</v>
      </c>
      <c r="Y705" s="290" t="s">
        <v>2080</v>
      </c>
      <c r="Z705" t="str">
        <f>IFERROR(VLOOKUP(ROWS($Z$3:Z705),$X$3:$Y$718,2,0),"")</f>
        <v>Silniční nákladní doprava</v>
      </c>
    </row>
    <row r="706" spans="13:26" ht="25.5">
      <c r="M706" s="289">
        <f>IF(ISNUMBER(SEARCH(ZAKL_DATA!$B$29,N706)),MAX($M$2:M705)+1,0)</f>
        <v>704</v>
      </c>
      <c r="N706" s="482" t="s">
        <v>3607</v>
      </c>
      <c r="O706" s="482" t="s">
        <v>3608</v>
      </c>
      <c r="Q706" s="291" t="str">
        <f>IFERROR(VLOOKUP(ROWS($Q$3:Q706),$M$3:$N$718,2,0),"")</f>
        <v>Zprostředkování v oblasti specializovaných stavebních činností</v>
      </c>
      <c r="R706">
        <f>IF(ISNUMBER(SEARCH('1Př1'!$A$32,N706)),MAX($M$2:M705)+1,0)</f>
        <v>704</v>
      </c>
      <c r="S706" s="290" t="s">
        <v>2081</v>
      </c>
      <c r="T706" t="str">
        <f>IFERROR(VLOOKUP(ROWS($T$3:T706),$R$3:$S$718,2,0),"")</f>
        <v>Stěhovací služby</v>
      </c>
      <c r="U706">
        <f>IF(ISNUMBER(SEARCH('1Př1'!$A$33,N706)),MAX($M$2:M705)+1,0)</f>
        <v>704</v>
      </c>
      <c r="V706" s="290" t="s">
        <v>2081</v>
      </c>
      <c r="W706" t="str">
        <f>IFERROR(VLOOKUP(ROWS($W$3:W706),$U$3:$V$718,2,0),"")</f>
        <v>Stěhovací služby</v>
      </c>
      <c r="X706">
        <f>IF(ISNUMBER(SEARCH('1Př1'!$A$34,N706)),MAX($M$2:M705)+1,0)</f>
        <v>704</v>
      </c>
      <c r="Y706" s="290" t="s">
        <v>2081</v>
      </c>
      <c r="Z706" t="str">
        <f>IFERROR(VLOOKUP(ROWS($Z$3:Z706),$X$3:$Y$718,2,0),"")</f>
        <v>Stěhovací služby</v>
      </c>
    </row>
    <row r="707" spans="13:26" ht="25.5">
      <c r="M707" s="289">
        <f>IF(ISNUMBER(SEARCH(ZAKL_DATA!$B$29,N707)),MAX($M$2:M706)+1,0)</f>
        <v>705</v>
      </c>
      <c r="N707" s="482" t="s">
        <v>3609</v>
      </c>
      <c r="O707" s="482" t="s">
        <v>3610</v>
      </c>
      <c r="Q707" s="291" t="str">
        <f>IFERROR(VLOOKUP(ROWS($Q$3:Q707),$M$3:$N$718,2,0),"")</f>
        <v>Zprostředkování v oblasti stravování a podávání nápojů</v>
      </c>
      <c r="R707">
        <f>IF(ISNUMBER(SEARCH('1Př1'!$A$32,N707)),MAX($M$2:M706)+1,0)</f>
        <v>705</v>
      </c>
      <c r="S707" s="290" t="s">
        <v>2082</v>
      </c>
      <c r="T707" t="str">
        <f>IFERROR(VLOOKUP(ROWS($T$3:T707),$R$3:$S$718,2,0),"")</f>
        <v>Těžba černého uhlí</v>
      </c>
      <c r="U707">
        <f>IF(ISNUMBER(SEARCH('1Př1'!$A$33,N707)),MAX($M$2:M706)+1,0)</f>
        <v>705</v>
      </c>
      <c r="V707" s="290" t="s">
        <v>2082</v>
      </c>
      <c r="W707" t="str">
        <f>IFERROR(VLOOKUP(ROWS($W$3:W707),$U$3:$V$718,2,0),"")</f>
        <v>Těžba černého uhlí</v>
      </c>
      <c r="X707">
        <f>IF(ISNUMBER(SEARCH('1Př1'!$A$34,N707)),MAX($M$2:M706)+1,0)</f>
        <v>705</v>
      </c>
      <c r="Y707" s="290" t="s">
        <v>2082</v>
      </c>
      <c r="Z707" t="str">
        <f>IFERROR(VLOOKUP(ROWS($Z$3:Z707),$X$3:$Y$718,2,0),"")</f>
        <v>Těžba černého uhlí</v>
      </c>
    </row>
    <row r="708" spans="13:26" ht="12.75">
      <c r="M708" s="289">
        <f>IF(ISNUMBER(SEARCH(ZAKL_DATA!$B$29,N708)),MAX($M$2:M707)+1,0)</f>
        <v>706</v>
      </c>
      <c r="N708" s="482" t="s">
        <v>3611</v>
      </c>
      <c r="O708" s="482" t="s">
        <v>3612</v>
      </c>
      <c r="Q708" s="291" t="str">
        <f>IFERROR(VLOOKUP(ROWS($Q$3:Q708),$M$3:$N$718,2,0),"")</f>
        <v>Zprostředkování v oblasti ubytování</v>
      </c>
      <c r="R708">
        <f>IF(ISNUMBER(SEARCH('1Př1'!$A$32,N708)),MAX($M$2:M707)+1,0)</f>
        <v>706</v>
      </c>
      <c r="S708" s="290" t="s">
        <v>2083</v>
      </c>
      <c r="T708" t="str">
        <f>IFERROR(VLOOKUP(ROWS($T$3:T708),$R$3:$S$718,2,0),"")</f>
        <v>Úprava černého uhlí</v>
      </c>
      <c r="U708">
        <f>IF(ISNUMBER(SEARCH('1Př1'!$A$33,N708)),MAX($M$2:M707)+1,0)</f>
        <v>706</v>
      </c>
      <c r="V708" s="290" t="s">
        <v>2083</v>
      </c>
      <c r="W708" t="str">
        <f>IFERROR(VLOOKUP(ROWS($W$3:W708),$U$3:$V$718,2,0),"")</f>
        <v>Úprava černého uhlí</v>
      </c>
      <c r="X708">
        <f>IF(ISNUMBER(SEARCH('1Př1'!$A$34,N708)),MAX($M$2:M707)+1,0)</f>
        <v>706</v>
      </c>
      <c r="Y708" s="290" t="s">
        <v>2083</v>
      </c>
      <c r="Z708" t="str">
        <f>IFERROR(VLOOKUP(ROWS($Z$3:Z708),$X$3:$Y$718,2,0),"")</f>
        <v>Úprava černého uhlí</v>
      </c>
    </row>
    <row r="709" spans="13:26" ht="38.25">
      <c r="M709" s="289">
        <f>IF(ISNUMBER(SEARCH(ZAKL_DATA!$B$29,N709)),MAX($M$2:M708)+1,0)</f>
        <v>707</v>
      </c>
      <c r="N709" s="482" t="s">
        <v>3613</v>
      </c>
      <c r="O709" s="482" t="s">
        <v>3614</v>
      </c>
      <c r="Q709" s="291" t="str">
        <f>IFERROR(VLOOKUP(ROWS($Q$3:Q709),$M$3:$N$718,2,0),"")</f>
        <v>Zprostředkování v oblasti velkoobchodu za provizi s nábytkem, železářským zbožím a potřebami převážně pro domácnost</v>
      </c>
      <c r="R709">
        <f>IF(ISNUMBER(SEARCH('1Př1'!$A$32,N709)),MAX($M$2:M708)+1,0)</f>
        <v>707</v>
      </c>
      <c r="S709" s="290" t="s">
        <v>2084</v>
      </c>
      <c r="T709" t="str">
        <f>IFERROR(VLOOKUP(ROWS($T$3:T709),$R$3:$S$718,2,0),"")</f>
        <v>Letecká nákladní doprava</v>
      </c>
      <c r="U709">
        <f>IF(ISNUMBER(SEARCH('1Př1'!$A$33,N709)),MAX($M$2:M708)+1,0)</f>
        <v>707</v>
      </c>
      <c r="V709" s="290" t="s">
        <v>2084</v>
      </c>
      <c r="W709" t="str">
        <f>IFERROR(VLOOKUP(ROWS($W$3:W709),$U$3:$V$718,2,0),"")</f>
        <v>Letecká nákladní doprava</v>
      </c>
      <c r="X709">
        <f>IF(ISNUMBER(SEARCH('1Př1'!$A$34,N709)),MAX($M$2:M708)+1,0)</f>
        <v>707</v>
      </c>
      <c r="Y709" s="290" t="s">
        <v>2084</v>
      </c>
      <c r="Z709" t="str">
        <f>IFERROR(VLOOKUP(ROWS($Z$3:Z709),$X$3:$Y$718,2,0),"")</f>
        <v>Letecká nákladní doprava</v>
      </c>
    </row>
    <row r="710" spans="13:26" ht="25.5">
      <c r="M710" s="289">
        <f>IF(ISNUMBER(SEARCH(ZAKL_DATA!$B$29,N710)),MAX($M$2:M709)+1,0)</f>
        <v>708</v>
      </c>
      <c r="N710" s="482" t="s">
        <v>3615</v>
      </c>
      <c r="O710" s="482" t="s">
        <v>3616</v>
      </c>
      <c r="Q710" s="291" t="str">
        <f>IFERROR(VLOOKUP(ROWS($Q$3:Q710),$M$3:$N$718,2,0),"")</f>
        <v>Zprostředkování v oblasti velkoobchodu za provizi s palivy, rudami, kovy a technickými chemikáliemi</v>
      </c>
      <c r="R710">
        <f>IF(ISNUMBER(SEARCH('1Př1'!$A$32,N710)),MAX($M$2:M709)+1,0)</f>
        <v>708</v>
      </c>
      <c r="S710" s="290" t="s">
        <v>2085</v>
      </c>
      <c r="T710" t="str">
        <f>IFERROR(VLOOKUP(ROWS($T$3:T710),$R$3:$S$718,2,0),"")</f>
        <v>Kosmická doprava</v>
      </c>
      <c r="U710">
        <f>IF(ISNUMBER(SEARCH('1Př1'!$A$33,N710)),MAX($M$2:M709)+1,0)</f>
        <v>708</v>
      </c>
      <c r="V710" s="290" t="s">
        <v>2085</v>
      </c>
      <c r="W710" t="str">
        <f>IFERROR(VLOOKUP(ROWS($W$3:W710),$U$3:$V$718,2,0),"")</f>
        <v>Kosmická doprava</v>
      </c>
      <c r="X710">
        <f>IF(ISNUMBER(SEARCH('1Př1'!$A$34,N710)),MAX($M$2:M709)+1,0)</f>
        <v>708</v>
      </c>
      <c r="Y710" s="290" t="s">
        <v>2085</v>
      </c>
      <c r="Z710" t="str">
        <f>IFERROR(VLOOKUP(ROWS($Z$3:Z710),$X$3:$Y$718,2,0),"")</f>
        <v>Kosmická doprava</v>
      </c>
    </row>
    <row r="711" spans="13:26" ht="25.5">
      <c r="M711" s="289">
        <f>IF(ISNUMBER(SEARCH(ZAKL_DATA!$B$29,N711)),MAX($M$2:M710)+1,0)</f>
        <v>709</v>
      </c>
      <c r="N711" s="482" t="s">
        <v>3617</v>
      </c>
      <c r="O711" s="482" t="s">
        <v>3618</v>
      </c>
      <c r="Q711" s="291" t="str">
        <f>IFERROR(VLOOKUP(ROWS($Q$3:Q711),$M$3:$N$718,2,0),"")</f>
        <v>Zprostředkování v oblasti velkoobchodu za provizi s potravinami, nápoji a tabákovými výrobky</v>
      </c>
      <c r="R711">
        <f>IF(ISNUMBER(SEARCH('1Př1'!$A$32,N711)),MAX($M$2:M710)+1,0)</f>
        <v>709</v>
      </c>
      <c r="S711" s="290" t="s">
        <v>2086</v>
      </c>
      <c r="T711" t="str">
        <f>IFERROR(VLOOKUP(ROWS($T$3:T711),$R$3:$S$718,2,0),"")</f>
        <v>Těžba hnědého uhlí, kromě lignitu</v>
      </c>
      <c r="U711">
        <f>IF(ISNUMBER(SEARCH('1Př1'!$A$33,N711)),MAX($M$2:M710)+1,0)</f>
        <v>709</v>
      </c>
      <c r="V711" s="290" t="s">
        <v>2086</v>
      </c>
      <c r="W711" t="str">
        <f>IFERROR(VLOOKUP(ROWS($W$3:W711),$U$3:$V$718,2,0),"")</f>
        <v>Těžba hnědého uhlí, kromě lignitu</v>
      </c>
      <c r="X711">
        <f>IF(ISNUMBER(SEARCH('1Př1'!$A$34,N711)),MAX($M$2:M710)+1,0)</f>
        <v>709</v>
      </c>
      <c r="Y711" s="290" t="s">
        <v>2086</v>
      </c>
      <c r="Z711" t="str">
        <f>IFERROR(VLOOKUP(ROWS($Z$3:Z711),$X$3:$Y$718,2,0),"")</f>
        <v>Těžba hnědého uhlí, kromě lignitu</v>
      </c>
    </row>
    <row r="712" spans="13:26" ht="38.25">
      <c r="M712" s="289">
        <f>IF(ISNUMBER(SEARCH(ZAKL_DATA!$B$29,N712)),MAX($M$2:M711)+1,0)</f>
        <v>710</v>
      </c>
      <c r="N712" s="482" t="s">
        <v>3619</v>
      </c>
      <c r="O712" s="482" t="s">
        <v>3620</v>
      </c>
      <c r="Q712" s="291" t="str">
        <f>IFERROR(VLOOKUP(ROWS($Q$3:Q712),$M$3:$N$718,2,0),"")</f>
        <v>Zprostředkování v oblasti velkoobchodu za provizi s textilem, oděvy, kožešinami, obuví a koženými výrobky</v>
      </c>
      <c r="R712">
        <f>IF(ISNUMBER(SEARCH('1Př1'!$A$32,N712)),MAX($M$2:M711)+1,0)</f>
        <v>710</v>
      </c>
      <c r="S712" s="290" t="s">
        <v>2087</v>
      </c>
      <c r="T712" t="str">
        <f>IFERROR(VLOOKUP(ROWS($T$3:T712),$R$3:$S$718,2,0),"")</f>
        <v>Úprava hnědého uhlí, kromě lignitu</v>
      </c>
      <c r="U712">
        <f>IF(ISNUMBER(SEARCH('1Př1'!$A$33,N712)),MAX($M$2:M711)+1,0)</f>
        <v>710</v>
      </c>
      <c r="V712" s="290" t="s">
        <v>2087</v>
      </c>
      <c r="W712" t="str">
        <f>IFERROR(VLOOKUP(ROWS($W$3:W712),$U$3:$V$718,2,0),"")</f>
        <v>Úprava hnědého uhlí, kromě lignitu</v>
      </c>
      <c r="X712">
        <f>IF(ISNUMBER(SEARCH('1Př1'!$A$34,N712)),MAX($M$2:M711)+1,0)</f>
        <v>710</v>
      </c>
      <c r="Y712" s="290" t="s">
        <v>2087</v>
      </c>
      <c r="Z712" t="str">
        <f>IFERROR(VLOOKUP(ROWS($Z$3:Z712),$X$3:$Y$718,2,0),"")</f>
        <v>Úprava hnědého uhlí, kromě lignitu</v>
      </c>
    </row>
    <row r="713" spans="13:26" ht="25.5">
      <c r="M713" s="289">
        <f>IF(ISNUMBER(SEARCH(ZAKL_DATA!$B$29,N713)),MAX($M$2:M712)+1,0)</f>
        <v>711</v>
      </c>
      <c r="N713" s="482" t="s">
        <v>3621</v>
      </c>
      <c r="O713" s="482" t="s">
        <v>3622</v>
      </c>
      <c r="Q713" s="291" t="str">
        <f>IFERROR(VLOOKUP(ROWS($Q$3:Q713),$M$3:$N$718,2,0),"")</f>
        <v>Zprostředkování v oblasti velkoobchodu za provizi se dřevem a stavebními materiály</v>
      </c>
      <c r="R713">
        <f>IF(ISNUMBER(SEARCH('1Př1'!$A$32,N713)),MAX($M$2:M712)+1,0)</f>
        <v>711</v>
      </c>
      <c r="S713" s="290" t="s">
        <v>2088</v>
      </c>
      <c r="T713" t="str">
        <f>IFERROR(VLOOKUP(ROWS($T$3:T713),$R$3:$S$718,2,0),"")</f>
        <v>Těžba lignitu</v>
      </c>
      <c r="U713">
        <f>IF(ISNUMBER(SEARCH('1Př1'!$A$33,N713)),MAX($M$2:M712)+1,0)</f>
        <v>711</v>
      </c>
      <c r="V713" s="290" t="s">
        <v>2088</v>
      </c>
      <c r="W713" t="str">
        <f>IFERROR(VLOOKUP(ROWS($W$3:W713),$U$3:$V$718,2,0),"")</f>
        <v>Těžba lignitu</v>
      </c>
      <c r="X713">
        <f>IF(ISNUMBER(SEARCH('1Př1'!$A$34,N713)),MAX($M$2:M712)+1,0)</f>
        <v>711</v>
      </c>
      <c r="Y713" s="290" t="s">
        <v>2088</v>
      </c>
      <c r="Z713" t="str">
        <f>IFERROR(VLOOKUP(ROWS($Z$3:Z713),$X$3:$Y$718,2,0),"")</f>
        <v>Těžba lignitu</v>
      </c>
    </row>
    <row r="714" spans="13:26" ht="25.5">
      <c r="M714" s="289">
        <f>IF(ISNUMBER(SEARCH(ZAKL_DATA!$B$29,N714)),MAX($M$2:M713)+1,0)</f>
        <v>712</v>
      </c>
      <c r="N714" s="482" t="s">
        <v>3623</v>
      </c>
      <c r="O714" s="482" t="s">
        <v>3624</v>
      </c>
      <c r="Q714" s="291" t="str">
        <f>IFERROR(VLOOKUP(ROWS($Q$3:Q714),$M$3:$N$718,2,0),"")</f>
        <v>Zprostředkování v oblasti velkoobchodu za provizi se stroji, průmyslovým zařízením, loděmi a letadly</v>
      </c>
      <c r="R714">
        <f>IF(ISNUMBER(SEARCH('1Př1'!$A$32,N714)),MAX($M$2:M713)+1,0)</f>
        <v>712</v>
      </c>
      <c r="S714" s="290" t="s">
        <v>2089</v>
      </c>
      <c r="T714" t="str">
        <f>IFERROR(VLOOKUP(ROWS($T$3:T714),$R$3:$S$718,2,0),"")</f>
        <v>Úprava lignitu</v>
      </c>
      <c r="U714">
        <f>IF(ISNUMBER(SEARCH('1Př1'!$A$33,N714)),MAX($M$2:M713)+1,0)</f>
        <v>712</v>
      </c>
      <c r="V714" s="290" t="s">
        <v>2089</v>
      </c>
      <c r="W714" t="str">
        <f>IFERROR(VLOOKUP(ROWS($W$3:W714),$U$3:$V$718,2,0),"")</f>
        <v>Úprava lignitu</v>
      </c>
      <c r="X714">
        <f>IF(ISNUMBER(SEARCH('1Př1'!$A$34,N714)),MAX($M$2:M713)+1,0)</f>
        <v>712</v>
      </c>
      <c r="Y714" s="290" t="s">
        <v>2089</v>
      </c>
      <c r="Z714" t="str">
        <f>IFERROR(VLOOKUP(ROWS($Z$3:Z714),$X$3:$Y$718,2,0),"")</f>
        <v>Úprava lignitu</v>
      </c>
    </row>
    <row r="715" spans="13:26" ht="38.25">
      <c r="M715" s="289">
        <f>IF(ISNUMBER(SEARCH(ZAKL_DATA!$B$29,N715)),MAX($M$2:M714)+1,0)</f>
        <v>713</v>
      </c>
      <c r="N715" s="482" t="s">
        <v>3625</v>
      </c>
      <c r="O715" s="482" t="s">
        <v>3626</v>
      </c>
      <c r="Q715" s="291" t="str">
        <f>IFERROR(VLOOKUP(ROWS($Q$3:Q715),$M$3:$N$718,2,0),"")</f>
        <v>Zprostředkování v oblasti velkoobchodu za provizi se základními zemědělskými produkty, živými zvířaty, textilními surovinami a polotovary</v>
      </c>
      <c r="R715">
        <f>IF(ISNUMBER(SEARCH('1Př1'!$A$32,N715)),MAX($M$2:M714)+1,0)</f>
        <v>713</v>
      </c>
      <c r="S715" s="290" t="s">
        <v>2090</v>
      </c>
      <c r="T715" t="str">
        <f>IFERROR(VLOOKUP(ROWS($T$3:T715),$R$3:$S$718,2,0),"")</f>
        <v>Činnosti související s pozemní dopravou</v>
      </c>
      <c r="U715">
        <f>IF(ISNUMBER(SEARCH('1Př1'!$A$33,N715)),MAX($M$2:M714)+1,0)</f>
        <v>713</v>
      </c>
      <c r="V715" s="290" t="s">
        <v>2090</v>
      </c>
      <c r="W715" t="str">
        <f>IFERROR(VLOOKUP(ROWS($W$3:W715),$U$3:$V$718,2,0),"")</f>
        <v>Činnosti související s pozemní dopravou</v>
      </c>
      <c r="X715">
        <f>IF(ISNUMBER(SEARCH('1Př1'!$A$34,N715)),MAX($M$2:M714)+1,0)</f>
        <v>713</v>
      </c>
      <c r="Y715" s="290" t="s">
        <v>2090</v>
      </c>
      <c r="Z715" t="str">
        <f>IFERROR(VLOOKUP(ROWS($Z$3:Z715),$X$3:$Y$718,2,0),"")</f>
        <v>Činnosti související s pozemní dopravou</v>
      </c>
    </row>
    <row r="716" spans="13:26" ht="12.75">
      <c r="M716" s="289">
        <f>IF(ISNUMBER(SEARCH(ZAKL_DATA!$B$29,N716)),MAX($M$2:M715)+1,0)</f>
        <v>714</v>
      </c>
      <c r="N716" s="482" t="s">
        <v>3627</v>
      </c>
      <c r="O716" s="482" t="s">
        <v>3628</v>
      </c>
      <c r="Q716" s="291" t="str">
        <f>IFERROR(VLOOKUP(ROWS($Q$3:Q716),$M$3:$N$718,2,0),"")</f>
        <v>Zprostředkování v oblasti vzdělávání</v>
      </c>
      <c r="R716">
        <f>IF(ISNUMBER(SEARCH('1Př1'!$A$32,N716)),MAX($M$2:M715)+1,0)</f>
        <v>714</v>
      </c>
      <c r="S716" s="290" t="s">
        <v>2091</v>
      </c>
      <c r="T716" t="str">
        <f>IFERROR(VLOOKUP(ROWS($T$3:T716),$R$3:$S$718,2,0),"")</f>
        <v>Činnosti související s vodní dopravou</v>
      </c>
      <c r="U716">
        <f>IF(ISNUMBER(SEARCH('1Př1'!$A$33,N716)),MAX($M$2:M715)+1,0)</f>
        <v>714</v>
      </c>
      <c r="V716" s="290" t="s">
        <v>2091</v>
      </c>
      <c r="W716" t="str">
        <f>IFERROR(VLOOKUP(ROWS($W$3:W716),$U$3:$V$718,2,0),"")</f>
        <v>Činnosti související s vodní dopravou</v>
      </c>
      <c r="X716">
        <f>IF(ISNUMBER(SEARCH('1Př1'!$A$34,N716)),MAX($M$2:M715)+1,0)</f>
        <v>714</v>
      </c>
      <c r="Y716" s="290" t="s">
        <v>2091</v>
      </c>
      <c r="Z716" t="str">
        <f>IFERROR(VLOOKUP(ROWS($Z$3:Z716),$X$3:$Y$718,2,0),"")</f>
        <v>Činnosti související s vodní dopravou</v>
      </c>
    </row>
    <row r="717" spans="13:26" ht="12.75">
      <c r="M717" s="289">
        <f>IF(ISNUMBER(SEARCH(ZAKL_DATA!$B$29,N717)),MAX($M$2:M716)+1,0)</f>
        <v>715</v>
      </c>
      <c r="N717" s="482" t="s">
        <v>3629</v>
      </c>
      <c r="O717" s="482" t="s">
        <v>3630</v>
      </c>
      <c r="Q717" s="291" t="str">
        <f>IFERROR(VLOOKUP(ROWS($Q$3:Q717),$M$3:$N$718,2,0),"")</f>
        <v>Zprostředkování v oblasti zdravotní péče</v>
      </c>
      <c r="R717">
        <f>IF(ISNUMBER(SEARCH('1Př1'!$A$32,N717)),MAX($M$2:M716)+1,0)</f>
        <v>715</v>
      </c>
      <c r="S717" s="290" t="s">
        <v>2092</v>
      </c>
      <c r="T717" t="str">
        <f>IFERROR(VLOOKUP(ROWS($T$3:T717),$R$3:$S$718,2,0),"")</f>
        <v>Činnosti související s leteckou dopravou</v>
      </c>
      <c r="U717">
        <f>IF(ISNUMBER(SEARCH('1Př1'!$A$33,N717)),MAX($M$2:M716)+1,0)</f>
        <v>715</v>
      </c>
      <c r="V717" s="290" t="s">
        <v>2092</v>
      </c>
      <c r="W717" t="str">
        <f>IFERROR(VLOOKUP(ROWS($W$3:W717),$U$3:$V$718,2,0),"")</f>
        <v>Činnosti související s leteckou dopravou</v>
      </c>
      <c r="X717">
        <f>IF(ISNUMBER(SEARCH('1Př1'!$A$34,N717)),MAX($M$2:M716)+1,0)</f>
        <v>715</v>
      </c>
      <c r="Y717" s="290" t="s">
        <v>2092</v>
      </c>
      <c r="Z717" t="str">
        <f>IFERROR(VLOOKUP(ROWS($Z$3:Z717),$X$3:$Y$718,2,0),"")</f>
        <v>Činnosti související s leteckou dopravou</v>
      </c>
    </row>
    <row r="718" spans="13:26" ht="13.5" thickBot="1">
      <c r="M718" s="289">
        <f>IF(ISNUMBER(SEARCH(ZAKL_DATA!$B$29,N718)),MAX($M$2:M717)+1,0)</f>
        <v>716</v>
      </c>
      <c r="N718" s="485" t="s">
        <v>2135</v>
      </c>
      <c r="O718" s="485" t="s">
        <v>3631</v>
      </c>
      <c r="Q718" s="312" t="str">
        <f>IFERROR(VLOOKUP(ROWS($Q$3:Q718),$M$3:$N$718,2,0),"")</f>
        <v>Zubní péče</v>
      </c>
      <c r="R718">
        <f>IF(ISNUMBER(SEARCH('1Př1'!$A$32,N718)),MAX($M$2:M717)+1,0)</f>
        <v>716</v>
      </c>
      <c r="S718" s="311" t="s">
        <v>2167</v>
      </c>
      <c r="T718" t="str">
        <f>IFERROR(VLOOKUP(ROWS($T$3:T718),$R$3:$S$718,2,0),"")</f>
        <v>Činnosti ostatních organizací j. n.</v>
      </c>
      <c r="U718">
        <f>IF(ISNUMBER(SEARCH('1Př1'!$A$33,N718)),MAX($M$2:M717)+1,0)</f>
        <v>716</v>
      </c>
      <c r="V718" s="311" t="s">
        <v>2167</v>
      </c>
      <c r="W718" t="str">
        <f>IFERROR(VLOOKUP(ROWS($W$3:W718),$U$3:$V$718,2,0),"")</f>
        <v>Činnosti ostatních organizací j. n.</v>
      </c>
      <c r="X718">
        <f>IF(ISNUMBER(SEARCH('1Př1'!$A$34,N718)),MAX($M$2:M717)+1,0)</f>
        <v>716</v>
      </c>
      <c r="Y718" s="311" t="s">
        <v>2167</v>
      </c>
      <c r="Z718" t="str">
        <f>IFERROR(VLOOKUP(ROWS($Z$3:Z718),$X$3:$Y$718,2,0),"")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4">
    <tabColor rgb="FFFFCCFF"/>
    <pageSetUpPr fitToPage="1"/>
  </sheetPr>
  <dimension ref="A1:K68"/>
  <sheetViews>
    <sheetView showZeros="0" workbookViewId="0" topLeftCell="A1">
      <selection pane="topLeft" activeCell="Q49" sqref="Q49"/>
    </sheetView>
  </sheetViews>
  <sheetFormatPr defaultColWidth="9.14428571428571" defaultRowHeight="12.75"/>
  <cols>
    <col min="1" max="1" width="11.1428571428571" style="3" customWidth="1"/>
    <col min="2" max="2" width="20.4285714285714" style="3" customWidth="1"/>
    <col min="3" max="3" width="14.1428571428571" style="3" customWidth="1"/>
    <col min="4" max="4" width="4.85714285714286" style="3" customWidth="1"/>
    <col min="5" max="5" width="11.8571428571429" style="3" customWidth="1"/>
    <col min="6" max="6" width="11" style="3" customWidth="1"/>
    <col min="7" max="7" width="3.14285714285714" style="3" customWidth="1"/>
    <col min="8" max="8" width="6.71428571428571" style="3" customWidth="1"/>
    <col min="9" max="9" width="10.2857142857143" style="3" customWidth="1"/>
    <col min="10" max="11" width="6.71428571428571" style="3" customWidth="1"/>
    <col min="12" max="16384" width="9.14285714285714" style="2"/>
  </cols>
  <sheetData>
    <row r="1" spans="1:11" ht="12.75">
      <c r="A1" s="876" t="s">
        <v>2209</v>
      </c>
      <c r="B1" s="877"/>
      <c r="C1" s="877"/>
      <c r="D1" s="877"/>
      <c r="E1" s="877"/>
      <c r="F1" s="877"/>
      <c r="G1" s="877"/>
      <c r="H1" s="877"/>
      <c r="I1" s="877"/>
      <c r="J1" s="877"/>
      <c r="K1" s="877"/>
    </row>
    <row r="2" spans="1:11" ht="14.1" customHeight="1" thickBot="1">
      <c r="A2" s="878" t="s">
        <v>2558</v>
      </c>
      <c r="B2" s="879"/>
      <c r="C2" s="879"/>
      <c r="D2" s="879"/>
      <c r="E2" s="879"/>
      <c r="F2" s="879"/>
      <c r="G2" s="879"/>
      <c r="H2" s="879"/>
      <c r="I2" s="879"/>
      <c r="J2" s="879"/>
      <c r="K2" s="879"/>
    </row>
    <row r="3" spans="1:11" ht="15" customHeight="1">
      <c r="A3" s="880" t="s">
        <v>116</v>
      </c>
      <c r="B3" s="881"/>
      <c r="C3" s="881"/>
      <c r="D3" s="881"/>
      <c r="E3" s="881"/>
      <c r="F3" s="881"/>
      <c r="G3" s="881"/>
      <c r="H3" s="881"/>
      <c r="I3" s="881"/>
      <c r="J3" s="882"/>
      <c r="K3" s="202"/>
    </row>
    <row r="4" spans="1:11" ht="15" customHeight="1">
      <c r="A4" s="837" t="s">
        <v>2210</v>
      </c>
      <c r="B4" s="838"/>
      <c r="C4" s="838"/>
      <c r="D4" s="838"/>
      <c r="E4" s="838"/>
      <c r="F4" s="838"/>
      <c r="G4" s="838"/>
      <c r="H4" s="838"/>
      <c r="I4" s="839"/>
      <c r="J4" s="840"/>
      <c r="K4" s="200"/>
    </row>
    <row r="5" spans="1:11" ht="15" customHeight="1">
      <c r="A5" s="837" t="s">
        <v>2311</v>
      </c>
      <c r="B5" s="838"/>
      <c r="C5" s="838"/>
      <c r="D5" s="838"/>
      <c r="E5" s="838"/>
      <c r="F5" s="838"/>
      <c r="G5" s="838"/>
      <c r="H5" s="838"/>
      <c r="I5" s="839"/>
      <c r="J5" s="840"/>
      <c r="K5" s="200"/>
    </row>
    <row r="6" spans="1:11" ht="15" customHeight="1">
      <c r="A6" s="837" t="s">
        <v>2526</v>
      </c>
      <c r="B6" s="838"/>
      <c r="C6" s="838"/>
      <c r="D6" s="838"/>
      <c r="E6" s="838"/>
      <c r="F6" s="838"/>
      <c r="G6" s="838"/>
      <c r="H6" s="838"/>
      <c r="I6" s="839"/>
      <c r="J6" s="840"/>
      <c r="K6" s="200"/>
    </row>
    <row r="7" spans="1:11" ht="15" customHeight="1">
      <c r="A7" s="837" t="s">
        <v>2438</v>
      </c>
      <c r="B7" s="838"/>
      <c r="C7" s="838"/>
      <c r="D7" s="838"/>
      <c r="E7" s="838"/>
      <c r="F7" s="838"/>
      <c r="G7" s="838"/>
      <c r="H7" s="838"/>
      <c r="I7" s="839"/>
      <c r="J7" s="840"/>
      <c r="K7" s="200"/>
    </row>
    <row r="8" spans="1:11" ht="15" customHeight="1">
      <c r="A8" s="837" t="s">
        <v>193</v>
      </c>
      <c r="B8" s="838"/>
      <c r="C8" s="838"/>
      <c r="D8" s="838"/>
      <c r="E8" s="838"/>
      <c r="F8" s="838"/>
      <c r="G8" s="838"/>
      <c r="H8" s="838"/>
      <c r="I8" s="839"/>
      <c r="J8" s="840"/>
      <c r="K8" s="200"/>
    </row>
    <row r="9" spans="1:11" ht="24" customHeight="1">
      <c r="A9" s="837" t="s">
        <v>2211</v>
      </c>
      <c r="B9" s="838"/>
      <c r="C9" s="838"/>
      <c r="D9" s="838"/>
      <c r="E9" s="838"/>
      <c r="F9" s="838"/>
      <c r="G9" s="838"/>
      <c r="H9" s="838"/>
      <c r="I9" s="839"/>
      <c r="J9" s="840"/>
      <c r="K9" s="200"/>
    </row>
    <row r="10" spans="1:11" ht="15" customHeight="1">
      <c r="A10" s="837" t="s">
        <v>63</v>
      </c>
      <c r="B10" s="838"/>
      <c r="C10" s="838"/>
      <c r="D10" s="838"/>
      <c r="E10" s="838"/>
      <c r="F10" s="838"/>
      <c r="G10" s="838"/>
      <c r="H10" s="838"/>
      <c r="I10" s="839"/>
      <c r="J10" s="840"/>
      <c r="K10" s="200"/>
    </row>
    <row r="11" spans="1:11" ht="15" customHeight="1">
      <c r="A11" s="837" t="s">
        <v>2312</v>
      </c>
      <c r="B11" s="838"/>
      <c r="C11" s="838"/>
      <c r="D11" s="838"/>
      <c r="E11" s="838"/>
      <c r="F11" s="838"/>
      <c r="G11" s="838"/>
      <c r="H11" s="838"/>
      <c r="I11" s="839"/>
      <c r="J11" s="840"/>
      <c r="K11" s="200"/>
    </row>
    <row r="12" spans="1:11" ht="15" customHeight="1">
      <c r="A12" s="837" t="s">
        <v>2313</v>
      </c>
      <c r="B12" s="838"/>
      <c r="C12" s="838"/>
      <c r="D12" s="838"/>
      <c r="E12" s="838"/>
      <c r="F12" s="838"/>
      <c r="G12" s="838"/>
      <c r="H12" s="838"/>
      <c r="I12" s="839"/>
      <c r="J12" s="840"/>
      <c r="K12" s="200"/>
    </row>
    <row r="13" spans="1:11" ht="15" customHeight="1">
      <c r="A13" s="837" t="s">
        <v>2314</v>
      </c>
      <c r="B13" s="838"/>
      <c r="C13" s="838"/>
      <c r="D13" s="838"/>
      <c r="E13" s="838"/>
      <c r="F13" s="838"/>
      <c r="G13" s="838"/>
      <c r="H13" s="838"/>
      <c r="I13" s="839"/>
      <c r="J13" s="840"/>
      <c r="K13" s="200"/>
    </row>
    <row r="14" spans="1:11" ht="15" customHeight="1">
      <c r="A14" s="837" t="s">
        <v>2527</v>
      </c>
      <c r="B14" s="838"/>
      <c r="C14" s="838"/>
      <c r="D14" s="838"/>
      <c r="E14" s="838"/>
      <c r="F14" s="838"/>
      <c r="G14" s="838"/>
      <c r="H14" s="838"/>
      <c r="I14" s="839"/>
      <c r="J14" s="840"/>
      <c r="K14" s="200">
        <v>0</v>
      </c>
    </row>
    <row r="15" spans="1:11" ht="15" customHeight="1">
      <c r="A15" s="837" t="s">
        <v>2528</v>
      </c>
      <c r="B15" s="838"/>
      <c r="C15" s="838"/>
      <c r="D15" s="838"/>
      <c r="E15" s="838"/>
      <c r="F15" s="838"/>
      <c r="G15" s="838"/>
      <c r="H15" s="838"/>
      <c r="I15" s="839"/>
      <c r="J15" s="840"/>
      <c r="K15" s="200"/>
    </row>
    <row r="16" spans="1:11" ht="15" customHeight="1">
      <c r="A16" s="837" t="s">
        <v>2486</v>
      </c>
      <c r="B16" s="838"/>
      <c r="C16" s="838"/>
      <c r="D16" s="838"/>
      <c r="E16" s="838"/>
      <c r="F16" s="838"/>
      <c r="G16" s="838"/>
      <c r="H16" s="838"/>
      <c r="I16" s="839"/>
      <c r="J16" s="840"/>
      <c r="K16" s="200"/>
    </row>
    <row r="17" spans="1:11" ht="15" customHeight="1">
      <c r="A17" s="837" t="s">
        <v>2275</v>
      </c>
      <c r="B17" s="838"/>
      <c r="C17" s="838"/>
      <c r="D17" s="838"/>
      <c r="E17" s="838"/>
      <c r="F17" s="838"/>
      <c r="G17" s="838"/>
      <c r="H17" s="838"/>
      <c r="I17" s="839"/>
      <c r="J17" s="840"/>
      <c r="K17" s="200"/>
    </row>
    <row r="18" spans="1:11" ht="15" customHeight="1">
      <c r="A18" s="837" t="s">
        <v>180</v>
      </c>
      <c r="B18" s="838"/>
      <c r="C18" s="838"/>
      <c r="D18" s="838"/>
      <c r="E18" s="838"/>
      <c r="F18" s="838"/>
      <c r="G18" s="838"/>
      <c r="H18" s="838"/>
      <c r="I18" s="839"/>
      <c r="J18" s="840"/>
      <c r="K18" s="200"/>
    </row>
    <row r="19" spans="1:11" ht="15" customHeight="1">
      <c r="A19" s="837" t="s">
        <v>2385</v>
      </c>
      <c r="B19" s="838"/>
      <c r="C19" s="838"/>
      <c r="D19" s="838"/>
      <c r="E19" s="838"/>
      <c r="F19" s="838"/>
      <c r="G19" s="838"/>
      <c r="H19" s="838"/>
      <c r="I19" s="839"/>
      <c r="J19" s="840"/>
      <c r="K19" s="200"/>
    </row>
    <row r="20" spans="1:11" ht="15" customHeight="1">
      <c r="A20" s="837" t="s">
        <v>64</v>
      </c>
      <c r="B20" s="838"/>
      <c r="C20" s="838"/>
      <c r="D20" s="838"/>
      <c r="E20" s="838"/>
      <c r="F20" s="838"/>
      <c r="G20" s="838"/>
      <c r="H20" s="838"/>
      <c r="I20" s="839"/>
      <c r="J20" s="840"/>
      <c r="K20" s="200"/>
    </row>
    <row r="21" spans="1:11" ht="15" customHeight="1">
      <c r="A21" s="837" t="s">
        <v>65</v>
      </c>
      <c r="B21" s="838"/>
      <c r="C21" s="838"/>
      <c r="D21" s="838"/>
      <c r="E21" s="838"/>
      <c r="F21" s="838"/>
      <c r="G21" s="838"/>
      <c r="H21" s="838"/>
      <c r="I21" s="839"/>
      <c r="J21" s="840"/>
      <c r="K21" s="200"/>
    </row>
    <row r="22" spans="1:11" ht="15" customHeight="1">
      <c r="A22" s="837" t="s">
        <v>228</v>
      </c>
      <c r="B22" s="838"/>
      <c r="C22" s="838"/>
      <c r="D22" s="838"/>
      <c r="E22" s="838"/>
      <c r="F22" s="838"/>
      <c r="G22" s="838"/>
      <c r="H22" s="838"/>
      <c r="I22" s="839"/>
      <c r="J22" s="840"/>
      <c r="K22" s="200"/>
    </row>
    <row r="23" spans="1:11" ht="15" customHeight="1">
      <c r="A23" s="837" t="s">
        <v>2411</v>
      </c>
      <c r="B23" s="838"/>
      <c r="C23" s="838"/>
      <c r="D23" s="838"/>
      <c r="E23" s="838"/>
      <c r="F23" s="838"/>
      <c r="G23" s="838"/>
      <c r="H23" s="838"/>
      <c r="I23" s="839"/>
      <c r="J23" s="840"/>
      <c r="K23" s="200"/>
    </row>
    <row r="24" spans="1:11" ht="24" customHeight="1">
      <c r="A24" s="837" t="s">
        <v>2412</v>
      </c>
      <c r="B24" s="838"/>
      <c r="C24" s="838"/>
      <c r="D24" s="838"/>
      <c r="E24" s="838"/>
      <c r="F24" s="838"/>
      <c r="G24" s="838"/>
      <c r="H24" s="838"/>
      <c r="I24" s="839"/>
      <c r="J24" s="840"/>
      <c r="K24" s="200"/>
    </row>
    <row r="25" spans="1:11" ht="15" customHeight="1">
      <c r="A25" s="837" t="s">
        <v>120</v>
      </c>
      <c r="B25" s="838"/>
      <c r="C25" s="838"/>
      <c r="D25" s="838"/>
      <c r="E25" s="838"/>
      <c r="F25" s="838"/>
      <c r="G25" s="838"/>
      <c r="H25" s="838"/>
      <c r="I25" s="839"/>
      <c r="J25" s="840"/>
      <c r="K25" s="200"/>
    </row>
    <row r="26" spans="1:11" ht="15" customHeight="1" thickBot="1">
      <c r="A26" s="928" t="s">
        <v>66</v>
      </c>
      <c r="B26" s="929"/>
      <c r="C26" s="929"/>
      <c r="D26" s="929"/>
      <c r="E26" s="929"/>
      <c r="F26" s="929"/>
      <c r="G26" s="929"/>
      <c r="H26" s="929"/>
      <c r="I26" s="930"/>
      <c r="J26" s="931"/>
      <c r="K26" s="201">
        <f>SUM(K4:K25)</f>
        <v>0</v>
      </c>
    </row>
    <row r="27" spans="1:11" ht="12" customHeight="1" thickBot="1">
      <c r="A27" s="856"/>
      <c r="B27" s="856"/>
      <c r="C27" s="856"/>
      <c r="D27" s="856"/>
      <c r="E27" s="856"/>
      <c r="F27" s="856"/>
      <c r="G27" s="856"/>
      <c r="H27" s="856"/>
      <c r="I27" s="856"/>
      <c r="J27" s="856"/>
      <c r="K27" s="856"/>
    </row>
    <row r="28" spans="1:11" ht="12" customHeight="1" thickBot="1">
      <c r="A28" s="857"/>
      <c r="B28" s="506"/>
      <c r="C28" s="506"/>
      <c r="D28" s="506"/>
      <c r="E28" s="506"/>
      <c r="F28" s="506"/>
      <c r="G28" s="506"/>
      <c r="H28" s="506"/>
      <c r="I28" s="506"/>
      <c r="J28" s="506"/>
      <c r="K28" s="506"/>
    </row>
    <row r="29" spans="1:11" ht="14.1" customHeight="1">
      <c r="A29" s="890" t="s">
        <v>2213</v>
      </c>
      <c r="B29" s="683"/>
      <c r="C29" s="870" t="s">
        <v>2212</v>
      </c>
      <c r="D29" s="870"/>
      <c r="E29" s="913"/>
      <c r="F29" s="913"/>
      <c r="G29" s="913"/>
      <c r="H29" s="913"/>
      <c r="I29" s="913"/>
      <c r="J29" s="913"/>
      <c r="K29" s="914"/>
    </row>
    <row r="30" spans="1:11" ht="18" customHeight="1">
      <c r="A30" s="887"/>
      <c r="B30" s="888"/>
      <c r="C30" s="871"/>
      <c r="D30" s="872"/>
      <c r="E30" s="607"/>
      <c r="F30" s="607"/>
      <c r="G30" s="607"/>
      <c r="H30" s="607"/>
      <c r="I30" s="607"/>
      <c r="J30" s="607"/>
      <c r="K30" s="889"/>
    </row>
    <row r="31" spans="1:11" ht="14.1" customHeight="1">
      <c r="A31" s="867" t="s">
        <v>229</v>
      </c>
      <c r="B31" s="868"/>
      <c r="C31" s="868"/>
      <c r="D31" s="868"/>
      <c r="E31" s="868"/>
      <c r="F31" s="868"/>
      <c r="G31" s="868"/>
      <c r="H31" s="868"/>
      <c r="I31" s="868"/>
      <c r="J31" s="868"/>
      <c r="K31" s="869"/>
    </row>
    <row r="32" spans="1:11" ht="18" customHeight="1">
      <c r="A32" s="873" t="str">
        <f>+CONCATENATE(ZAKL_DATA!D21," ",ZAKL_DATA!D20," ",ZAKL_DATA!D22)</f>
        <v xml:space="preserve">  </v>
      </c>
      <c r="B32" s="874"/>
      <c r="C32" s="874"/>
      <c r="D32" s="874"/>
      <c r="E32" s="874"/>
      <c r="F32" s="874"/>
      <c r="G32" s="874"/>
      <c r="H32" s="874"/>
      <c r="I32" s="874"/>
      <c r="J32" s="874"/>
      <c r="K32" s="875"/>
    </row>
    <row r="33" spans="1:11" ht="14.1" customHeight="1">
      <c r="A33" s="867" t="s">
        <v>31</v>
      </c>
      <c r="B33" s="868"/>
      <c r="C33" s="868"/>
      <c r="D33" s="868"/>
      <c r="E33" s="868"/>
      <c r="F33" s="868"/>
      <c r="G33" s="868"/>
      <c r="H33" s="868"/>
      <c r="I33" s="868"/>
      <c r="J33" s="868"/>
      <c r="K33" s="869"/>
    </row>
    <row r="34" spans="1:11" ht="18" customHeight="1">
      <c r="A34" s="873"/>
      <c r="B34" s="874"/>
      <c r="C34" s="874"/>
      <c r="D34" s="874"/>
      <c r="E34" s="874"/>
      <c r="F34" s="874"/>
      <c r="G34" s="874"/>
      <c r="H34" s="874"/>
      <c r="I34" s="874"/>
      <c r="J34" s="874"/>
      <c r="K34" s="875"/>
    </row>
    <row r="35" spans="1:11" ht="14.1" customHeight="1">
      <c r="A35" s="886" t="s">
        <v>2386</v>
      </c>
      <c r="B35" s="868"/>
      <c r="C35" s="868"/>
      <c r="D35" s="868"/>
      <c r="E35" s="868"/>
      <c r="F35" s="868"/>
      <c r="G35" s="868"/>
      <c r="H35" s="868"/>
      <c r="I35" s="868"/>
      <c r="J35" s="868"/>
      <c r="K35" s="869"/>
    </row>
    <row r="36" spans="1:11" ht="14.1" customHeight="1">
      <c r="A36" s="886" t="s">
        <v>2214</v>
      </c>
      <c r="B36" s="868"/>
      <c r="C36" s="868"/>
      <c r="D36" s="868"/>
      <c r="E36" s="868"/>
      <c r="F36" s="868"/>
      <c r="G36" s="868"/>
      <c r="H36" s="868"/>
      <c r="I36" s="868"/>
      <c r="J36" s="868"/>
      <c r="K36" s="869"/>
    </row>
    <row r="37" spans="1:11" ht="14.1" customHeight="1">
      <c r="A37" s="867" t="s">
        <v>230</v>
      </c>
      <c r="B37" s="868"/>
      <c r="C37" s="868"/>
      <c r="D37" s="868"/>
      <c r="E37" s="868"/>
      <c r="F37" s="868"/>
      <c r="G37" s="868"/>
      <c r="H37" s="868"/>
      <c r="I37" s="868"/>
      <c r="J37" s="868"/>
      <c r="K37" s="869"/>
    </row>
    <row r="38" spans="1:11" ht="18" customHeight="1">
      <c r="A38" s="873" t="str">
        <f>+CONCATENATE(ZAKL_DATA!D21," ",ZAKL_DATA!D20," ",ZAKL_DATA!D22)</f>
        <v xml:space="preserve">  </v>
      </c>
      <c r="B38" s="874"/>
      <c r="C38" s="874"/>
      <c r="D38" s="874"/>
      <c r="E38" s="874"/>
      <c r="F38" s="874"/>
      <c r="G38" s="874"/>
      <c r="H38" s="874"/>
      <c r="I38" s="874"/>
      <c r="J38" s="874"/>
      <c r="K38" s="875"/>
    </row>
    <row r="39" spans="1:11" ht="5.1" customHeight="1" thickBot="1">
      <c r="A39" s="883"/>
      <c r="B39" s="884"/>
      <c r="C39" s="884"/>
      <c r="D39" s="884"/>
      <c r="E39" s="884"/>
      <c r="F39" s="884"/>
      <c r="G39" s="884"/>
      <c r="H39" s="884"/>
      <c r="I39" s="884"/>
      <c r="J39" s="884"/>
      <c r="K39" s="885"/>
    </row>
    <row r="40" spans="1:11" ht="5.1" customHeight="1" thickBot="1">
      <c r="A40" s="920"/>
      <c r="B40" s="868"/>
      <c r="C40" s="868"/>
      <c r="D40" s="868"/>
      <c r="E40" s="868"/>
      <c r="F40" s="868"/>
      <c r="G40" s="868"/>
      <c r="H40" s="868"/>
      <c r="I40" s="868"/>
      <c r="J40" s="868"/>
      <c r="K40" s="868"/>
    </row>
    <row r="41" spans="1:11" ht="18" customHeight="1">
      <c r="A41" s="921" t="s">
        <v>2529</v>
      </c>
      <c r="B41" s="922"/>
      <c r="C41" s="922"/>
      <c r="D41" s="922"/>
      <c r="E41" s="922"/>
      <c r="F41" s="922"/>
      <c r="G41" s="922"/>
      <c r="H41" s="922"/>
      <c r="I41" s="922"/>
      <c r="J41" s="922"/>
      <c r="K41" s="923"/>
    </row>
    <row r="42" spans="1:11" ht="21.75" customHeight="1">
      <c r="A42" s="918" t="s">
        <v>274</v>
      </c>
      <c r="B42" s="919"/>
      <c r="C42" s="866" t="s">
        <v>2215</v>
      </c>
      <c r="D42" s="866"/>
      <c r="E42" s="866"/>
      <c r="F42" s="866"/>
      <c r="G42" s="915" t="s">
        <v>232</v>
      </c>
      <c r="H42" s="916"/>
      <c r="I42" s="916"/>
      <c r="J42" s="916"/>
      <c r="K42" s="917"/>
    </row>
    <row r="43" spans="1:11" ht="18" customHeight="1">
      <c r="A43" s="926">
        <f ca="1">+TODAY()</f>
        <v>46162</v>
      </c>
      <c r="B43" s="927"/>
      <c r="C43" s="866"/>
      <c r="D43" s="866"/>
      <c r="E43" s="866"/>
      <c r="F43" s="866"/>
      <c r="G43" s="860"/>
      <c r="H43" s="861"/>
      <c r="I43" s="861"/>
      <c r="J43" s="861"/>
      <c r="K43" s="862"/>
    </row>
    <row r="44" spans="1:11" ht="18" customHeight="1">
      <c r="A44" s="924"/>
      <c r="B44" s="925"/>
      <c r="C44" s="866"/>
      <c r="D44" s="866"/>
      <c r="E44" s="866"/>
      <c r="F44" s="866"/>
      <c r="G44" s="863"/>
      <c r="H44" s="864"/>
      <c r="I44" s="864"/>
      <c r="J44" s="864"/>
      <c r="K44" s="865"/>
    </row>
    <row r="45" spans="1:11" ht="5.1" customHeight="1" thickBot="1">
      <c r="A45" s="858"/>
      <c r="B45" s="570"/>
      <c r="C45" s="570"/>
      <c r="D45" s="570"/>
      <c r="E45" s="570"/>
      <c r="F45" s="570"/>
      <c r="G45" s="570"/>
      <c r="H45" s="570"/>
      <c r="I45" s="570"/>
      <c r="J45" s="570"/>
      <c r="K45" s="859"/>
    </row>
    <row r="46" spans="1:11" ht="5.1" customHeight="1">
      <c r="A46" s="571"/>
      <c r="B46" s="580"/>
      <c r="C46" s="580"/>
      <c r="D46" s="580"/>
      <c r="E46" s="580"/>
      <c r="F46" s="580"/>
      <c r="G46" s="580"/>
      <c r="H46" s="580"/>
      <c r="I46" s="580"/>
      <c r="J46" s="580"/>
      <c r="K46" s="580"/>
    </row>
    <row r="47" spans="1:11" s="19" customFormat="1" ht="14.1" customHeight="1">
      <c r="A47" s="634"/>
      <c r="B47" s="506"/>
      <c r="C47" s="506"/>
      <c r="D47" s="506"/>
      <c r="E47" s="506"/>
      <c r="F47" s="850" t="s">
        <v>197</v>
      </c>
      <c r="G47" s="543"/>
      <c r="H47" s="543"/>
      <c r="I47" s="543"/>
      <c r="J47" s="543"/>
      <c r="K47" s="544"/>
    </row>
    <row r="48" spans="1:11" s="19" customFormat="1" ht="9.95" customHeight="1">
      <c r="A48" s="897" t="s">
        <v>115</v>
      </c>
      <c r="B48" s="506"/>
      <c r="C48" s="506"/>
      <c r="D48" s="506"/>
      <c r="E48" s="506"/>
      <c r="F48" s="545"/>
      <c r="G48" s="506"/>
      <c r="H48" s="506"/>
      <c r="I48" s="506"/>
      <c r="J48" s="506"/>
      <c r="K48" s="525"/>
    </row>
    <row r="49" spans="1:11" s="19" customFormat="1" ht="21" customHeight="1">
      <c r="A49" s="895" t="s">
        <v>2560</v>
      </c>
      <c r="B49" s="896"/>
      <c r="C49" s="896"/>
      <c r="D49" s="896"/>
      <c r="E49" s="896"/>
      <c r="F49" s="545"/>
      <c r="G49" s="506"/>
      <c r="H49" s="506"/>
      <c r="I49" s="506"/>
      <c r="J49" s="506"/>
      <c r="K49" s="525"/>
    </row>
    <row r="50" spans="1:11" s="19" customFormat="1" ht="21" customHeight="1">
      <c r="A50" s="911" t="s">
        <v>67</v>
      </c>
      <c r="B50" s="912"/>
      <c r="C50" s="912"/>
      <c r="D50" s="912"/>
      <c r="E50" s="912"/>
      <c r="F50" s="851"/>
      <c r="G50" s="506"/>
      <c r="H50" s="506"/>
      <c r="I50" s="506"/>
      <c r="J50" s="506"/>
      <c r="K50" s="852"/>
    </row>
    <row r="51" spans="1:11" s="19" customFormat="1" ht="13.5" customHeight="1">
      <c r="A51" s="848" t="s">
        <v>2559</v>
      </c>
      <c r="B51" s="849"/>
      <c r="C51" s="849"/>
      <c r="D51" s="849"/>
      <c r="E51" s="849"/>
      <c r="F51" s="546"/>
      <c r="G51" s="547"/>
      <c r="H51" s="547"/>
      <c r="I51" s="547"/>
      <c r="J51" s="547"/>
      <c r="K51" s="548"/>
    </row>
    <row r="52" spans="1:11" s="19" customFormat="1" ht="5.1" customHeight="1" thickBot="1">
      <c r="A52" s="601"/>
      <c r="B52" s="853"/>
      <c r="C52" s="853"/>
      <c r="D52" s="853"/>
      <c r="E52" s="853"/>
      <c r="F52" s="853"/>
      <c r="G52" s="853"/>
      <c r="H52" s="853"/>
      <c r="I52" s="853"/>
      <c r="J52" s="853"/>
      <c r="K52" s="853"/>
    </row>
    <row r="53" spans="1:11" s="19" customFormat="1" ht="18" customHeight="1">
      <c r="A53" s="845" t="s">
        <v>2216</v>
      </c>
      <c r="B53" s="846"/>
      <c r="C53" s="846"/>
      <c r="D53" s="846"/>
      <c r="E53" s="846"/>
      <c r="F53" s="846"/>
      <c r="G53" s="846"/>
      <c r="H53" s="846"/>
      <c r="I53" s="846"/>
      <c r="J53" s="846"/>
      <c r="K53" s="847"/>
    </row>
    <row r="54" spans="1:11" s="19" customFormat="1" ht="18" customHeight="1">
      <c r="A54" s="841" t="s">
        <v>2530</v>
      </c>
      <c r="B54" s="842"/>
      <c r="C54" s="842"/>
      <c r="D54" s="842"/>
      <c r="E54" s="842"/>
      <c r="F54" s="842"/>
      <c r="G54" s="842"/>
      <c r="H54" s="842"/>
      <c r="I54" s="842"/>
      <c r="J54" s="842"/>
      <c r="K54" s="843"/>
    </row>
    <row r="55" spans="1:11" s="19" customFormat="1" ht="18" customHeight="1">
      <c r="A55" s="841" t="s">
        <v>144</v>
      </c>
      <c r="B55" s="506"/>
      <c r="C55" s="506"/>
      <c r="D55" s="900">
        <f>MAX(-'DAP3'!D48,-'DAP3'!D35,0)</f>
        <v>0</v>
      </c>
      <c r="E55" s="844"/>
      <c r="F55" s="844"/>
      <c r="G55" s="844"/>
      <c r="H55" s="844"/>
      <c r="I55" s="844"/>
      <c r="J55" s="854"/>
      <c r="K55" s="101" t="s">
        <v>33</v>
      </c>
    </row>
    <row r="56" spans="1:11" s="19" customFormat="1" ht="18" customHeight="1">
      <c r="A56" s="841" t="s">
        <v>2217</v>
      </c>
      <c r="B56" s="506"/>
      <c r="C56" s="855" t="str">
        <f>IF(D55=0," ",+CONCATENATE(ZAKL_DATA!B16," ",ZAKL_DATA!B17,", ",ZAKL_DATA!B18))</f>
        <v xml:space="preserve"> </v>
      </c>
      <c r="D56" s="854"/>
      <c r="E56" s="854"/>
      <c r="F56" s="854"/>
      <c r="G56" s="854"/>
      <c r="H56" s="854"/>
      <c r="I56" s="854"/>
      <c r="J56" s="854"/>
      <c r="K56" s="101"/>
    </row>
    <row r="57" spans="1:11" s="19" customFormat="1" ht="18" customHeight="1">
      <c r="A57" s="100" t="s">
        <v>2403</v>
      </c>
      <c r="B57" s="73"/>
      <c r="C57" s="844" t="str">
        <f>IF(D55=0," ",+CONCATENATE(ZAKL_DATA!B34))</f>
        <v xml:space="preserve"> </v>
      </c>
      <c r="D57" s="854"/>
      <c r="E57" s="854"/>
      <c r="F57" s="252" t="s">
        <v>185</v>
      </c>
      <c r="G57" s="844" t="str">
        <f>IF(D55=0," ",+CONCATENATE(ZAKL_DATA!B32))</f>
        <v xml:space="preserve"> </v>
      </c>
      <c r="H57" s="844"/>
      <c r="I57" s="844"/>
      <c r="J57" s="844"/>
      <c r="K57" s="101"/>
    </row>
    <row r="58" spans="1:11" s="19" customFormat="1" ht="18" customHeight="1">
      <c r="A58" s="100" t="s">
        <v>32</v>
      </c>
      <c r="B58" s="899" t="str">
        <f>IF(D55=0," ",+CONCATENATE(ZAKL_DATA!B33))</f>
        <v xml:space="preserve"> </v>
      </c>
      <c r="C58" s="899"/>
      <c r="D58" s="899"/>
      <c r="E58" s="842" t="s">
        <v>186</v>
      </c>
      <c r="F58" s="842"/>
      <c r="G58" s="842"/>
      <c r="H58" s="901"/>
      <c r="I58" s="901"/>
      <c r="J58" s="901"/>
      <c r="K58" s="101"/>
    </row>
    <row r="59" spans="1:11" s="19" customFormat="1" ht="18" customHeight="1">
      <c r="A59" s="100" t="s">
        <v>174</v>
      </c>
      <c r="B59" s="902" t="str">
        <f>IF(D55=0," ",+CONCATENATE('DAP1'!B28," ",'DAP1'!J28))</f>
        <v xml:space="preserve"> </v>
      </c>
      <c r="C59" s="902"/>
      <c r="D59" s="903" t="s">
        <v>2218</v>
      </c>
      <c r="E59" s="506"/>
      <c r="F59" s="506"/>
      <c r="G59" s="506"/>
      <c r="H59" s="898" t="s">
        <v>170</v>
      </c>
      <c r="I59" s="898"/>
      <c r="J59" s="898"/>
      <c r="K59" s="101"/>
    </row>
    <row r="60" spans="1:11" s="19" customFormat="1" ht="36" customHeight="1" thickBot="1">
      <c r="A60" s="904" t="str">
        <f>CONCATENATE(+'DAP1'!B31,", dne ")</f>
        <v xml:space="preserve">0, dne </v>
      </c>
      <c r="B60" s="905"/>
      <c r="C60" s="413">
        <f ca="1">+TODAY()</f>
        <v>46162</v>
      </c>
      <c r="D60" s="906" t="s">
        <v>2404</v>
      </c>
      <c r="E60" s="907"/>
      <c r="F60" s="908"/>
      <c r="G60" s="909"/>
      <c r="H60" s="909"/>
      <c r="I60" s="909"/>
      <c r="J60" s="909"/>
      <c r="K60" s="910"/>
    </row>
    <row r="61" spans="1:11" ht="12.75">
      <c r="A61" s="892" t="str">
        <f>+'DAP1'!A46:L46</f>
        <v>Formulář zpracovala ASPEKT HM, daňová, účetní a auditorská kancelář, www.danovapriznani.cz, business.center.cz</v>
      </c>
      <c r="B61" s="893"/>
      <c r="C61" s="893"/>
      <c r="D61" s="893"/>
      <c r="E61" s="893"/>
      <c r="F61" s="893"/>
      <c r="G61" s="893"/>
      <c r="H61" s="893"/>
      <c r="I61" s="893"/>
      <c r="J61" s="893"/>
      <c r="K61" s="894"/>
    </row>
    <row r="62" spans="1:11" ht="12.75">
      <c r="A62" s="710">
        <v>4</v>
      </c>
      <c r="B62" s="710"/>
      <c r="C62" s="710"/>
      <c r="D62" s="710"/>
      <c r="E62" s="710"/>
      <c r="F62" s="710"/>
      <c r="G62" s="710"/>
      <c r="H62" s="710"/>
      <c r="I62" s="710"/>
      <c r="J62" s="710"/>
      <c r="K62" s="891"/>
    </row>
    <row r="65" spans="1:11" ht="12.75">
      <c r="A65" s="19"/>
      <c r="B65" s="19"/>
      <c r="C65" s="19"/>
      <c r="D65" s="19"/>
      <c r="E65" s="19"/>
      <c r="F65" s="19"/>
      <c r="G65" s="19"/>
      <c r="H65" s="19"/>
      <c r="I65" s="19"/>
      <c r="J65" s="19"/>
      <c r="K65" s="19"/>
    </row>
    <row r="66" spans="1:11" ht="12.75">
      <c r="A66" s="19"/>
      <c r="B66" s="19"/>
      <c r="C66" s="19"/>
      <c r="D66" s="19"/>
      <c r="E66" s="19"/>
      <c r="F66" s="19"/>
      <c r="G66" s="19"/>
      <c r="H66" s="19"/>
      <c r="I66" s="19"/>
      <c r="J66" s="19"/>
      <c r="K66" s="19"/>
    </row>
    <row r="67" spans="1:11" ht="12.75">
      <c r="A67" s="19"/>
      <c r="B67" s="19"/>
      <c r="C67" s="19"/>
      <c r="D67" s="19"/>
      <c r="E67" s="19"/>
      <c r="F67" s="19"/>
      <c r="G67" s="19"/>
      <c r="H67" s="19"/>
      <c r="I67" s="19"/>
      <c r="J67" s="19"/>
      <c r="K67" s="19"/>
    </row>
    <row r="68" spans="1:11" ht="12.75" thickBot="1">
      <c r="A68" s="19"/>
      <c r="B68" s="19"/>
      <c r="C68" s="19"/>
      <c r="D68" s="19"/>
      <c r="E68" s="19"/>
      <c r="F68" s="19"/>
      <c r="G68" s="19"/>
      <c r="H68" s="19"/>
      <c r="I68" s="19"/>
      <c r="J68" s="19"/>
      <c r="K68" s="19"/>
    </row>
  </sheetData>
  <sheetProtection algorithmName="SHA-512" hashValue="XTiKvzMkhQ5Px9nHigplmqOTkHEGxsrW9YPzcW6f3KskTDK8jLUlehsvynn70sGYyXjmJNvkcjvSszRW7TSRzw==" saltValue="i3rYmSjxpcZ3fSy20n+ljA==" spinCount="100000" sheet="1" objects="1" scenarios="1"/>
  <mergeCells count="79">
    <mergeCell ref="A7:J7"/>
    <mergeCell ref="A50:E50"/>
    <mergeCell ref="A5:J5"/>
    <mergeCell ref="A6:J6"/>
    <mergeCell ref="A18:J18"/>
    <mergeCell ref="E29:K29"/>
    <mergeCell ref="G42:K42"/>
    <mergeCell ref="A42:B42"/>
    <mergeCell ref="A40:K40"/>
    <mergeCell ref="A41:K41"/>
    <mergeCell ref="A44:B44"/>
    <mergeCell ref="A43:B43"/>
    <mergeCell ref="A8:J8"/>
    <mergeCell ref="A11:J11"/>
    <mergeCell ref="A26:J26"/>
    <mergeCell ref="A9:J9"/>
    <mergeCell ref="A62:K62"/>
    <mergeCell ref="A61:K61"/>
    <mergeCell ref="A49:E49"/>
    <mergeCell ref="A47:E47"/>
    <mergeCell ref="A48:E48"/>
    <mergeCell ref="H59:J59"/>
    <mergeCell ref="B58:D58"/>
    <mergeCell ref="E58:G58"/>
    <mergeCell ref="D55:J55"/>
    <mergeCell ref="H58:J58"/>
    <mergeCell ref="B59:C59"/>
    <mergeCell ref="D59:G59"/>
    <mergeCell ref="A60:B60"/>
    <mergeCell ref="D60:E60"/>
    <mergeCell ref="F60:K60"/>
    <mergeCell ref="A1:K1"/>
    <mergeCell ref="A2:K2"/>
    <mergeCell ref="A3:J3"/>
    <mergeCell ref="A4:J4"/>
    <mergeCell ref="A39:K39"/>
    <mergeCell ref="A33:K33"/>
    <mergeCell ref="A34:K34"/>
    <mergeCell ref="A35:K35"/>
    <mergeCell ref="A36:K36"/>
    <mergeCell ref="A38:K38"/>
    <mergeCell ref="A37:K37"/>
    <mergeCell ref="A30:B30"/>
    <mergeCell ref="E30:K30"/>
    <mergeCell ref="A29:B29"/>
    <mergeCell ref="A19:J19"/>
    <mergeCell ref="A20:J20"/>
    <mergeCell ref="A13:J13"/>
    <mergeCell ref="A12:J12"/>
    <mergeCell ref="A10:J10"/>
    <mergeCell ref="A15:J15"/>
    <mergeCell ref="A16:J16"/>
    <mergeCell ref="A14:J14"/>
    <mergeCell ref="A17:J17"/>
    <mergeCell ref="A21:J21"/>
    <mergeCell ref="A22:J22"/>
    <mergeCell ref="A23:J23"/>
    <mergeCell ref="A24:J24"/>
    <mergeCell ref="C42:F44"/>
    <mergeCell ref="A31:K31"/>
    <mergeCell ref="C29:D29"/>
    <mergeCell ref="C30:D30"/>
    <mergeCell ref="A32:K32"/>
    <mergeCell ref="A25:J25"/>
    <mergeCell ref="A54:K54"/>
    <mergeCell ref="A56:B56"/>
    <mergeCell ref="G57:J57"/>
    <mergeCell ref="A53:K53"/>
    <mergeCell ref="A46:K46"/>
    <mergeCell ref="A51:E51"/>
    <mergeCell ref="F47:K51"/>
    <mergeCell ref="A52:K52"/>
    <mergeCell ref="A55:C55"/>
    <mergeCell ref="C57:E57"/>
    <mergeCell ref="C56:J56"/>
    <mergeCell ref="A27:K27"/>
    <mergeCell ref="A28:K28"/>
    <mergeCell ref="A45:K45"/>
    <mergeCell ref="G43:K44"/>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6"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5">
    <tabColor theme="6" tint="0.599990010261536"/>
  </sheetPr>
  <dimension ref="A1:E49"/>
  <sheetViews>
    <sheetView workbookViewId="0" topLeftCell="A1">
      <selection pane="topLeft" activeCell="A3" sqref="A3:C3"/>
    </sheetView>
  </sheetViews>
  <sheetFormatPr defaultColWidth="9.14428571428571" defaultRowHeight="12.75"/>
  <cols>
    <col min="1" max="1" width="37.1428571428571" style="43" customWidth="1"/>
    <col min="2" max="3" width="29.8571428571429" style="43" customWidth="1"/>
    <col min="4" max="16384" width="9.14285714285714" style="43"/>
  </cols>
  <sheetData>
    <row r="1" spans="1:3" ht="12.75">
      <c r="A1" s="932" t="s">
        <v>2249</v>
      </c>
      <c r="B1" s="932"/>
      <c r="C1" s="932"/>
    </row>
    <row r="2" spans="1:5" ht="18">
      <c r="A2" s="937" t="s">
        <v>194</v>
      </c>
      <c r="B2" s="937"/>
      <c r="C2" s="937"/>
      <c r="D2" s="44"/>
      <c r="E2" s="44"/>
    </row>
    <row r="3" spans="1:5" ht="15.75">
      <c r="A3" s="938" t="s">
        <v>2570</v>
      </c>
      <c r="B3" s="938"/>
      <c r="C3" s="938"/>
      <c r="D3" s="44"/>
      <c r="E3" s="44"/>
    </row>
    <row r="4" spans="1:5" ht="12.75">
      <c r="A4" s="939"/>
      <c r="B4" s="939"/>
      <c r="C4" s="939"/>
      <c r="D4" s="44"/>
      <c r="E4" s="44"/>
    </row>
    <row r="5" spans="1:5" ht="16.5" thickBot="1">
      <c r="A5" s="45" t="s">
        <v>8</v>
      </c>
      <c r="B5" s="934" t="str">
        <f>+CONCATENATE(ZAKL_DATA!B5," ",ZAKL_DATA!B4," ",ZAKL_DATA!B7)</f>
        <v xml:space="preserve">  </v>
      </c>
      <c r="C5" s="935"/>
      <c r="D5" s="44"/>
      <c r="E5" s="44"/>
    </row>
    <row r="6" spans="1:5" ht="15.95" customHeight="1" thickBot="1">
      <c r="A6" s="46" t="s">
        <v>9</v>
      </c>
      <c r="B6" s="47" t="s">
        <v>10</v>
      </c>
      <c r="C6" s="48" t="s">
        <v>11</v>
      </c>
      <c r="D6" s="44"/>
      <c r="E6" s="44"/>
    </row>
    <row r="7" spans="1:5" ht="15.95" customHeight="1">
      <c r="A7" s="49" t="s">
        <v>12</v>
      </c>
      <c r="B7" s="139">
        <v>0</v>
      </c>
      <c r="C7" s="140">
        <v>0</v>
      </c>
      <c r="D7" s="44"/>
      <c r="E7" s="44"/>
    </row>
    <row r="8" spans="1:5" ht="15.95" customHeight="1">
      <c r="A8" s="50" t="s">
        <v>87</v>
      </c>
      <c r="B8" s="141">
        <v>0</v>
      </c>
      <c r="C8" s="142">
        <v>0</v>
      </c>
      <c r="D8" s="44"/>
      <c r="E8" s="44"/>
    </row>
    <row r="9" spans="1:5" ht="15.95" customHeight="1">
      <c r="A9" s="50" t="s">
        <v>244</v>
      </c>
      <c r="B9" s="141">
        <v>0</v>
      </c>
      <c r="C9" s="142">
        <v>0</v>
      </c>
      <c r="D9" s="44"/>
      <c r="E9" s="44"/>
    </row>
    <row r="10" spans="1:5" ht="15.95" customHeight="1">
      <c r="A10" s="50" t="s">
        <v>245</v>
      </c>
      <c r="B10" s="141">
        <v>0</v>
      </c>
      <c r="C10" s="142">
        <v>0</v>
      </c>
      <c r="D10" s="44"/>
      <c r="E10" s="44"/>
    </row>
    <row r="11" spans="1:5" ht="15.95" customHeight="1">
      <c r="A11" s="50" t="s">
        <v>88</v>
      </c>
      <c r="B11" s="141">
        <v>0</v>
      </c>
      <c r="C11" s="142">
        <v>0</v>
      </c>
      <c r="D11" s="44"/>
      <c r="E11" s="44"/>
    </row>
    <row r="12" spans="1:5" ht="15.95" customHeight="1">
      <c r="A12" s="50" t="s">
        <v>124</v>
      </c>
      <c r="B12" s="141">
        <v>0</v>
      </c>
      <c r="C12" s="142">
        <v>0</v>
      </c>
      <c r="D12" s="44"/>
      <c r="E12" s="44"/>
    </row>
    <row r="13" spans="1:5" ht="15.95" customHeight="1">
      <c r="A13" s="50" t="s">
        <v>2250</v>
      </c>
      <c r="B13" s="141">
        <v>0</v>
      </c>
      <c r="C13" s="142">
        <v>0</v>
      </c>
      <c r="D13" s="44"/>
      <c r="E13" s="44"/>
    </row>
    <row r="14" spans="1:5" ht="15.95" customHeight="1">
      <c r="A14" s="50" t="s">
        <v>2251</v>
      </c>
      <c r="B14" s="141">
        <v>0</v>
      </c>
      <c r="C14" s="142">
        <v>0</v>
      </c>
      <c r="D14" s="44"/>
      <c r="E14" s="44"/>
    </row>
    <row r="15" spans="1:5" ht="15.95" customHeight="1">
      <c r="A15" s="50" t="s">
        <v>13</v>
      </c>
      <c r="B15" s="141">
        <v>0</v>
      </c>
      <c r="C15" s="142">
        <v>0</v>
      </c>
      <c r="D15" s="44"/>
      <c r="E15" s="44"/>
    </row>
    <row r="16" spans="1:5" ht="15.95" customHeight="1">
      <c r="A16" s="51" t="s">
        <v>14</v>
      </c>
      <c r="B16" s="143">
        <f>SUM(B7:B15)</f>
        <v>0</v>
      </c>
      <c r="C16" s="144">
        <f>SUM(C7:C15)</f>
        <v>0</v>
      </c>
      <c r="D16" s="44"/>
      <c r="E16" s="44"/>
    </row>
    <row r="17" spans="1:5" ht="15.95" customHeight="1" thickBot="1">
      <c r="A17" s="52" t="s">
        <v>15</v>
      </c>
      <c r="B17" s="145">
        <f>SUM(B7:B16)</f>
        <v>0</v>
      </c>
      <c r="C17" s="146">
        <f>SUM(C7:C16)</f>
        <v>0</v>
      </c>
      <c r="D17" s="44"/>
      <c r="E17" s="44"/>
    </row>
    <row r="18" spans="1:5" ht="15.95" customHeight="1" thickBot="1">
      <c r="A18" s="53" t="s">
        <v>16</v>
      </c>
      <c r="B18" s="147"/>
      <c r="C18" s="148"/>
      <c r="D18" s="44"/>
      <c r="E18" s="44"/>
    </row>
    <row r="19" spans="1:5" ht="15.95" customHeight="1">
      <c r="A19" s="49" t="s">
        <v>2252</v>
      </c>
      <c r="B19" s="139">
        <v>0</v>
      </c>
      <c r="C19" s="140">
        <v>0</v>
      </c>
      <c r="D19" s="44"/>
      <c r="E19" s="44"/>
    </row>
    <row r="20" spans="1:5" ht="15.95" customHeight="1">
      <c r="A20" s="50" t="s">
        <v>2253</v>
      </c>
      <c r="B20" s="141">
        <v>0</v>
      </c>
      <c r="C20" s="142">
        <v>0</v>
      </c>
      <c r="D20" s="44"/>
      <c r="E20" s="44"/>
    </row>
    <row r="21" spans="1:5" ht="15.95" customHeight="1">
      <c r="A21" s="50" t="s">
        <v>17</v>
      </c>
      <c r="B21" s="141">
        <v>0</v>
      </c>
      <c r="C21" s="142">
        <v>0</v>
      </c>
      <c r="D21" s="44"/>
      <c r="E21" s="44"/>
    </row>
    <row r="22" spans="1:5" ht="15.95" customHeight="1">
      <c r="A22" s="50" t="s">
        <v>246</v>
      </c>
      <c r="B22" s="141">
        <v>0</v>
      </c>
      <c r="C22" s="142">
        <v>0</v>
      </c>
      <c r="D22" s="44"/>
      <c r="E22" s="44"/>
    </row>
    <row r="23" spans="1:5" ht="15.95" customHeight="1">
      <c r="A23" s="51" t="s">
        <v>18</v>
      </c>
      <c r="B23" s="143">
        <f>SUM(B19:B22)</f>
        <v>0</v>
      </c>
      <c r="C23" s="144">
        <f>SUM(C19:C22)</f>
        <v>0</v>
      </c>
      <c r="D23" s="44"/>
      <c r="E23" s="44"/>
    </row>
    <row r="24" spans="1:5" ht="15.95" customHeight="1">
      <c r="A24" s="51" t="s">
        <v>2254</v>
      </c>
      <c r="B24" s="143">
        <f>B16-B23</f>
        <v>0</v>
      </c>
      <c r="C24" s="144">
        <f>C16-C23</f>
        <v>0</v>
      </c>
      <c r="D24" s="44"/>
      <c r="E24" s="44"/>
    </row>
    <row r="25" spans="1:5" ht="15.95" customHeight="1" thickBot="1">
      <c r="A25" s="52" t="s">
        <v>15</v>
      </c>
      <c r="B25" s="145">
        <f>SUM(B19:B24)</f>
        <v>0</v>
      </c>
      <c r="C25" s="146">
        <f>SUM(C19:C24)</f>
        <v>0</v>
      </c>
      <c r="D25" s="44"/>
      <c r="E25" s="44"/>
    </row>
    <row r="26" spans="1:5" ht="15.95" customHeight="1">
      <c r="A26" s="940"/>
      <c r="B26" s="605"/>
      <c r="C26" s="605"/>
      <c r="D26" s="44"/>
      <c r="E26" s="44"/>
    </row>
    <row r="27" spans="1:5" ht="15.95" customHeight="1" thickBot="1">
      <c r="A27" s="936" t="s">
        <v>19</v>
      </c>
      <c r="B27" s="570"/>
      <c r="C27" s="570"/>
      <c r="D27" s="44"/>
      <c r="E27" s="44"/>
    </row>
    <row r="28" spans="1:3" ht="15.95" customHeight="1" thickBot="1">
      <c r="A28" s="46" t="s">
        <v>127</v>
      </c>
      <c r="B28" s="54"/>
      <c r="C28" s="55" t="s">
        <v>11</v>
      </c>
    </row>
    <row r="29" spans="1:3" ht="15.95" customHeight="1">
      <c r="A29" s="49" t="s">
        <v>20</v>
      </c>
      <c r="B29" s="56"/>
      <c r="C29" s="149">
        <v>0</v>
      </c>
    </row>
    <row r="30" spans="1:3" ht="15.95" customHeight="1">
      <c r="A30" s="50" t="s">
        <v>21</v>
      </c>
      <c r="B30" s="57"/>
      <c r="C30" s="150">
        <v>0</v>
      </c>
    </row>
    <row r="31" spans="1:3" ht="15.95" customHeight="1">
      <c r="A31" s="50" t="s">
        <v>22</v>
      </c>
      <c r="B31" s="57"/>
      <c r="C31" s="150">
        <v>0</v>
      </c>
    </row>
    <row r="32" spans="1:3" ht="15.95" customHeight="1">
      <c r="A32" s="60" t="s">
        <v>2255</v>
      </c>
      <c r="B32" s="57"/>
      <c r="C32" s="150">
        <v>0</v>
      </c>
    </row>
    <row r="33" spans="1:3" ht="15.95" customHeight="1">
      <c r="A33" s="50" t="s">
        <v>23</v>
      </c>
      <c r="B33" s="57"/>
      <c r="C33" s="150">
        <v>0</v>
      </c>
    </row>
    <row r="34" spans="1:3" ht="15.95" customHeight="1">
      <c r="A34" s="62" t="s">
        <v>24</v>
      </c>
      <c r="B34" s="61"/>
      <c r="C34" s="151">
        <f>+C29+C30+C31+C33</f>
        <v>0</v>
      </c>
    </row>
    <row r="35" spans="1:3" ht="15.95" customHeight="1" thickBot="1">
      <c r="A35" s="52" t="s">
        <v>15</v>
      </c>
      <c r="B35" s="58"/>
      <c r="C35" s="152">
        <f>SUM(C29:C33)</f>
        <v>0</v>
      </c>
    </row>
    <row r="36" spans="1:3" ht="15.95" customHeight="1" thickBot="1">
      <c r="A36" s="53" t="s">
        <v>128</v>
      </c>
      <c r="B36" s="59"/>
      <c r="C36" s="153"/>
    </row>
    <row r="37" spans="1:3" ht="15.95" customHeight="1">
      <c r="A37" s="49" t="s">
        <v>25</v>
      </c>
      <c r="B37" s="56"/>
      <c r="C37" s="149">
        <v>0</v>
      </c>
    </row>
    <row r="38" spans="1:3" ht="15.95" customHeight="1">
      <c r="A38" s="50" t="s">
        <v>26</v>
      </c>
      <c r="B38" s="57"/>
      <c r="C38" s="150">
        <v>0</v>
      </c>
    </row>
    <row r="39" spans="1:3" ht="15.95" customHeight="1">
      <c r="A39" s="50" t="s">
        <v>27</v>
      </c>
      <c r="B39" s="57"/>
      <c r="C39" s="150">
        <v>0</v>
      </c>
    </row>
    <row r="40" spans="1:3" ht="15.95" customHeight="1">
      <c r="A40" s="50" t="s">
        <v>261</v>
      </c>
      <c r="B40" s="57"/>
      <c r="C40" s="150">
        <v>0</v>
      </c>
    </row>
    <row r="41" spans="1:3" ht="15.95" customHeight="1">
      <c r="A41" s="50" t="s">
        <v>28</v>
      </c>
      <c r="B41" s="57"/>
      <c r="C41" s="150">
        <v>0</v>
      </c>
    </row>
    <row r="42" spans="1:3" ht="15.95" customHeight="1">
      <c r="A42" s="50" t="s">
        <v>29</v>
      </c>
      <c r="B42" s="57"/>
      <c r="C42" s="150">
        <v>0</v>
      </c>
    </row>
    <row r="43" spans="1:3" ht="15.95" customHeight="1">
      <c r="A43" s="60" t="s">
        <v>2256</v>
      </c>
      <c r="B43" s="57"/>
      <c r="C43" s="150">
        <v>0</v>
      </c>
    </row>
    <row r="44" spans="1:3" ht="15.95" customHeight="1">
      <c r="A44" s="60" t="s">
        <v>2257</v>
      </c>
      <c r="B44" s="57"/>
      <c r="C44" s="150">
        <v>0</v>
      </c>
    </row>
    <row r="45" spans="1:3" ht="15.95" customHeight="1">
      <c r="A45" s="60" t="s">
        <v>2258</v>
      </c>
      <c r="B45" s="57"/>
      <c r="C45" s="150">
        <v>0</v>
      </c>
    </row>
    <row r="46" spans="1:3" ht="15.95" customHeight="1">
      <c r="A46" s="62" t="s">
        <v>30</v>
      </c>
      <c r="B46" s="61"/>
      <c r="C46" s="151">
        <f>+SUM(C37:C42)</f>
        <v>0</v>
      </c>
    </row>
    <row r="47" spans="1:3" ht="15.95" customHeight="1">
      <c r="A47" s="62" t="s">
        <v>98</v>
      </c>
      <c r="B47" s="61"/>
      <c r="C47" s="151">
        <f>+C34-C46</f>
        <v>0</v>
      </c>
    </row>
    <row r="48" spans="1:3" ht="15.95" customHeight="1" thickBot="1">
      <c r="A48" s="52" t="s">
        <v>15</v>
      </c>
      <c r="B48" s="58"/>
      <c r="C48" s="152">
        <f>SUM(C37:C45)</f>
        <v>0</v>
      </c>
    </row>
    <row r="49" spans="1:3" ht="12.75">
      <c r="A49" s="933" t="str">
        <f>+'DAP1'!A46:L46</f>
        <v>Formulář zpracovala ASPEKT HM, daňová, účetní a auditorská kancelář, www.danovapriznani.cz, business.center.cz</v>
      </c>
      <c r="B49" s="643"/>
      <c r="C49" s="643"/>
    </row>
  </sheetData>
  <sheetProtection algorithmName="SHA-512" hashValue="2g2U2BimH43Lr60tTLeIyvoXXGq2TDL9wsI+PET3H5NdI/Tlrq2YFRW2gZ/iP7WGvM2ab65GnmYqRrz7EfjO8g==" saltValue="o4OYuHTRD97PZTiRNVmqVQ=="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6">
    <tabColor rgb="FFFFCCFF"/>
    <pageSetUpPr fitToPage="1"/>
  </sheetPr>
  <dimension ref="A1:AX38"/>
  <sheetViews>
    <sheetView workbookViewId="0" topLeftCell="A2">
      <selection pane="topLeft" activeCell="M33" sqref="M33"/>
    </sheetView>
  </sheetViews>
  <sheetFormatPr defaultColWidth="9.14428571428571" defaultRowHeight="12.75"/>
  <cols>
    <col min="1" max="1" width="3.57142857142857" customWidth="1"/>
    <col min="2" max="2" width="15.7142857142857" customWidth="1"/>
    <col min="3" max="4" width="8.71428571428571" customWidth="1"/>
    <col min="5" max="5" width="10.7142857142857" customWidth="1"/>
    <col min="6" max="6" width="7.71428571428571" customWidth="1"/>
    <col min="7" max="7" width="8.71428571428571" customWidth="1"/>
    <col min="8" max="8" width="9.57142857142857" customWidth="1"/>
    <col min="9" max="11" width="8.71428571428571" customWidth="1"/>
    <col min="12" max="22" width="9.14285714285714" style="2"/>
    <col min="23" max="23" width="11.4285714285714" style="2" bestFit="1" customWidth="1"/>
    <col min="24" max="50" width="9.14285714285714" style="2"/>
  </cols>
  <sheetData>
    <row r="1" spans="1:11" ht="18" customHeight="1" thickBot="1">
      <c r="A1" s="967" t="s">
        <v>236</v>
      </c>
      <c r="B1" s="968"/>
      <c r="C1" s="968"/>
      <c r="D1" s="968"/>
      <c r="E1" s="968"/>
      <c r="F1" s="968"/>
      <c r="G1" s="969"/>
      <c r="H1" s="245" t="s">
        <v>34</v>
      </c>
      <c r="I1" s="954" t="str">
        <f>'DAP1'!A9</f>
        <v/>
      </c>
      <c r="J1" s="955"/>
      <c r="K1" s="744"/>
    </row>
    <row r="2" spans="1:11" ht="26.25" customHeight="1">
      <c r="A2" s="966" t="s">
        <v>2561</v>
      </c>
      <c r="B2" s="966"/>
      <c r="C2" s="966"/>
      <c r="D2" s="966"/>
      <c r="E2" s="966"/>
      <c r="F2" s="966"/>
      <c r="G2" s="506"/>
      <c r="H2" s="972"/>
      <c r="I2" s="972"/>
      <c r="J2" s="972"/>
      <c r="K2" s="972"/>
    </row>
    <row r="3" spans="1:11" ht="36" customHeight="1">
      <c r="A3" s="957" t="s">
        <v>141</v>
      </c>
      <c r="B3" s="958"/>
      <c r="C3" s="958"/>
      <c r="D3" s="958"/>
      <c r="E3" s="958"/>
      <c r="F3" s="958"/>
      <c r="G3" s="958"/>
      <c r="H3" s="958"/>
      <c r="I3" s="958"/>
      <c r="J3" s="958"/>
      <c r="K3" s="958"/>
    </row>
    <row r="4" spans="1:11" ht="15.95" customHeight="1">
      <c r="A4" s="970" t="s">
        <v>2219</v>
      </c>
      <c r="B4" s="506"/>
      <c r="C4" s="506"/>
      <c r="D4" s="506"/>
      <c r="E4" s="506"/>
      <c r="F4" s="506"/>
      <c r="G4" s="506"/>
      <c r="H4" s="506"/>
      <c r="I4" s="506"/>
      <c r="J4" s="506"/>
      <c r="K4" s="506"/>
    </row>
    <row r="5" spans="1:11" ht="15.95" customHeight="1">
      <c r="A5" s="857" t="s">
        <v>2220</v>
      </c>
      <c r="B5" s="971"/>
      <c r="C5" s="971"/>
      <c r="D5" s="971"/>
      <c r="E5" s="971"/>
      <c r="F5" s="971"/>
      <c r="G5" s="971"/>
      <c r="H5" s="971"/>
      <c r="I5" s="971"/>
      <c r="J5" s="971"/>
      <c r="K5" s="971"/>
    </row>
    <row r="6" spans="1:11" ht="9.95" customHeight="1">
      <c r="A6" s="941" t="s">
        <v>213</v>
      </c>
      <c r="B6" s="942"/>
      <c r="C6" s="942"/>
      <c r="D6" s="942"/>
      <c r="E6" s="942"/>
      <c r="F6" s="942"/>
      <c r="G6" s="942"/>
      <c r="H6" s="942"/>
      <c r="I6" s="942"/>
      <c r="J6" s="942"/>
      <c r="K6" s="942"/>
    </row>
    <row r="7" spans="1:11" ht="8.1" customHeight="1" thickBot="1">
      <c r="A7" s="941"/>
      <c r="B7" s="942"/>
      <c r="C7" s="942"/>
      <c r="D7" s="942"/>
      <c r="E7" s="942"/>
      <c r="F7" s="942"/>
      <c r="G7" s="942"/>
      <c r="H7" s="942"/>
      <c r="I7" s="942"/>
      <c r="J7" s="942"/>
      <c r="K7" s="942"/>
    </row>
    <row r="8" spans="1:50" s="104" customFormat="1" ht="24" customHeight="1" thickBot="1">
      <c r="A8" s="951" t="s">
        <v>175</v>
      </c>
      <c r="B8" s="956"/>
      <c r="C8" s="90" t="s">
        <v>208</v>
      </c>
      <c r="D8" s="102"/>
      <c r="E8" s="951" t="s">
        <v>195</v>
      </c>
      <c r="F8" s="959"/>
      <c r="G8" s="90"/>
      <c r="H8" s="102"/>
      <c r="I8" s="951" t="s">
        <v>240</v>
      </c>
      <c r="J8" s="741"/>
      <c r="K8" s="90"/>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row>
    <row r="9" spans="1:50" s="104" customFormat="1" ht="7.5" customHeight="1" thickBot="1">
      <c r="A9" s="526"/>
      <c r="B9" s="526"/>
      <c r="C9" s="526"/>
      <c r="D9" s="526"/>
      <c r="E9" s="526"/>
      <c r="F9" s="526"/>
      <c r="G9" s="526"/>
      <c r="H9" s="526"/>
      <c r="I9" s="526"/>
      <c r="J9" s="526"/>
      <c r="K9" s="526"/>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row>
    <row r="10" spans="1:11" ht="12" customHeight="1">
      <c r="A10" s="960"/>
      <c r="B10" s="961"/>
      <c r="C10" s="961"/>
      <c r="D10" s="961"/>
      <c r="E10" s="962"/>
      <c r="F10" s="963" t="s">
        <v>130</v>
      </c>
      <c r="G10" s="964"/>
      <c r="H10" s="965"/>
      <c r="I10" s="973" t="s">
        <v>138</v>
      </c>
      <c r="J10" s="974"/>
      <c r="K10" s="720"/>
    </row>
    <row r="11" spans="1:11" ht="18" customHeight="1">
      <c r="A11" s="17">
        <v>101</v>
      </c>
      <c r="B11" s="680" t="s">
        <v>214</v>
      </c>
      <c r="C11" s="680"/>
      <c r="D11" s="680"/>
      <c r="E11" s="815"/>
      <c r="F11" s="711">
        <f>+IF(OR(EXACT(C8,"X"),EXACT(C8,"x")),CEILING(ZAV!C34,1)-ZAV!C32,+IF(OR(EXACT(K8,"X"),EXACT(K8,"x")),+F35,0))</f>
        <v>0</v>
      </c>
      <c r="G11" s="949"/>
      <c r="H11" s="950"/>
      <c r="I11" s="946"/>
      <c r="J11" s="947"/>
      <c r="K11" s="948"/>
    </row>
    <row r="12" spans="1:11" ht="18" customHeight="1">
      <c r="A12" s="17">
        <v>102</v>
      </c>
      <c r="B12" s="680" t="s">
        <v>215</v>
      </c>
      <c r="C12" s="680"/>
      <c r="D12" s="680"/>
      <c r="E12" s="815"/>
      <c r="F12" s="711">
        <f>+IF(OR(EXACT(C8,"X"),EXACT(C8,"x")),CEILING(ZAV!C46,1),+IF(OR(EXACT(K8,"X"),EXACT(K8,"x")),+H35,0))</f>
        <v>0</v>
      </c>
      <c r="G12" s="949"/>
      <c r="H12" s="950"/>
      <c r="I12" s="946"/>
      <c r="J12" s="947"/>
      <c r="K12" s="948"/>
    </row>
    <row r="13" spans="1:11" ht="18" customHeight="1">
      <c r="A13" s="17">
        <v>103</v>
      </c>
      <c r="B13" s="680" t="s">
        <v>143</v>
      </c>
      <c r="C13" s="680"/>
      <c r="D13" s="680"/>
      <c r="E13" s="815"/>
      <c r="F13" s="943"/>
      <c r="G13" s="944"/>
      <c r="H13" s="945"/>
      <c r="I13" s="946"/>
      <c r="J13" s="947"/>
      <c r="K13" s="948"/>
    </row>
    <row r="14" spans="1:11" ht="24" customHeight="1">
      <c r="A14" s="74">
        <v>104</v>
      </c>
      <c r="B14" s="677" t="s">
        <v>2221</v>
      </c>
      <c r="C14" s="684"/>
      <c r="D14" s="684"/>
      <c r="E14" s="685"/>
      <c r="F14" s="711">
        <f>+F11-F12-F13</f>
        <v>0</v>
      </c>
      <c r="G14" s="949"/>
      <c r="H14" s="950"/>
      <c r="I14" s="946"/>
      <c r="J14" s="947"/>
      <c r="K14" s="948"/>
    </row>
    <row r="15" spans="1:11" ht="45" customHeight="1">
      <c r="A15" s="14">
        <v>105</v>
      </c>
      <c r="B15" s="677" t="s">
        <v>36</v>
      </c>
      <c r="C15" s="677"/>
      <c r="D15" s="677"/>
      <c r="E15" s="816"/>
      <c r="F15" s="703">
        <f>+SUM('1Př2'!F20:G23)</f>
        <v>0</v>
      </c>
      <c r="G15" s="952"/>
      <c r="H15" s="953"/>
      <c r="I15" s="946"/>
      <c r="J15" s="947"/>
      <c r="K15" s="948"/>
    </row>
    <row r="16" spans="1:11" ht="45" customHeight="1">
      <c r="A16" s="76">
        <v>106</v>
      </c>
      <c r="B16" s="677" t="s">
        <v>35</v>
      </c>
      <c r="C16" s="677"/>
      <c r="D16" s="677"/>
      <c r="E16" s="816"/>
      <c r="F16" s="703">
        <f>+SUM('1Př2'!F26:G29)</f>
        <v>0</v>
      </c>
      <c r="G16" s="952"/>
      <c r="H16" s="953"/>
      <c r="I16" s="946"/>
      <c r="J16" s="947"/>
      <c r="K16" s="948"/>
    </row>
    <row r="17" spans="1:11" ht="48" customHeight="1">
      <c r="A17" s="14">
        <v>107</v>
      </c>
      <c r="B17" s="677" t="s">
        <v>2225</v>
      </c>
      <c r="C17" s="684"/>
      <c r="D17" s="684"/>
      <c r="E17" s="685"/>
      <c r="F17" s="711">
        <f>FLOOR(+F11*('1Př2'!G39+'1Př2'!G40),1)</f>
        <v>0</v>
      </c>
      <c r="G17" s="949"/>
      <c r="H17" s="950"/>
      <c r="I17" s="946"/>
      <c r="J17" s="947"/>
      <c r="K17" s="948"/>
    </row>
    <row r="18" spans="1:50" s="1" customFormat="1" ht="48" customHeight="1">
      <c r="A18" s="14">
        <v>108</v>
      </c>
      <c r="B18" s="797" t="s">
        <v>2224</v>
      </c>
      <c r="C18" s="975"/>
      <c r="D18" s="975"/>
      <c r="E18" s="976"/>
      <c r="F18" s="711">
        <f>FLOOR(+F12*('1Př2'!G39+'1Př2'!G40),1)</f>
        <v>0</v>
      </c>
      <c r="G18" s="949"/>
      <c r="H18" s="950"/>
      <c r="I18" s="946"/>
      <c r="J18" s="947"/>
      <c r="K18" s="948"/>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1" customFormat="1" ht="48" customHeight="1">
      <c r="A19" s="14">
        <v>109</v>
      </c>
      <c r="B19" s="797" t="s">
        <v>2222</v>
      </c>
      <c r="C19" s="975"/>
      <c r="D19" s="975"/>
      <c r="E19" s="976"/>
      <c r="F19" s="711">
        <v>0</v>
      </c>
      <c r="G19" s="949"/>
      <c r="H19" s="950"/>
      <c r="I19" s="946"/>
      <c r="J19" s="947"/>
      <c r="K19" s="948"/>
      <c r="L19" s="6"/>
      <c r="M19" s="135" t="str">
        <f>+IF(F19-F20&gt;540000,"CHYBA"," ")</f>
        <v xml:space="preserve"> </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1" customFormat="1" ht="48" customHeight="1">
      <c r="A20" s="14">
        <v>110</v>
      </c>
      <c r="B20" s="797" t="s">
        <v>2223</v>
      </c>
      <c r="C20" s="975"/>
      <c r="D20" s="975"/>
      <c r="E20" s="976"/>
      <c r="F20" s="711">
        <v>0</v>
      </c>
      <c r="G20" s="949"/>
      <c r="H20" s="950"/>
      <c r="I20" s="946"/>
      <c r="J20" s="947"/>
      <c r="K20" s="948"/>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1" customFormat="1" ht="18" customHeight="1">
      <c r="A21" s="14">
        <v>111</v>
      </c>
      <c r="B21" s="680" t="s">
        <v>143</v>
      </c>
      <c r="C21" s="680"/>
      <c r="D21" s="680"/>
      <c r="E21" s="815"/>
      <c r="F21" s="943"/>
      <c r="G21" s="944"/>
      <c r="H21" s="945"/>
      <c r="I21" s="946"/>
      <c r="J21" s="947"/>
      <c r="K21" s="948"/>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1" customFormat="1" ht="36" customHeight="1">
      <c r="A22" s="14">
        <v>112</v>
      </c>
      <c r="B22" s="797" t="s">
        <v>142</v>
      </c>
      <c r="C22" s="975"/>
      <c r="D22" s="975"/>
      <c r="E22" s="976"/>
      <c r="F22" s="711">
        <v>0</v>
      </c>
      <c r="G22" s="949"/>
      <c r="H22" s="950"/>
      <c r="I22" s="946"/>
      <c r="J22" s="947"/>
      <c r="K22" s="948"/>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s="1" customFormat="1" ht="24" customHeight="1" thickBot="1">
      <c r="A23" s="15">
        <v>113</v>
      </c>
      <c r="B23" s="817" t="s">
        <v>2439</v>
      </c>
      <c r="C23" s="1027"/>
      <c r="D23" s="1027"/>
      <c r="E23" s="1028"/>
      <c r="F23" s="697">
        <f>+F14+F15-F16-F17+F18+F19-F20-F21+F22</f>
        <v>0</v>
      </c>
      <c r="G23" s="1029"/>
      <c r="H23" s="1030"/>
      <c r="I23" s="984"/>
      <c r="J23" s="985"/>
      <c r="K23" s="98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s="1" customFormat="1" ht="18" customHeight="1">
      <c r="A24" s="988" t="s">
        <v>216</v>
      </c>
      <c r="B24" s="989"/>
      <c r="C24" s="989"/>
      <c r="D24" s="989"/>
      <c r="E24" s="989"/>
      <c r="F24" s="989"/>
      <c r="G24" s="989"/>
      <c r="H24" s="989"/>
      <c r="I24" s="989"/>
      <c r="J24" s="989"/>
      <c r="K24" s="989"/>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s="1" customFormat="1" ht="12.75" customHeight="1">
      <c r="A25" s="990" t="s">
        <v>241</v>
      </c>
      <c r="B25" s="991"/>
      <c r="C25" s="991"/>
      <c r="D25" s="991"/>
      <c r="E25" s="991"/>
      <c r="F25" s="991"/>
      <c r="G25" s="991"/>
      <c r="H25" s="991"/>
      <c r="I25" s="991"/>
      <c r="J25" s="991"/>
      <c r="K25" s="991"/>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s="1" customFormat="1" ht="12" customHeight="1" thickBot="1">
      <c r="A26" s="982" t="s">
        <v>196</v>
      </c>
      <c r="B26" s="888"/>
      <c r="C26" s="888"/>
      <c r="D26" s="888"/>
      <c r="E26" s="982" t="s">
        <v>134</v>
      </c>
      <c r="F26" s="983"/>
      <c r="G26" s="888"/>
      <c r="H26" s="888"/>
      <c r="I26" s="992" t="s">
        <v>68</v>
      </c>
      <c r="J26" s="992"/>
      <c r="K26" s="993"/>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1" customFormat="1" ht="18" customHeight="1" thickBot="1">
      <c r="A27" s="977">
        <v>0</v>
      </c>
      <c r="B27" s="987"/>
      <c r="C27" s="979"/>
      <c r="D27" s="134"/>
      <c r="E27" s="977">
        <f>+CEILING(ZAV!C43,1)</f>
        <v>0</v>
      </c>
      <c r="F27" s="978"/>
      <c r="G27" s="979"/>
      <c r="H27" s="134"/>
      <c r="I27" s="977">
        <v>0</v>
      </c>
      <c r="J27" s="980"/>
      <c r="K27" s="981"/>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s="1" customFormat="1" ht="12" customHeight="1">
      <c r="A28" s="990" t="s">
        <v>217</v>
      </c>
      <c r="B28" s="1011"/>
      <c r="C28" s="1011"/>
      <c r="D28" s="1011"/>
      <c r="E28" s="1006" t="s">
        <v>218</v>
      </c>
      <c r="F28" s="990"/>
      <c r="G28" s="592"/>
      <c r="H28" s="592"/>
      <c r="I28" s="592"/>
      <c r="J28" s="592"/>
      <c r="K28" s="592"/>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s="1" customFormat="1" ht="12" customHeight="1" thickBot="1">
      <c r="A29" s="992" t="s">
        <v>2226</v>
      </c>
      <c r="B29" s="993"/>
      <c r="C29" s="993"/>
      <c r="D29" s="993"/>
      <c r="E29" s="1007"/>
      <c r="F29" s="1000" t="s">
        <v>127</v>
      </c>
      <c r="G29" s="1000"/>
      <c r="H29" s="1000" t="s">
        <v>128</v>
      </c>
      <c r="I29" s="1000"/>
      <c r="J29" s="1000" t="s">
        <v>145</v>
      </c>
      <c r="K29" s="1000"/>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s="1" customFormat="1" ht="36" customHeight="1" thickBot="1">
      <c r="A30" s="1008" t="str">
        <f>CONCATENATE(+ZAKL_DATA!B29)</f>
        <v/>
      </c>
      <c r="B30" s="1009"/>
      <c r="C30" s="1009"/>
      <c r="D30" s="1010"/>
      <c r="E30" s="345">
        <v>0</v>
      </c>
      <c r="F30" s="998">
        <f>+IF(OR(EXACT(K8,"X"),EXACT(K8,"x")),F11,IF(OR(EXACT(C8,"X"),EXACT(C8,"x")),CEILING(ZAV!C34,1)-ZAV!C32,0))</f>
        <v>0</v>
      </c>
      <c r="G30" s="999"/>
      <c r="H30" s="998">
        <f>+IF(OR(EXACT(C8,"X"),EXACT(C8,"x")),CEILING(ZAV!C46,1),IF(OR(EXACT(K8,"X"),EXACT(K8,"x")),MIN(2000000*E30,FLOOR(+E30*F30,1)),0))</f>
        <v>0</v>
      </c>
      <c r="I30" s="999"/>
      <c r="J30" s="996"/>
      <c r="K30" s="997"/>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 customFormat="1" ht="12" customHeight="1" thickBot="1">
      <c r="A31" s="591" t="s">
        <v>219</v>
      </c>
      <c r="B31" s="1001"/>
      <c r="C31" s="1001"/>
      <c r="D31" s="1001"/>
      <c r="E31" s="1001"/>
      <c r="F31" s="1001"/>
      <c r="G31" s="1001"/>
      <c r="H31" s="1001"/>
      <c r="I31" s="1001"/>
      <c r="J31" s="1001"/>
      <c r="K31" s="1001"/>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s="1" customFormat="1" ht="18" customHeight="1">
      <c r="A32" s="1004"/>
      <c r="B32" s="1005"/>
      <c r="C32" s="1005"/>
      <c r="D32" s="1005"/>
      <c r="E32" s="344">
        <v>0</v>
      </c>
      <c r="F32" s="994">
        <v>0</v>
      </c>
      <c r="G32" s="995"/>
      <c r="H32" s="994">
        <f>+IF(OR(EXACT(K8,"X"),EXACT(K8,"x")),MIN(2000000*E32,FLOOR(+E32*F32,1)),0)</f>
        <v>0</v>
      </c>
      <c r="I32" s="995"/>
      <c r="J32" s="1002"/>
      <c r="K32" s="1003"/>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s="1" customFormat="1" ht="18" customHeight="1">
      <c r="A33" s="1015"/>
      <c r="B33" s="1016"/>
      <c r="C33" s="1016"/>
      <c r="D33" s="1016"/>
      <c r="E33" s="342">
        <v>0</v>
      </c>
      <c r="F33" s="1025">
        <v>0</v>
      </c>
      <c r="G33" s="1026"/>
      <c r="H33" s="1025">
        <f>+IF(OR(EXACT(K8,"X"),EXACT(K8,"x")),MIN(2000000*E33,FLOOR(+E33*F33,1)),0)</f>
        <v>0</v>
      </c>
      <c r="I33" s="1026"/>
      <c r="J33" s="1019"/>
      <c r="K33" s="1020"/>
      <c r="L33" s="6"/>
      <c r="M33" s="1345"/>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s="1" customFormat="1" ht="18" customHeight="1">
      <c r="A34" s="1015"/>
      <c r="B34" s="1016"/>
      <c r="C34" s="1016"/>
      <c r="D34" s="1016"/>
      <c r="E34" s="342">
        <v>0</v>
      </c>
      <c r="F34" s="1025">
        <v>0</v>
      </c>
      <c r="G34" s="1026"/>
      <c r="H34" s="1025">
        <f>+IF(OR(EXACT(K8,"X"),EXACT(K8,"x")),MIN(2000000*E34,FLOOR(+E34*F34,1)),0)</f>
        <v>0</v>
      </c>
      <c r="I34" s="1026"/>
      <c r="J34" s="1019"/>
      <c r="K34" s="1020"/>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s="1" customFormat="1" ht="18" customHeight="1" thickBot="1">
      <c r="A35" s="1017" t="s">
        <v>52</v>
      </c>
      <c r="B35" s="1018"/>
      <c r="C35" s="1018"/>
      <c r="D35" s="1018"/>
      <c r="E35" s="343"/>
      <c r="F35" s="1023">
        <f>SUM(F32:F34)+F30</f>
        <v>0</v>
      </c>
      <c r="G35" s="1024"/>
      <c r="H35" s="1023">
        <f>SUM(H32:H34)+H30</f>
        <v>0</v>
      </c>
      <c r="I35" s="1024"/>
      <c r="J35" s="1021"/>
      <c r="K35" s="1022"/>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s="1" customFormat="1" ht="13.5" customHeight="1">
      <c r="A36" s="1013" t="str">
        <f>+'DAP1'!A46</f>
        <v>Formulář zpracovala ASPEKT HM, daňová, účetní a auditorská kancelář, www.danovapriznani.cz, business.center.cz</v>
      </c>
      <c r="B36" s="1013"/>
      <c r="C36" s="1013"/>
      <c r="D36" s="1013"/>
      <c r="E36" s="1013"/>
      <c r="F36" s="1013"/>
      <c r="G36" s="1013"/>
      <c r="H36" s="1013"/>
      <c r="I36" s="1013"/>
      <c r="J36" s="1013"/>
      <c r="K36" s="1013"/>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1" customFormat="1" ht="9" customHeight="1">
      <c r="A37" s="1014" t="s">
        <v>2562</v>
      </c>
      <c r="B37" s="1014"/>
      <c r="C37" s="1014"/>
      <c r="D37" s="1014"/>
      <c r="E37" s="1014"/>
      <c r="F37" s="1014"/>
      <c r="G37" s="1014"/>
      <c r="H37" s="1014"/>
      <c r="I37" s="1014"/>
      <c r="J37" s="1014"/>
      <c r="K37" s="1014"/>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11" ht="13.5" customHeight="1">
      <c r="A38" s="1012" t="s">
        <v>237</v>
      </c>
      <c r="B38" s="1012"/>
      <c r="C38" s="1012"/>
      <c r="D38" s="1012"/>
      <c r="E38" s="1012"/>
      <c r="F38" s="1012"/>
      <c r="G38" s="1012"/>
      <c r="H38" s="1012"/>
      <c r="I38" s="1012"/>
      <c r="J38" s="1012"/>
      <c r="K38" s="1012"/>
    </row>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row r="317" s="2" customFormat="1" ht="12.75"/>
    <row r="318" s="2" customFormat="1" ht="12.75"/>
    <row r="319" s="2" customFormat="1" ht="12.75"/>
    <row r="320" s="2" customFormat="1" ht="12.75"/>
    <row r="321" s="2" customFormat="1" ht="12.75"/>
    <row r="322" s="2" customFormat="1" ht="12.75"/>
    <row r="323" s="2" customFormat="1" ht="12.75"/>
    <row r="324" s="2" customFormat="1" ht="12.75"/>
    <row r="325" s="2" customFormat="1" ht="12.75"/>
    <row r="326" s="2" customFormat="1" ht="12.75"/>
    <row r="327" s="2" customFormat="1" ht="12.75"/>
    <row r="328" s="2" customFormat="1" ht="12.75"/>
    <row r="329" s="2" customFormat="1" ht="12.75"/>
    <row r="330" s="2" customFormat="1" ht="12.75"/>
    <row r="331" s="2" customFormat="1" ht="12.75"/>
    <row r="332" s="2" customFormat="1" ht="12.75"/>
    <row r="333" s="2" customFormat="1" ht="12.75"/>
    <row r="334" s="2" customFormat="1" ht="12.75"/>
    <row r="335" s="2" customFormat="1" ht="12.75"/>
    <row r="336" s="2" customFormat="1" ht="12.75"/>
    <row r="337" s="2" customFormat="1" ht="12.75"/>
    <row r="338" s="2" customFormat="1" ht="12.75"/>
    <row r="339" s="2" customFormat="1" ht="12.75"/>
    <row r="340" s="2" customFormat="1" ht="12.75"/>
    <row r="341" s="2" customFormat="1" ht="12.75"/>
    <row r="342" s="2" customFormat="1" ht="12.75"/>
    <row r="343" s="2" customFormat="1" ht="12.75"/>
    <row r="344" s="2" customFormat="1" ht="12.75"/>
    <row r="345" s="2" customFormat="1" ht="12.75"/>
    <row r="346" s="2" customFormat="1" ht="12.75"/>
    <row r="347" s="2" customFormat="1" ht="12.75"/>
    <row r="348" s="2" customFormat="1" ht="12.75"/>
    <row r="349" s="2" customFormat="1" ht="12.75"/>
    <row r="350" s="2" customFormat="1" ht="12.75"/>
    <row r="351" s="2" customFormat="1" ht="12.75"/>
    <row r="352" s="2" customFormat="1" ht="12.75"/>
    <row r="353" s="2" customFormat="1" ht="12.75"/>
    <row r="354" s="2" customFormat="1" ht="12.75"/>
    <row r="355" s="2" customFormat="1" ht="12.75"/>
    <row r="356" s="2" customFormat="1" ht="12.75"/>
    <row r="357" s="2" customFormat="1" ht="12.75"/>
    <row r="358" s="2" customFormat="1" ht="12.75"/>
    <row r="359" s="2" customFormat="1" ht="12.75"/>
    <row r="360" s="2" customFormat="1" ht="12.75"/>
    <row r="361" s="2" customFormat="1" ht="12.75"/>
    <row r="362" s="2" customFormat="1" ht="12.75"/>
    <row r="363" s="2" customFormat="1" ht="12.75"/>
    <row r="364" s="2" customFormat="1" ht="12.75"/>
    <row r="365" s="2" customFormat="1" ht="12.75"/>
    <row r="366" s="2" customFormat="1" ht="12.75"/>
    <row r="367" s="2" customFormat="1" ht="12.75"/>
    <row r="368" s="2" customFormat="1" ht="12.75"/>
    <row r="369" s="2" customFormat="1" ht="12.75"/>
    <row r="370" s="2" customFormat="1" ht="12.75"/>
    <row r="371" s="2" customFormat="1" ht="12.75"/>
    <row r="372" s="2" customFormat="1" ht="12.75"/>
    <row r="373" s="2" customFormat="1" ht="12.75"/>
    <row r="374" s="2" customFormat="1" ht="12.75"/>
    <row r="375" s="2" customFormat="1" ht="12.75"/>
    <row r="376" s="2" customFormat="1" ht="12.75"/>
    <row r="377" s="2" customFormat="1" ht="12.75"/>
    <row r="378" s="2" customFormat="1" ht="12.75"/>
    <row r="379" s="2" customFormat="1" ht="12.75"/>
    <row r="380" s="2" customFormat="1" ht="12.75"/>
    <row r="381" s="2" customFormat="1" ht="12.75"/>
    <row r="382" s="2" customFormat="1" ht="12.75"/>
    <row r="383" s="2" customFormat="1" ht="12.75"/>
    <row r="384" s="2" customFormat="1" ht="12.75"/>
    <row r="385" s="2" customFormat="1" ht="12.75"/>
    <row r="386" s="2" customFormat="1" ht="12.75"/>
    <row r="387" s="2" customFormat="1" ht="12.75"/>
    <row r="388" s="2" customFormat="1" ht="12.75"/>
    <row r="389" s="2" customFormat="1" ht="12.75"/>
    <row r="390" s="2" customFormat="1" ht="12.75"/>
    <row r="391" s="2" customFormat="1" ht="12.75"/>
  </sheetData>
  <sheetProtection algorithmName="SHA-512" hashValue="EI+cgFohIyTdI2OPkhm4c4Zxhht8yh/9XgaTFHxtAiMoSqgwQLqXB2uemvP89E/EXYipe3Lxm01gf1Lke/NtFg==" saltValue="CyMUGiVKkThFvwUQNQXLUA==" spinCount="100000" sheet="1" objects="1" scenarios="1"/>
  <mergeCells count="94">
    <mergeCell ref="B23:E23"/>
    <mergeCell ref="F23:H23"/>
    <mergeCell ref="I17:K17"/>
    <mergeCell ref="I20:K20"/>
    <mergeCell ref="F21:H21"/>
    <mergeCell ref="A38:K38"/>
    <mergeCell ref="A36:K36"/>
    <mergeCell ref="A37:K37"/>
    <mergeCell ref="A33:D33"/>
    <mergeCell ref="A34:D34"/>
    <mergeCell ref="A35:D35"/>
    <mergeCell ref="J34:K34"/>
    <mergeCell ref="J35:K35"/>
    <mergeCell ref="F35:G35"/>
    <mergeCell ref="H35:I35"/>
    <mergeCell ref="F34:G34"/>
    <mergeCell ref="H34:I34"/>
    <mergeCell ref="F33:G33"/>
    <mergeCell ref="H33:I33"/>
    <mergeCell ref="J33:K33"/>
    <mergeCell ref="F32:G32"/>
    <mergeCell ref="H32:I32"/>
    <mergeCell ref="J30:K30"/>
    <mergeCell ref="H30:I30"/>
    <mergeCell ref="J29:K29"/>
    <mergeCell ref="A31:K31"/>
    <mergeCell ref="J32:K32"/>
    <mergeCell ref="F30:G30"/>
    <mergeCell ref="A32:D32"/>
    <mergeCell ref="E28:E29"/>
    <mergeCell ref="F28:K28"/>
    <mergeCell ref="A29:D29"/>
    <mergeCell ref="A30:D30"/>
    <mergeCell ref="F29:G29"/>
    <mergeCell ref="H29:I29"/>
    <mergeCell ref="A28:D28"/>
    <mergeCell ref="E27:G27"/>
    <mergeCell ref="I27:K27"/>
    <mergeCell ref="B19:E19"/>
    <mergeCell ref="B20:E20"/>
    <mergeCell ref="F18:H18"/>
    <mergeCell ref="F19:H19"/>
    <mergeCell ref="A26:D26"/>
    <mergeCell ref="E26:H26"/>
    <mergeCell ref="B18:E18"/>
    <mergeCell ref="I21:K21"/>
    <mergeCell ref="I22:K22"/>
    <mergeCell ref="I23:K23"/>
    <mergeCell ref="A27:C27"/>
    <mergeCell ref="A24:K24"/>
    <mergeCell ref="A25:K25"/>
    <mergeCell ref="I26:K26"/>
    <mergeCell ref="B14:E14"/>
    <mergeCell ref="B15:E15"/>
    <mergeCell ref="I18:K18"/>
    <mergeCell ref="I19:K19"/>
    <mergeCell ref="F22:H22"/>
    <mergeCell ref="F20:H20"/>
    <mergeCell ref="F15:H15"/>
    <mergeCell ref="F17:H17"/>
    <mergeCell ref="B21:E21"/>
    <mergeCell ref="B22:E22"/>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s>
  <dataValidations count="1">
    <dataValidation type="list" allowBlank="1" showInputMessage="1" sqref="A32:A34">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7">
    <tabColor rgb="FFFFCCFF"/>
    <pageSetUpPr fitToPage="1"/>
  </sheetPr>
  <dimension ref="A1:AZ80"/>
  <sheetViews>
    <sheetView workbookViewId="0" topLeftCell="A1">
      <selection pane="topLeft" activeCell="J19" sqref="J19"/>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73"/>
  </cols>
  <sheetData>
    <row r="1" spans="1:7" ht="18" customHeight="1">
      <c r="A1" s="990" t="s">
        <v>2227</v>
      </c>
      <c r="B1" s="1070"/>
      <c r="C1" s="1070"/>
      <c r="D1" s="1070"/>
      <c r="E1" s="1070"/>
      <c r="F1" s="1070"/>
      <c r="G1" s="1070"/>
    </row>
    <row r="2" spans="1:7 51:52" ht="15.95" customHeight="1" thickBot="1">
      <c r="A2" s="1071" t="s">
        <v>37</v>
      </c>
      <c r="B2" s="570"/>
      <c r="C2" s="129" t="s">
        <v>233</v>
      </c>
      <c r="D2" s="129"/>
      <c r="E2" s="129" t="s">
        <v>234</v>
      </c>
      <c r="F2" s="128" t="s">
        <v>235</v>
      </c>
      <c r="G2" s="128" t="s">
        <v>54</v>
      </c>
      <c r="AY2"/>
      <c r="AZ2"/>
    </row>
    <row r="3" spans="1:7 51:52" ht="15.95" customHeight="1" thickBot="1">
      <c r="A3" s="1087"/>
      <c r="B3" s="1088"/>
      <c r="C3" s="1085"/>
      <c r="D3" s="1086"/>
      <c r="E3" s="127"/>
      <c r="F3" s="132"/>
      <c r="G3" s="133">
        <v>12</v>
      </c>
      <c r="AY3"/>
      <c r="AZ3"/>
    </row>
    <row r="4" spans="1:7" ht="18" customHeight="1">
      <c r="A4" s="1074" t="s">
        <v>2315</v>
      </c>
      <c r="B4" s="1075"/>
      <c r="C4" s="1075"/>
      <c r="D4" s="1075"/>
      <c r="E4" s="1075"/>
      <c r="F4" s="1075"/>
      <c r="G4" s="1075"/>
    </row>
    <row r="5" spans="1:7" ht="15.95" customHeight="1" thickBot="1">
      <c r="A5" s="1083" t="s">
        <v>2316</v>
      </c>
      <c r="B5" s="1084"/>
      <c r="C5" s="1084"/>
      <c r="D5" s="1084"/>
      <c r="E5" s="1084"/>
      <c r="F5" s="1084"/>
      <c r="G5" s="1084"/>
    </row>
    <row r="6" spans="1:7" ht="22.5">
      <c r="A6" s="1081"/>
      <c r="B6" s="649"/>
      <c r="C6" s="649"/>
      <c r="D6" s="649"/>
      <c r="E6" s="1082"/>
      <c r="F6" s="78" t="s">
        <v>243</v>
      </c>
      <c r="G6" s="79" t="s">
        <v>242</v>
      </c>
    </row>
    <row r="7" spans="1:7" ht="15.95" customHeight="1">
      <c r="A7" s="40" t="s">
        <v>117</v>
      </c>
      <c r="B7" s="1079" t="s">
        <v>93</v>
      </c>
      <c r="C7" s="1079"/>
      <c r="D7" s="1079"/>
      <c r="E7" s="688"/>
      <c r="F7" s="63">
        <f>+ZAV!B7</f>
        <v>0</v>
      </c>
      <c r="G7" s="77">
        <f>+ZAV!C7</f>
        <v>0</v>
      </c>
    </row>
    <row r="8" spans="1:7" ht="15.95" customHeight="1">
      <c r="A8" s="40" t="s">
        <v>118</v>
      </c>
      <c r="B8" s="1079" t="s">
        <v>222</v>
      </c>
      <c r="C8" s="1079"/>
      <c r="D8" s="1079"/>
      <c r="E8" s="688"/>
      <c r="F8" s="63">
        <f>+ZAV!B9</f>
        <v>0</v>
      </c>
      <c r="G8" s="77">
        <f>+ZAV!C9</f>
        <v>0</v>
      </c>
    </row>
    <row r="9" spans="1:7" ht="15.95" customHeight="1">
      <c r="A9" s="40" t="s">
        <v>119</v>
      </c>
      <c r="B9" s="1079" t="s">
        <v>200</v>
      </c>
      <c r="C9" s="1079"/>
      <c r="D9" s="1079"/>
      <c r="E9" s="688"/>
      <c r="F9" s="63">
        <f>+ZAV!B10</f>
        <v>0</v>
      </c>
      <c r="G9" s="77">
        <f>+ZAV!C10</f>
        <v>0</v>
      </c>
    </row>
    <row r="10" spans="1:7" ht="15.95" customHeight="1">
      <c r="A10" s="40" t="s">
        <v>251</v>
      </c>
      <c r="B10" s="1079" t="s">
        <v>124</v>
      </c>
      <c r="C10" s="1079"/>
      <c r="D10" s="1079"/>
      <c r="E10" s="688"/>
      <c r="F10" s="63">
        <f>+ZAV!B12</f>
        <v>0</v>
      </c>
      <c r="G10" s="77">
        <f>+ZAV!C12</f>
        <v>0</v>
      </c>
    </row>
    <row r="11" spans="1:7" ht="15.95" customHeight="1">
      <c r="A11" s="40" t="s">
        <v>89</v>
      </c>
      <c r="B11" s="1079" t="s">
        <v>2228</v>
      </c>
      <c r="C11" s="1079"/>
      <c r="D11" s="1079"/>
      <c r="E11" s="688"/>
      <c r="F11" s="63">
        <f>+ZAV!B13+ZAV!B14</f>
        <v>0</v>
      </c>
      <c r="G11" s="77">
        <f>+ZAV!C13+ZAV!C14</f>
        <v>0</v>
      </c>
    </row>
    <row r="12" spans="1:7" ht="15.95" customHeight="1">
      <c r="A12" s="40" t="s">
        <v>250</v>
      </c>
      <c r="B12" s="1079" t="s">
        <v>201</v>
      </c>
      <c r="C12" s="1079"/>
      <c r="D12" s="1079"/>
      <c r="E12" s="688"/>
      <c r="F12" s="63">
        <f>+ZAV!B15+ZAV!B11+ZAV!B8</f>
        <v>0</v>
      </c>
      <c r="G12" s="77">
        <f>+ZAV!C15+ZAV!C11+ZAV!C8</f>
        <v>0</v>
      </c>
    </row>
    <row r="13" spans="1:7" ht="15.95" customHeight="1">
      <c r="A13" s="40" t="s">
        <v>249</v>
      </c>
      <c r="B13" s="1079" t="s">
        <v>2229</v>
      </c>
      <c r="C13" s="1079"/>
      <c r="D13" s="1079"/>
      <c r="E13" s="688"/>
      <c r="F13" s="63">
        <f>+ZAV!B19+ZAV!B20</f>
        <v>0</v>
      </c>
      <c r="G13" s="77">
        <f>+ZAV!C19+ZAV!C20</f>
        <v>0</v>
      </c>
    </row>
    <row r="14" spans="1:7" ht="15.95" customHeight="1" thickBot="1">
      <c r="A14" s="41" t="s">
        <v>248</v>
      </c>
      <c r="B14" s="1080" t="s">
        <v>246</v>
      </c>
      <c r="C14" s="1080"/>
      <c r="D14" s="1080"/>
      <c r="E14" s="693"/>
      <c r="F14" s="64">
        <f>+ZAV!B22</f>
        <v>0</v>
      </c>
      <c r="G14" s="91">
        <f>+ZAV!C22</f>
        <v>0</v>
      </c>
    </row>
    <row r="15" spans="1:7" ht="9" customHeight="1" thickBot="1">
      <c r="A15" s="1074"/>
      <c r="B15" s="1075"/>
      <c r="C15" s="1075"/>
      <c r="D15" s="1075"/>
      <c r="E15" s="1075"/>
      <c r="F15" s="1075"/>
      <c r="G15" s="1075"/>
    </row>
    <row r="16" spans="1:7" ht="15.95" customHeight="1" thickBot="1">
      <c r="A16" s="80" t="s">
        <v>247</v>
      </c>
      <c r="B16" s="105" t="s">
        <v>27</v>
      </c>
      <c r="C16" s="1076"/>
      <c r="D16" s="1077"/>
      <c r="E16" s="1078"/>
      <c r="F16" s="1075"/>
      <c r="G16" s="1075"/>
    </row>
    <row r="17" spans="1:7" ht="15" customHeight="1">
      <c r="A17" s="1072" t="s">
        <v>202</v>
      </c>
      <c r="B17" s="1073"/>
      <c r="C17" s="1073"/>
      <c r="D17" s="1073"/>
      <c r="E17" s="1073"/>
      <c r="F17" s="1073"/>
      <c r="G17" s="1073"/>
    </row>
    <row r="18" spans="1:7" ht="18" customHeight="1" thickBot="1">
      <c r="A18" s="1050" t="s">
        <v>181</v>
      </c>
      <c r="B18" s="1051"/>
      <c r="C18" s="1051"/>
      <c r="D18" s="1051"/>
      <c r="E18" s="1051"/>
      <c r="F18" s="1051"/>
      <c r="G18" s="1051"/>
    </row>
    <row r="19" spans="1:7" ht="24" customHeight="1">
      <c r="A19" s="83" t="s">
        <v>2230</v>
      </c>
      <c r="B19" s="1065" t="s">
        <v>55</v>
      </c>
      <c r="C19" s="1066"/>
      <c r="D19" s="1066"/>
      <c r="E19" s="1067"/>
      <c r="F19" s="1068" t="s">
        <v>166</v>
      </c>
      <c r="G19" s="1069"/>
    </row>
    <row r="20" spans="1:7" ht="15.95" customHeight="1">
      <c r="A20" s="38" t="s">
        <v>117</v>
      </c>
      <c r="B20" s="1044"/>
      <c r="C20" s="1044"/>
      <c r="D20" s="1044"/>
      <c r="E20" s="1044"/>
      <c r="F20" s="1045"/>
      <c r="G20" s="1046"/>
    </row>
    <row r="21" spans="1:7" ht="15.95" customHeight="1">
      <c r="A21" s="38" t="s">
        <v>118</v>
      </c>
      <c r="B21" s="1044"/>
      <c r="C21" s="1044"/>
      <c r="D21" s="1044"/>
      <c r="E21" s="1044"/>
      <c r="F21" s="1045"/>
      <c r="G21" s="1046"/>
    </row>
    <row r="22" spans="1:7" ht="15.95" customHeight="1">
      <c r="A22" s="38" t="s">
        <v>119</v>
      </c>
      <c r="B22" s="1044"/>
      <c r="C22" s="1044"/>
      <c r="D22" s="1044"/>
      <c r="E22" s="1044"/>
      <c r="F22" s="1045"/>
      <c r="G22" s="1046"/>
    </row>
    <row r="23" spans="1:7" ht="15.95" customHeight="1" thickBot="1">
      <c r="A23" s="39" t="s">
        <v>251</v>
      </c>
      <c r="B23" s="1047"/>
      <c r="C23" s="1047"/>
      <c r="D23" s="1047"/>
      <c r="E23" s="1047"/>
      <c r="F23" s="1048"/>
      <c r="G23" s="1049"/>
    </row>
    <row r="24" spans="1:7" ht="13.5" thickBot="1">
      <c r="A24" s="1050"/>
      <c r="B24" s="1051"/>
      <c r="C24" s="1051"/>
      <c r="D24" s="1051"/>
      <c r="E24" s="1051"/>
      <c r="F24" s="1051"/>
      <c r="G24" s="1051"/>
    </row>
    <row r="25" spans="1:7" ht="24.75" customHeight="1">
      <c r="A25" s="83" t="s">
        <v>167</v>
      </c>
      <c r="B25" s="1065" t="s">
        <v>56</v>
      </c>
      <c r="C25" s="1066"/>
      <c r="D25" s="1066"/>
      <c r="E25" s="1067"/>
      <c r="F25" s="1068" t="s">
        <v>166</v>
      </c>
      <c r="G25" s="1069"/>
    </row>
    <row r="26" spans="1:7" ht="15.95" customHeight="1">
      <c r="A26" s="38" t="s">
        <v>117</v>
      </c>
      <c r="B26" s="1044"/>
      <c r="C26" s="1044"/>
      <c r="D26" s="1044"/>
      <c r="E26" s="1044"/>
      <c r="F26" s="1045"/>
      <c r="G26" s="1046"/>
    </row>
    <row r="27" spans="1:7" ht="15.95" customHeight="1">
      <c r="A27" s="38" t="s">
        <v>118</v>
      </c>
      <c r="B27" s="1044"/>
      <c r="C27" s="1044"/>
      <c r="D27" s="1044"/>
      <c r="E27" s="1044"/>
      <c r="F27" s="1045"/>
      <c r="G27" s="1046"/>
    </row>
    <row r="28" spans="1:7" ht="15.95" customHeight="1">
      <c r="A28" s="38" t="s">
        <v>119</v>
      </c>
      <c r="B28" s="1044"/>
      <c r="C28" s="1044"/>
      <c r="D28" s="1044"/>
      <c r="E28" s="1044"/>
      <c r="F28" s="1045"/>
      <c r="G28" s="1046"/>
    </row>
    <row r="29" spans="1:7" ht="15.95" customHeight="1" thickBot="1">
      <c r="A29" s="39" t="s">
        <v>251</v>
      </c>
      <c r="B29" s="1047"/>
      <c r="C29" s="1047"/>
      <c r="D29" s="1047"/>
      <c r="E29" s="1047"/>
      <c r="F29" s="1048"/>
      <c r="G29" s="1049"/>
    </row>
    <row r="30" spans="1:7" ht="18" customHeight="1" thickBot="1">
      <c r="A30" s="1050" t="s">
        <v>69</v>
      </c>
      <c r="B30" s="1051"/>
      <c r="C30" s="1051"/>
      <c r="D30" s="1051"/>
      <c r="E30" s="1051"/>
      <c r="F30" s="1051"/>
      <c r="G30" s="1051"/>
    </row>
    <row r="31" spans="1:7" ht="15.95" customHeight="1">
      <c r="A31" s="1052" t="s">
        <v>70</v>
      </c>
      <c r="B31" s="1053"/>
      <c r="C31" s="1053"/>
      <c r="D31" s="1053"/>
      <c r="E31" s="1053"/>
      <c r="F31" s="1053"/>
      <c r="G31" s="1054"/>
    </row>
    <row r="32" spans="1:7" ht="15.95" customHeight="1">
      <c r="A32" s="87"/>
      <c r="B32" s="23" t="s">
        <v>38</v>
      </c>
      <c r="C32" s="1063" t="s">
        <v>84</v>
      </c>
      <c r="D32" s="1063"/>
      <c r="E32" s="23" t="s">
        <v>131</v>
      </c>
      <c r="F32" s="23" t="s">
        <v>85</v>
      </c>
      <c r="G32" s="24" t="s">
        <v>86</v>
      </c>
    </row>
    <row r="33" spans="1:7" ht="15.95" customHeight="1">
      <c r="A33" s="25" t="s">
        <v>117</v>
      </c>
      <c r="B33" s="93"/>
      <c r="C33" s="1035"/>
      <c r="D33" s="1035"/>
      <c r="E33" s="27"/>
      <c r="F33" s="30"/>
      <c r="G33" s="29"/>
    </row>
    <row r="34" spans="1:7" ht="15.95" customHeight="1">
      <c r="A34" s="25" t="s">
        <v>118</v>
      </c>
      <c r="B34" s="28"/>
      <c r="C34" s="1035"/>
      <c r="D34" s="1035"/>
      <c r="E34" s="94"/>
      <c r="F34" s="95"/>
      <c r="G34" s="96"/>
    </row>
    <row r="35" spans="1:7" ht="15.95" customHeight="1" thickBot="1">
      <c r="A35" s="26" t="s">
        <v>119</v>
      </c>
      <c r="B35" s="97"/>
      <c r="C35" s="1064"/>
      <c r="D35" s="1064"/>
      <c r="E35" s="97"/>
      <c r="F35" s="31"/>
      <c r="G35" s="32"/>
    </row>
    <row r="36" spans="1:7" ht="18" customHeight="1" thickBot="1">
      <c r="A36" s="1042" t="s">
        <v>223</v>
      </c>
      <c r="B36" s="1043"/>
      <c r="C36" s="1043"/>
      <c r="D36" s="1043"/>
      <c r="E36" s="1043"/>
      <c r="F36" s="1043"/>
      <c r="G36" s="1043"/>
    </row>
    <row r="37" spans="1:7" ht="15.95" customHeight="1">
      <c r="A37" s="1039" t="s">
        <v>71</v>
      </c>
      <c r="B37" s="1040"/>
      <c r="C37" s="1040"/>
      <c r="D37" s="1040"/>
      <c r="E37" s="1040"/>
      <c r="F37" s="1040"/>
      <c r="G37" s="1041"/>
    </row>
    <row r="38" spans="1:7" ht="24" customHeight="1">
      <c r="A38" s="88"/>
      <c r="B38" s="1055" t="s">
        <v>38</v>
      </c>
      <c r="C38" s="1056"/>
      <c r="D38" s="1055" t="s">
        <v>84</v>
      </c>
      <c r="E38" s="1056"/>
      <c r="F38" s="33" t="s">
        <v>199</v>
      </c>
      <c r="G38" s="34" t="s">
        <v>252</v>
      </c>
    </row>
    <row r="39" spans="1:7" ht="15.95" customHeight="1">
      <c r="A39" s="25" t="s">
        <v>117</v>
      </c>
      <c r="B39" s="1037"/>
      <c r="C39" s="1038"/>
      <c r="D39" s="1037"/>
      <c r="E39" s="1038"/>
      <c r="F39" s="411"/>
      <c r="G39" s="29"/>
    </row>
    <row r="40" spans="1:7" ht="15.95" customHeight="1" thickBot="1">
      <c r="A40" s="26" t="s">
        <v>118</v>
      </c>
      <c r="B40" s="1031"/>
      <c r="C40" s="1032"/>
      <c r="D40" s="1031"/>
      <c r="E40" s="1032"/>
      <c r="F40" s="8"/>
      <c r="G40" s="32"/>
    </row>
    <row r="41" spans="1:52" s="81" customFormat="1" ht="18" customHeight="1" thickBot="1">
      <c r="A41" s="1042" t="s">
        <v>182</v>
      </c>
      <c r="B41" s="1043"/>
      <c r="C41" s="1043"/>
      <c r="D41" s="1043"/>
      <c r="E41" s="1043"/>
      <c r="F41" s="1043"/>
      <c r="G41" s="1043"/>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row>
    <row r="42" spans="1:7" ht="15.95" customHeight="1">
      <c r="A42" s="1039" t="s">
        <v>72</v>
      </c>
      <c r="B42" s="1040"/>
      <c r="C42" s="1040"/>
      <c r="D42" s="1040"/>
      <c r="E42" s="1040"/>
      <c r="F42" s="1040"/>
      <c r="G42" s="1041"/>
    </row>
    <row r="43" spans="1:7" ht="24" customHeight="1">
      <c r="A43" s="88"/>
      <c r="B43" s="754" t="s">
        <v>38</v>
      </c>
      <c r="C43" s="1036"/>
      <c r="D43" s="754" t="s">
        <v>84</v>
      </c>
      <c r="E43" s="1036"/>
      <c r="F43" s="412" t="s">
        <v>131</v>
      </c>
      <c r="G43" s="34" t="s">
        <v>252</v>
      </c>
    </row>
    <row r="44" spans="1:7" ht="15.95" customHeight="1" thickBot="1">
      <c r="A44" s="26" t="s">
        <v>117</v>
      </c>
      <c r="B44" s="1031"/>
      <c r="C44" s="1032"/>
      <c r="D44" s="1031"/>
      <c r="E44" s="1032"/>
      <c r="F44" s="8"/>
      <c r="G44" s="32"/>
    </row>
    <row r="45" spans="1:7" ht="13.5" thickBot="1">
      <c r="A45" s="1033" t="s">
        <v>260</v>
      </c>
      <c r="B45" s="1034"/>
      <c r="C45" s="1034"/>
      <c r="D45" s="1034"/>
      <c r="E45" s="1034"/>
      <c r="F45" s="1034"/>
      <c r="G45" s="1034"/>
    </row>
    <row r="46" spans="1:7" ht="12.75">
      <c r="A46" s="1059" t="s">
        <v>183</v>
      </c>
      <c r="B46" s="1060"/>
      <c r="C46" s="1060"/>
      <c r="D46" s="1060"/>
      <c r="E46" s="1060"/>
      <c r="F46" s="35" t="s">
        <v>131</v>
      </c>
      <c r="G46" s="36" t="s">
        <v>132</v>
      </c>
    </row>
    <row r="47" spans="1:7" ht="13.5" thickBot="1">
      <c r="A47" s="1061"/>
      <c r="B47" s="1062"/>
      <c r="C47" s="1062"/>
      <c r="D47" s="1062"/>
      <c r="E47" s="1062"/>
      <c r="F47" s="92"/>
      <c r="G47" s="37"/>
    </row>
    <row r="48" spans="1:7" ht="9" customHeight="1">
      <c r="A48" s="1057" t="s">
        <v>2563</v>
      </c>
      <c r="B48" s="605"/>
      <c r="C48" s="605"/>
      <c r="D48" s="605"/>
      <c r="E48" s="605"/>
      <c r="F48" s="605"/>
      <c r="G48" s="605"/>
    </row>
    <row r="49" spans="1:7" ht="9" customHeight="1">
      <c r="A49" s="1058" t="s">
        <v>2564</v>
      </c>
      <c r="B49" s="506"/>
      <c r="C49" s="506"/>
      <c r="D49" s="506"/>
      <c r="E49" s="506"/>
      <c r="F49" s="506"/>
      <c r="G49" s="506"/>
    </row>
    <row r="50" spans="1:7" ht="12.75">
      <c r="A50" s="1012" t="s">
        <v>238</v>
      </c>
      <c r="B50" s="1012"/>
      <c r="C50" s="1012"/>
      <c r="D50" s="1012"/>
      <c r="E50" s="1012"/>
      <c r="F50" s="1012"/>
      <c r="G50" s="1012"/>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pans="1:7" ht="12.75">
      <c r="A74" s="73"/>
      <c r="B74" s="73"/>
      <c r="C74" s="73"/>
      <c r="D74" s="73"/>
      <c r="E74" s="73"/>
      <c r="F74" s="73"/>
      <c r="G74" s="73"/>
    </row>
    <row r="75" spans="1:7" ht="12.75">
      <c r="A75" s="73"/>
      <c r="B75" s="73"/>
      <c r="C75" s="73"/>
      <c r="D75" s="73"/>
      <c r="E75" s="73"/>
      <c r="F75" s="73"/>
      <c r="G75" s="73"/>
    </row>
    <row r="76" spans="1:7" ht="12.75">
      <c r="A76" s="73"/>
      <c r="B76" s="73"/>
      <c r="C76" s="73"/>
      <c r="D76" s="73"/>
      <c r="E76" s="73"/>
      <c r="F76" s="73"/>
      <c r="G76" s="73"/>
    </row>
    <row r="77" spans="1:7" ht="12.75">
      <c r="A77" s="73"/>
      <c r="B77" s="73"/>
      <c r="C77" s="73"/>
      <c r="D77" s="73"/>
      <c r="E77" s="73"/>
      <c r="F77" s="73"/>
      <c r="G77" s="73"/>
    </row>
    <row r="78" spans="1:7" ht="12.75">
      <c r="A78" s="73"/>
      <c r="B78" s="73"/>
      <c r="C78" s="73"/>
      <c r="D78" s="73"/>
      <c r="E78" s="73"/>
      <c r="F78" s="73"/>
      <c r="G78" s="73"/>
    </row>
    <row r="79" spans="1:7" ht="12.75">
      <c r="A79" s="73"/>
      <c r="B79" s="73"/>
      <c r="C79" s="73"/>
      <c r="D79" s="73"/>
      <c r="E79" s="73"/>
      <c r="F79" s="73"/>
      <c r="G79" s="73"/>
    </row>
    <row r="80" spans="1:7" ht="12.75">
      <c r="A80" s="73"/>
      <c r="B80" s="73"/>
      <c r="C80" s="73"/>
      <c r="D80" s="73"/>
      <c r="E80" s="73"/>
      <c r="F80" s="73"/>
      <c r="G80" s="73"/>
    </row>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thickBot="1"/>
  </sheetData>
  <sheetProtection algorithmName="SHA-512" hashValue="rj9ITiGnlK3gtUqRKI9cid6JR1MECj0flqwNBK44Etugk9LliaaVgryviMh3GB7FNwwkBt9WbZx4OOnu9HOWGw==" saltValue="X6Bx3/jfOQlrthE+2ltZWg=="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tabColor rgb="FFFFCCFF"/>
    <pageSetUpPr fitToPage="1"/>
  </sheetPr>
  <dimension ref="A1:BG128"/>
  <sheetViews>
    <sheetView workbookViewId="0" topLeftCell="A1">
      <selection pane="topLeft" activeCell="A3" sqref="A3:J3"/>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73"/>
  </cols>
  <sheetData>
    <row r="1" spans="1:10" ht="18" customHeight="1" thickBot="1">
      <c r="A1" s="967" t="s">
        <v>168</v>
      </c>
      <c r="B1" s="968"/>
      <c r="C1" s="968"/>
      <c r="D1" s="968"/>
      <c r="E1" s="968"/>
      <c r="F1" s="968"/>
      <c r="G1" s="1127" t="s">
        <v>34</v>
      </c>
      <c r="H1" s="608"/>
      <c r="I1" s="954" t="str">
        <f>'DAP1'!A9</f>
        <v/>
      </c>
      <c r="J1" s="744"/>
    </row>
    <row r="2" spans="1:10" ht="24" customHeight="1">
      <c r="A2" s="966" t="s">
        <v>2565</v>
      </c>
      <c r="B2" s="966"/>
      <c r="C2" s="966"/>
      <c r="D2" s="966"/>
      <c r="E2" s="966"/>
      <c r="F2" s="966"/>
      <c r="G2" s="506"/>
      <c r="H2" s="1075"/>
      <c r="I2" s="1075"/>
      <c r="J2" s="1075"/>
    </row>
    <row r="3" spans="1:10" ht="36" customHeight="1">
      <c r="A3" s="957" t="s">
        <v>141</v>
      </c>
      <c r="B3" s="958"/>
      <c r="C3" s="958"/>
      <c r="D3" s="958"/>
      <c r="E3" s="958"/>
      <c r="F3" s="958"/>
      <c r="G3" s="958"/>
      <c r="H3" s="958"/>
      <c r="I3" s="958"/>
      <c r="J3" s="958"/>
    </row>
    <row r="4" spans="1:10" ht="30" customHeight="1">
      <c r="A4" s="1128" t="s">
        <v>2231</v>
      </c>
      <c r="B4" s="1129"/>
      <c r="C4" s="1129"/>
      <c r="D4" s="1129"/>
      <c r="E4" s="1129"/>
      <c r="F4" s="1129"/>
      <c r="G4" s="1129"/>
      <c r="H4" s="1129"/>
      <c r="I4" s="1129"/>
      <c r="J4" s="1129"/>
    </row>
    <row r="5" spans="1:10" ht="18" customHeight="1">
      <c r="A5" s="857" t="s">
        <v>2232</v>
      </c>
      <c r="B5" s="971"/>
      <c r="C5" s="971"/>
      <c r="D5" s="971"/>
      <c r="E5" s="971"/>
      <c r="F5" s="971"/>
      <c r="G5" s="971"/>
      <c r="H5" s="971"/>
      <c r="I5" s="971"/>
      <c r="J5" s="971"/>
    </row>
    <row r="6" spans="1:10" ht="18" customHeight="1" thickBot="1">
      <c r="A6" s="1139" t="s">
        <v>224</v>
      </c>
      <c r="B6" s="820"/>
      <c r="C6" s="820"/>
      <c r="D6" s="820"/>
      <c r="E6" s="820"/>
      <c r="F6" s="820"/>
      <c r="G6" s="820"/>
      <c r="H6" s="820"/>
      <c r="I6" s="820"/>
      <c r="J6" s="820"/>
    </row>
    <row r="7" spans="1:59" s="104" customFormat="1" ht="24" customHeight="1" thickBot="1">
      <c r="A7" s="1117" t="s">
        <v>2233</v>
      </c>
      <c r="B7" s="1118"/>
      <c r="C7" s="1118"/>
      <c r="D7" s="154"/>
      <c r="E7" s="155"/>
      <c r="F7" s="1135" t="s">
        <v>75</v>
      </c>
      <c r="G7" s="1136"/>
      <c r="H7" s="1136"/>
      <c r="I7" s="1136"/>
      <c r="J7" s="154"/>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row>
    <row r="8" spans="1:59" s="104" customFormat="1" ht="9.95" customHeight="1" thickBot="1">
      <c r="A8" s="1139"/>
      <c r="B8" s="1142"/>
      <c r="C8" s="1142"/>
      <c r="D8" s="1142"/>
      <c r="E8" s="1142"/>
      <c r="F8" s="1142"/>
      <c r="G8" s="1142"/>
      <c r="H8" s="1142"/>
      <c r="I8" s="1142"/>
      <c r="J8" s="1142"/>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row>
    <row r="9" spans="1:10" ht="12" customHeight="1">
      <c r="A9" s="1081"/>
      <c r="B9" s="725"/>
      <c r="C9" s="725"/>
      <c r="D9" s="725"/>
      <c r="E9" s="725"/>
      <c r="F9" s="1110"/>
      <c r="G9" s="758" t="s">
        <v>130</v>
      </c>
      <c r="H9" s="1113"/>
      <c r="I9" s="758" t="s">
        <v>138</v>
      </c>
      <c r="J9" s="1114"/>
    </row>
    <row r="10" spans="1:10" ht="21" customHeight="1">
      <c r="A10" s="17">
        <v>201</v>
      </c>
      <c r="B10" s="1137" t="s">
        <v>2440</v>
      </c>
      <c r="C10" s="1137"/>
      <c r="D10" s="1137"/>
      <c r="E10" s="1137"/>
      <c r="F10" s="1138"/>
      <c r="G10" s="1119">
        <v>0</v>
      </c>
      <c r="H10" s="1120"/>
      <c r="I10" s="1121"/>
      <c r="J10" s="1122"/>
    </row>
    <row r="11" spans="1:10" ht="21" customHeight="1">
      <c r="A11" s="17" t="s">
        <v>73</v>
      </c>
      <c r="B11" s="1137" t="s">
        <v>2234</v>
      </c>
      <c r="C11" s="1137"/>
      <c r="D11" s="1137"/>
      <c r="E11" s="1137"/>
      <c r="F11" s="1138"/>
      <c r="G11" s="1119">
        <f>+G10</f>
        <v>0</v>
      </c>
      <c r="H11" s="1120"/>
      <c r="I11" s="1121"/>
      <c r="J11" s="1122"/>
    </row>
    <row r="12" spans="1:10" ht="21" customHeight="1">
      <c r="A12" s="17">
        <v>202</v>
      </c>
      <c r="B12" s="1137" t="s">
        <v>212</v>
      </c>
      <c r="C12" s="1137"/>
      <c r="D12" s="1137"/>
      <c r="E12" s="1137"/>
      <c r="F12" s="1138"/>
      <c r="G12" s="1119">
        <f>+IF(OR(EXACT(D7,"X"),EXACT(D7,"x")),+MIN(600000,ROUND(G10*0.3,0)),0)</f>
        <v>0</v>
      </c>
      <c r="H12" s="1120"/>
      <c r="I12" s="1121"/>
      <c r="J12" s="1122"/>
    </row>
    <row r="13" spans="1:10" ht="27.95" customHeight="1">
      <c r="A13" s="17">
        <v>203</v>
      </c>
      <c r="B13" s="1124" t="s">
        <v>76</v>
      </c>
      <c r="C13" s="1124"/>
      <c r="D13" s="1124"/>
      <c r="E13" s="1124"/>
      <c r="F13" s="1125"/>
      <c r="G13" s="700">
        <f>+G10-G12</f>
        <v>0</v>
      </c>
      <c r="H13" s="1123"/>
      <c r="I13" s="1121"/>
      <c r="J13" s="1122"/>
    </row>
    <row r="14" spans="1:10" ht="36" customHeight="1">
      <c r="A14" s="17">
        <v>204</v>
      </c>
      <c r="B14" s="1124" t="s">
        <v>2317</v>
      </c>
      <c r="C14" s="1124"/>
      <c r="D14" s="1124"/>
      <c r="E14" s="1124"/>
      <c r="F14" s="1125"/>
      <c r="G14" s="1119">
        <v>0</v>
      </c>
      <c r="H14" s="1120"/>
      <c r="I14" s="1121"/>
      <c r="J14" s="1122"/>
    </row>
    <row r="15" spans="1:10" ht="36" customHeight="1">
      <c r="A15" s="17">
        <v>205</v>
      </c>
      <c r="B15" s="1124" t="s">
        <v>2318</v>
      </c>
      <c r="C15" s="1124"/>
      <c r="D15" s="1124"/>
      <c r="E15" s="1124"/>
      <c r="F15" s="1125"/>
      <c r="G15" s="1119">
        <v>0</v>
      </c>
      <c r="H15" s="1120"/>
      <c r="I15" s="1121"/>
      <c r="J15" s="1122"/>
    </row>
    <row r="16" spans="1:10" ht="27.95" customHeight="1" thickBot="1">
      <c r="A16" s="16">
        <v>206</v>
      </c>
      <c r="B16" s="716" t="s">
        <v>2413</v>
      </c>
      <c r="C16" s="716"/>
      <c r="D16" s="716"/>
      <c r="E16" s="716"/>
      <c r="F16" s="1126"/>
      <c r="G16" s="697">
        <f>+G13+G14-G15</f>
        <v>0</v>
      </c>
      <c r="H16" s="1140"/>
      <c r="I16" s="1141"/>
      <c r="J16" s="641"/>
    </row>
    <row r="17" spans="1:10" ht="8.1" customHeight="1" thickBot="1">
      <c r="A17" s="857"/>
      <c r="B17" s="971"/>
      <c r="C17" s="971"/>
      <c r="D17" s="971"/>
      <c r="E17" s="971"/>
      <c r="F17" s="971"/>
      <c r="G17" s="971"/>
      <c r="H17" s="971"/>
      <c r="I17" s="971"/>
      <c r="J17" s="971"/>
    </row>
    <row r="18" spans="1:10" ht="24" customHeight="1" thickBot="1">
      <c r="A18" s="1143" t="s">
        <v>220</v>
      </c>
      <c r="B18" s="1144"/>
      <c r="C18" s="1146">
        <v>0</v>
      </c>
      <c r="D18" s="1147"/>
      <c r="E18" s="1148"/>
      <c r="F18" s="1145" t="s">
        <v>221</v>
      </c>
      <c r="G18" s="1144"/>
      <c r="H18" s="1146">
        <v>0</v>
      </c>
      <c r="I18" s="1147"/>
      <c r="J18" s="1149"/>
    </row>
    <row r="19" spans="1:10" ht="12" customHeight="1">
      <c r="A19" s="857"/>
      <c r="B19" s="971"/>
      <c r="C19" s="971"/>
      <c r="D19" s="971"/>
      <c r="E19" s="971"/>
      <c r="F19" s="971"/>
      <c r="G19" s="971"/>
      <c r="H19" s="971"/>
      <c r="I19" s="971"/>
      <c r="J19" s="971"/>
    </row>
    <row r="20" spans="1:10" ht="15.95" customHeight="1">
      <c r="A20" s="857" t="s">
        <v>2235</v>
      </c>
      <c r="B20" s="971"/>
      <c r="C20" s="971"/>
      <c r="D20" s="971"/>
      <c r="E20" s="971"/>
      <c r="F20" s="971"/>
      <c r="G20" s="971"/>
      <c r="H20" s="971"/>
      <c r="I20" s="971"/>
      <c r="J20" s="971"/>
    </row>
    <row r="21" spans="1:10" ht="15.95" customHeight="1" thickBot="1">
      <c r="A21" s="1139" t="s">
        <v>213</v>
      </c>
      <c r="B21" s="820"/>
      <c r="C21" s="820"/>
      <c r="D21" s="820"/>
      <c r="E21" s="820"/>
      <c r="F21" s="820"/>
      <c r="G21" s="820"/>
      <c r="H21" s="820"/>
      <c r="I21" s="820"/>
      <c r="J21" s="820"/>
    </row>
    <row r="22" spans="1:10" ht="24" customHeight="1">
      <c r="A22" s="1089" t="s">
        <v>133</v>
      </c>
      <c r="B22" s="649"/>
      <c r="C22" s="1082"/>
      <c r="D22" s="973" t="s">
        <v>127</v>
      </c>
      <c r="E22" s="1091"/>
      <c r="F22" s="973" t="s">
        <v>128</v>
      </c>
      <c r="G22" s="1091"/>
      <c r="H22" s="1115" t="s">
        <v>2236</v>
      </c>
      <c r="I22" s="786"/>
      <c r="J22" s="116" t="s">
        <v>82</v>
      </c>
    </row>
    <row r="23" spans="1:10" ht="12.75">
      <c r="A23" s="1090">
        <v>1</v>
      </c>
      <c r="B23" s="539"/>
      <c r="C23" s="681"/>
      <c r="D23" s="756">
        <v>2</v>
      </c>
      <c r="E23" s="1092"/>
      <c r="F23" s="756">
        <v>3</v>
      </c>
      <c r="G23" s="1092"/>
      <c r="H23" s="756">
        <v>4</v>
      </c>
      <c r="I23" s="1116"/>
      <c r="J23" s="7">
        <v>5</v>
      </c>
    </row>
    <row r="24" spans="1:10" ht="21" customHeight="1">
      <c r="A24" s="17">
        <v>1</v>
      </c>
      <c r="B24" s="1095"/>
      <c r="C24" s="518"/>
      <c r="D24" s="1102">
        <v>0</v>
      </c>
      <c r="E24" s="1103"/>
      <c r="F24" s="1102">
        <v>0</v>
      </c>
      <c r="G24" s="1103"/>
      <c r="H24" s="1104">
        <f>+D24-F24</f>
        <v>0</v>
      </c>
      <c r="I24" s="1105"/>
      <c r="J24" s="98"/>
    </row>
    <row r="25" spans="1:10" ht="21" customHeight="1">
      <c r="A25" s="17">
        <v>2</v>
      </c>
      <c r="B25" s="1095"/>
      <c r="C25" s="518"/>
      <c r="D25" s="1102">
        <v>0</v>
      </c>
      <c r="E25" s="1103"/>
      <c r="F25" s="1102">
        <v>0</v>
      </c>
      <c r="G25" s="1103"/>
      <c r="H25" s="1104">
        <f t="shared" si="0" ref="H25:H27">+D25-F25</f>
        <v>0</v>
      </c>
      <c r="I25" s="1105"/>
      <c r="J25" s="98"/>
    </row>
    <row r="26" spans="1:10" ht="21" customHeight="1">
      <c r="A26" s="17">
        <v>3</v>
      </c>
      <c r="B26" s="1095"/>
      <c r="C26" s="518"/>
      <c r="D26" s="1102">
        <v>0</v>
      </c>
      <c r="E26" s="1103"/>
      <c r="F26" s="1102">
        <v>0</v>
      </c>
      <c r="G26" s="1103"/>
      <c r="H26" s="1104">
        <f t="shared" si="0"/>
        <v>0</v>
      </c>
      <c r="I26" s="1105"/>
      <c r="J26" s="98"/>
    </row>
    <row r="27" spans="1:10" ht="21" customHeight="1">
      <c r="A27" s="17">
        <v>4</v>
      </c>
      <c r="B27" s="1095"/>
      <c r="C27" s="518"/>
      <c r="D27" s="1102">
        <v>0</v>
      </c>
      <c r="E27" s="1103"/>
      <c r="F27" s="1102">
        <v>0</v>
      </c>
      <c r="G27" s="1103"/>
      <c r="H27" s="1104">
        <f t="shared" si="0"/>
        <v>0</v>
      </c>
      <c r="I27" s="1105"/>
      <c r="J27" s="98"/>
    </row>
    <row r="28" spans="1:10" ht="21" customHeight="1" thickBot="1">
      <c r="A28" s="1093" t="s">
        <v>100</v>
      </c>
      <c r="B28" s="1094"/>
      <c r="C28" s="693"/>
      <c r="D28" s="1106">
        <f>SUM(D24:D27)</f>
        <v>0</v>
      </c>
      <c r="E28" s="1107"/>
      <c r="F28" s="1106">
        <f>SUM(F24:F27)</f>
        <v>0</v>
      </c>
      <c r="G28" s="1107"/>
      <c r="H28" s="1106">
        <f>+MAX(H24,0)+MAX(H25,0)+MAX(H26,0)+MAX(H27,0)</f>
        <v>0</v>
      </c>
      <c r="I28" s="1107"/>
      <c r="J28" s="18" t="s">
        <v>123</v>
      </c>
    </row>
    <row r="29" spans="1:10" ht="5.1" customHeight="1" thickBot="1">
      <c r="A29" s="1096"/>
      <c r="B29" s="605"/>
      <c r="C29" s="605"/>
      <c r="D29" s="605"/>
      <c r="E29" s="605"/>
      <c r="F29" s="605"/>
      <c r="G29" s="605"/>
      <c r="H29" s="605"/>
      <c r="I29" s="605"/>
      <c r="J29" s="605"/>
    </row>
    <row r="30" spans="1:10" ht="24" customHeight="1" thickBot="1">
      <c r="A30" s="740" t="s">
        <v>74</v>
      </c>
      <c r="B30" s="1097"/>
      <c r="C30" s="1098"/>
      <c r="D30" s="1099"/>
      <c r="E30" s="1100"/>
      <c r="F30" s="1101"/>
      <c r="G30" s="1101"/>
      <c r="H30" s="1101"/>
      <c r="I30" s="1101"/>
      <c r="J30" s="1101"/>
    </row>
    <row r="31" spans="1:10" ht="5.1" customHeight="1" thickBot="1">
      <c r="A31" s="1109"/>
      <c r="B31" s="570"/>
      <c r="C31" s="570"/>
      <c r="D31" s="570"/>
      <c r="E31" s="570"/>
      <c r="F31" s="570"/>
      <c r="G31" s="570"/>
      <c r="H31" s="570"/>
      <c r="I31" s="570"/>
      <c r="J31" s="570"/>
    </row>
    <row r="32" spans="1:10" ht="15.95" customHeight="1">
      <c r="A32" s="1081"/>
      <c r="B32" s="725"/>
      <c r="C32" s="725"/>
      <c r="D32" s="725"/>
      <c r="E32" s="725"/>
      <c r="F32" s="1110"/>
      <c r="G32" s="758" t="s">
        <v>130</v>
      </c>
      <c r="H32" s="1113"/>
      <c r="I32" s="758" t="s">
        <v>138</v>
      </c>
      <c r="J32" s="1114"/>
    </row>
    <row r="33" spans="1:10" ht="21" customHeight="1">
      <c r="A33" s="17">
        <v>207</v>
      </c>
      <c r="B33" s="680" t="s">
        <v>7</v>
      </c>
      <c r="C33" s="680"/>
      <c r="D33" s="680"/>
      <c r="E33" s="680"/>
      <c r="F33" s="815"/>
      <c r="G33" s="703">
        <f>+SUM(D24:E27)</f>
        <v>0</v>
      </c>
      <c r="H33" s="705"/>
      <c r="I33" s="1112"/>
      <c r="J33" s="652"/>
    </row>
    <row r="34" spans="1:10" ht="21" customHeight="1">
      <c r="A34" s="17">
        <v>208</v>
      </c>
      <c r="B34" s="680" t="s">
        <v>2237</v>
      </c>
      <c r="C34" s="680"/>
      <c r="D34" s="680"/>
      <c r="E34" s="680"/>
      <c r="F34" s="815"/>
      <c r="G34" s="703">
        <f>+G33-H28</f>
        <v>0</v>
      </c>
      <c r="H34" s="705"/>
      <c r="I34" s="1112"/>
      <c r="J34" s="652"/>
    </row>
    <row r="35" spans="1:10" ht="21" customHeight="1" thickBot="1">
      <c r="A35" s="16">
        <v>209</v>
      </c>
      <c r="B35" s="1111" t="s">
        <v>102</v>
      </c>
      <c r="C35" s="1111"/>
      <c r="D35" s="1111"/>
      <c r="E35" s="1111"/>
      <c r="F35" s="806"/>
      <c r="G35" s="697">
        <f>+G33-G34</f>
        <v>0</v>
      </c>
      <c r="H35" s="699"/>
      <c r="I35" s="1108"/>
      <c r="J35" s="641"/>
    </row>
    <row r="36" spans="1:10" ht="10.5" customHeight="1">
      <c r="A36" s="1130" t="s">
        <v>77</v>
      </c>
      <c r="B36" s="972"/>
      <c r="C36" s="972"/>
      <c r="D36" s="972"/>
      <c r="E36" s="972"/>
      <c r="F36" s="972"/>
      <c r="G36" s="972"/>
      <c r="H36" s="972"/>
      <c r="I36" s="972"/>
      <c r="J36" s="972"/>
    </row>
    <row r="37" spans="1:10" ht="30" customHeight="1">
      <c r="A37" s="1131" t="s">
        <v>2238</v>
      </c>
      <c r="B37" s="1132"/>
      <c r="C37" s="1132"/>
      <c r="D37" s="1132"/>
      <c r="E37" s="1132"/>
      <c r="F37" s="1132"/>
      <c r="G37" s="1132"/>
      <c r="H37" s="1132"/>
      <c r="I37" s="1132"/>
      <c r="J37" s="1132"/>
    </row>
    <row r="38" spans="1:10" ht="12.75" customHeight="1">
      <c r="A38" s="1133" t="str">
        <f>+'DAP1'!A46</f>
        <v>Formulář zpracovala ASPEKT HM, daňová, účetní a auditorská kancelář, www.danovapriznani.cz, business.center.cz</v>
      </c>
      <c r="B38" s="1134"/>
      <c r="C38" s="1134"/>
      <c r="D38" s="1134"/>
      <c r="E38" s="1134"/>
      <c r="F38" s="1134"/>
      <c r="G38" s="1134"/>
      <c r="H38" s="1134"/>
      <c r="I38" s="1134"/>
      <c r="J38" s="1134"/>
    </row>
    <row r="39" spans="1:10" ht="12.75" customHeight="1">
      <c r="A39" s="1014" t="s">
        <v>2566</v>
      </c>
      <c r="B39" s="1014"/>
      <c r="C39" s="1014"/>
      <c r="D39" s="1014"/>
      <c r="E39" s="1014"/>
      <c r="F39" s="1014"/>
      <c r="G39" s="1014"/>
      <c r="H39" s="1014"/>
      <c r="I39" s="1014"/>
      <c r="J39" s="1014"/>
    </row>
    <row r="40" spans="1:10" ht="12" customHeight="1">
      <c r="A40" s="1012" t="s">
        <v>237</v>
      </c>
      <c r="B40" s="1012"/>
      <c r="C40" s="1012"/>
      <c r="D40" s="1012"/>
      <c r="E40" s="1012"/>
      <c r="F40" s="1012"/>
      <c r="G40" s="1012"/>
      <c r="H40" s="506"/>
      <c r="I40" s="506"/>
      <c r="J40" s="506"/>
    </row>
    <row r="41" spans="1:10" ht="12.75">
      <c r="A41" s="73"/>
      <c r="B41" s="73"/>
      <c r="C41" s="73"/>
      <c r="D41" s="73"/>
      <c r="E41" s="73"/>
      <c r="F41" s="73"/>
      <c r="G41" s="73"/>
      <c r="H41" s="73"/>
      <c r="I41" s="73"/>
      <c r="J41" s="73"/>
    </row>
    <row r="42" spans="1:10" ht="12.75">
      <c r="A42" s="73"/>
      <c r="B42" s="73"/>
      <c r="C42" s="73"/>
      <c r="D42" s="73"/>
      <c r="E42" s="73"/>
      <c r="F42" s="73"/>
      <c r="G42" s="73"/>
      <c r="H42" s="73"/>
      <c r="I42" s="73"/>
      <c r="J42" s="73"/>
    </row>
    <row r="43" spans="1:10" ht="12.75">
      <c r="A43" s="73"/>
      <c r="B43" s="73"/>
      <c r="C43" s="73"/>
      <c r="D43" s="73"/>
      <c r="E43" s="73"/>
      <c r="F43" s="73"/>
      <c r="G43" s="73"/>
      <c r="H43" s="73"/>
      <c r="I43" s="73"/>
      <c r="J43" s="73"/>
    </row>
    <row r="44" spans="1:10" ht="12.75">
      <c r="A44" s="73"/>
      <c r="B44" s="73"/>
      <c r="C44" s="73"/>
      <c r="D44" s="73"/>
      <c r="E44" s="73"/>
      <c r="F44" s="73"/>
      <c r="G44" s="73"/>
      <c r="H44" s="73"/>
      <c r="I44" s="73"/>
      <c r="J44" s="73"/>
    </row>
    <row r="45" spans="1:10" ht="12.75">
      <c r="A45" s="73"/>
      <c r="B45" s="73"/>
      <c r="C45" s="73"/>
      <c r="D45" s="73"/>
      <c r="E45" s="73"/>
      <c r="F45" s="73"/>
      <c r="G45" s="73"/>
      <c r="H45" s="73"/>
      <c r="I45" s="73"/>
      <c r="J45" s="73"/>
    </row>
    <row r="46" spans="1:10" ht="12.75">
      <c r="A46" s="73"/>
      <c r="B46" s="73"/>
      <c r="C46" s="73"/>
      <c r="D46" s="73"/>
      <c r="E46" s="73"/>
      <c r="F46" s="73"/>
      <c r="G46" s="73"/>
      <c r="H46" s="73"/>
      <c r="I46" s="73"/>
      <c r="J46" s="73"/>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pans="1:10" ht="12.75">
      <c r="A97" s="73"/>
      <c r="B97" s="73"/>
      <c r="C97" s="73"/>
      <c r="D97" s="73"/>
      <c r="E97" s="73"/>
      <c r="F97" s="73"/>
      <c r="G97" s="73"/>
      <c r="H97" s="73"/>
      <c r="I97" s="73"/>
      <c r="J97" s="73"/>
    </row>
    <row r="98" spans="1:10" ht="12.75">
      <c r="A98" s="73"/>
      <c r="B98" s="73"/>
      <c r="C98" s="73"/>
      <c r="D98" s="73"/>
      <c r="E98" s="73"/>
      <c r="F98" s="73"/>
      <c r="G98" s="73"/>
      <c r="H98" s="73"/>
      <c r="I98" s="73"/>
      <c r="J98" s="73"/>
    </row>
    <row r="99" spans="1:10" ht="12.75">
      <c r="A99" s="73"/>
      <c r="B99" s="73"/>
      <c r="C99" s="73"/>
      <c r="D99" s="73"/>
      <c r="E99" s="73"/>
      <c r="F99" s="73"/>
      <c r="G99" s="73"/>
      <c r="H99" s="73"/>
      <c r="I99" s="73"/>
      <c r="J99" s="73"/>
    </row>
    <row r="100" spans="1:10" ht="12.75">
      <c r="A100" s="73"/>
      <c r="B100" s="73"/>
      <c r="C100" s="73"/>
      <c r="D100" s="73"/>
      <c r="E100" s="73"/>
      <c r="F100" s="73"/>
      <c r="G100" s="73"/>
      <c r="H100" s="73"/>
      <c r="I100" s="73"/>
      <c r="J100" s="73"/>
    </row>
    <row r="101" spans="1:10" ht="12.75">
      <c r="A101" s="73"/>
      <c r="B101" s="73"/>
      <c r="C101" s="73"/>
      <c r="D101" s="73"/>
      <c r="E101" s="73"/>
      <c r="F101" s="73"/>
      <c r="G101" s="73"/>
      <c r="H101" s="73"/>
      <c r="I101" s="73"/>
      <c r="J101" s="73"/>
    </row>
    <row r="102" spans="1:10" ht="12.75">
      <c r="A102" s="73"/>
      <c r="B102" s="73"/>
      <c r="C102" s="73"/>
      <c r="D102" s="73"/>
      <c r="E102" s="73"/>
      <c r="F102" s="73"/>
      <c r="G102" s="73"/>
      <c r="H102" s="73"/>
      <c r="I102" s="73"/>
      <c r="J102" s="73"/>
    </row>
    <row r="103" spans="1:10" ht="12.75">
      <c r="A103" s="73"/>
      <c r="B103" s="73"/>
      <c r="C103" s="73"/>
      <c r="D103" s="73"/>
      <c r="E103" s="73"/>
      <c r="F103" s="73"/>
      <c r="G103" s="73"/>
      <c r="H103" s="73"/>
      <c r="I103" s="73"/>
      <c r="J103" s="73"/>
    </row>
    <row r="104" spans="1:10" ht="12.75">
      <c r="A104" s="73"/>
      <c r="B104" s="73"/>
      <c r="C104" s="73"/>
      <c r="D104" s="73"/>
      <c r="E104" s="73"/>
      <c r="F104" s="73"/>
      <c r="G104" s="73"/>
      <c r="H104" s="73"/>
      <c r="I104" s="73"/>
      <c r="J104" s="73"/>
    </row>
    <row r="105" spans="1:10" ht="12.75">
      <c r="A105" s="73"/>
      <c r="B105" s="73"/>
      <c r="C105" s="73"/>
      <c r="D105" s="73"/>
      <c r="E105" s="73"/>
      <c r="F105" s="73"/>
      <c r="G105" s="73"/>
      <c r="H105" s="73"/>
      <c r="I105" s="73"/>
      <c r="J105" s="73"/>
    </row>
    <row r="106" spans="1:10" ht="12.75">
      <c r="A106" s="73"/>
      <c r="B106" s="73"/>
      <c r="C106" s="73"/>
      <c r="D106" s="73"/>
      <c r="E106" s="73"/>
      <c r="F106" s="73"/>
      <c r="G106" s="73"/>
      <c r="H106" s="73"/>
      <c r="I106" s="73"/>
      <c r="J106" s="73"/>
    </row>
    <row r="107" spans="1:10" ht="12.75">
      <c r="A107" s="73"/>
      <c r="B107" s="73"/>
      <c r="C107" s="73"/>
      <c r="D107" s="73"/>
      <c r="E107" s="73"/>
      <c r="F107" s="73"/>
      <c r="G107" s="73"/>
      <c r="H107" s="73"/>
      <c r="I107" s="73"/>
      <c r="J107" s="73"/>
    </row>
    <row r="108" spans="1:10" ht="12.75">
      <c r="A108" s="73"/>
      <c r="B108" s="73"/>
      <c r="C108" s="73"/>
      <c r="D108" s="73"/>
      <c r="E108" s="73"/>
      <c r="F108" s="73"/>
      <c r="G108" s="73"/>
      <c r="H108" s="73"/>
      <c r="I108" s="73"/>
      <c r="J108" s="73"/>
    </row>
    <row r="109" spans="1:10" ht="12.75">
      <c r="A109" s="73"/>
      <c r="B109" s="73"/>
      <c r="C109" s="73"/>
      <c r="D109" s="73"/>
      <c r="E109" s="73"/>
      <c r="F109" s="73"/>
      <c r="G109" s="73"/>
      <c r="H109" s="73"/>
      <c r="I109" s="73"/>
      <c r="J109" s="73"/>
    </row>
    <row r="110" spans="1:10" ht="12.75">
      <c r="A110" s="73"/>
      <c r="B110" s="73"/>
      <c r="C110" s="73"/>
      <c r="D110" s="73"/>
      <c r="E110" s="73"/>
      <c r="F110" s="73"/>
      <c r="G110" s="73"/>
      <c r="H110" s="73"/>
      <c r="I110" s="73"/>
      <c r="J110" s="73"/>
    </row>
    <row r="111" spans="1:10" ht="12.75">
      <c r="A111" s="73"/>
      <c r="B111" s="73"/>
      <c r="C111" s="73"/>
      <c r="D111" s="73"/>
      <c r="E111" s="73"/>
      <c r="F111" s="73"/>
      <c r="G111" s="73"/>
      <c r="H111" s="73"/>
      <c r="I111" s="73"/>
      <c r="J111" s="73"/>
    </row>
    <row r="112" spans="1:10" ht="12.75">
      <c r="A112" s="73"/>
      <c r="B112" s="73"/>
      <c r="C112" s="73"/>
      <c r="D112" s="73"/>
      <c r="E112" s="73"/>
      <c r="F112" s="73"/>
      <c r="G112" s="73"/>
      <c r="H112" s="73"/>
      <c r="I112" s="73"/>
      <c r="J112" s="73"/>
    </row>
    <row r="113" spans="1:10" ht="12.75">
      <c r="A113" s="73"/>
      <c r="B113" s="73"/>
      <c r="C113" s="73"/>
      <c r="D113" s="73"/>
      <c r="E113" s="73"/>
      <c r="F113" s="73"/>
      <c r="G113" s="73"/>
      <c r="H113" s="73"/>
      <c r="I113" s="73"/>
      <c r="J113" s="73"/>
    </row>
    <row r="114" spans="1:10" ht="12.75">
      <c r="A114" s="73"/>
      <c r="B114" s="73"/>
      <c r="C114" s="73"/>
      <c r="D114" s="73"/>
      <c r="E114" s="73"/>
      <c r="F114" s="73"/>
      <c r="G114" s="73"/>
      <c r="H114" s="73"/>
      <c r="I114" s="73"/>
      <c r="J114" s="73"/>
    </row>
    <row r="115" spans="1:10" ht="12.75">
      <c r="A115" s="73"/>
      <c r="B115" s="73"/>
      <c r="C115" s="73"/>
      <c r="D115" s="73"/>
      <c r="E115" s="73"/>
      <c r="F115" s="73"/>
      <c r="G115" s="73"/>
      <c r="H115" s="73"/>
      <c r="I115" s="73"/>
      <c r="J115" s="73"/>
    </row>
    <row r="116" spans="1:10" ht="12.75">
      <c r="A116" s="73"/>
      <c r="B116" s="73"/>
      <c r="C116" s="73"/>
      <c r="D116" s="73"/>
      <c r="E116" s="73"/>
      <c r="F116" s="73"/>
      <c r="G116" s="73"/>
      <c r="H116" s="73"/>
      <c r="I116" s="73"/>
      <c r="J116" s="73"/>
    </row>
    <row r="117" spans="1:10" ht="12.75">
      <c r="A117" s="73"/>
      <c r="B117" s="73"/>
      <c r="C117" s="73"/>
      <c r="D117" s="73"/>
      <c r="E117" s="73"/>
      <c r="F117" s="73"/>
      <c r="G117" s="73"/>
      <c r="H117" s="73"/>
      <c r="I117" s="73"/>
      <c r="J117" s="73"/>
    </row>
    <row r="118" spans="1:10" ht="12.75">
      <c r="A118" s="73"/>
      <c r="B118" s="73"/>
      <c r="C118" s="73"/>
      <c r="D118" s="73"/>
      <c r="E118" s="73"/>
      <c r="F118" s="73"/>
      <c r="G118" s="73"/>
      <c r="H118" s="73"/>
      <c r="I118" s="73"/>
      <c r="J118" s="73"/>
    </row>
    <row r="119" spans="1:10" ht="12.75">
      <c r="A119" s="73"/>
      <c r="B119" s="73"/>
      <c r="C119" s="73"/>
      <c r="D119" s="73"/>
      <c r="E119" s="73"/>
      <c r="F119" s="73"/>
      <c r="G119" s="73"/>
      <c r="H119" s="73"/>
      <c r="I119" s="73"/>
      <c r="J119" s="73"/>
    </row>
    <row r="120" spans="1:10" ht="12.75">
      <c r="A120" s="73"/>
      <c r="B120" s="73"/>
      <c r="C120" s="73"/>
      <c r="D120" s="73"/>
      <c r="E120" s="73"/>
      <c r="F120" s="73"/>
      <c r="G120" s="73"/>
      <c r="H120" s="73"/>
      <c r="I120" s="73"/>
      <c r="J120" s="73"/>
    </row>
    <row r="121" spans="1:10" ht="12.75">
      <c r="A121" s="73"/>
      <c r="B121" s="73"/>
      <c r="C121" s="73"/>
      <c r="D121" s="73"/>
      <c r="E121" s="73"/>
      <c r="F121" s="73"/>
      <c r="G121" s="73"/>
      <c r="H121" s="73"/>
      <c r="I121" s="73"/>
      <c r="J121" s="73"/>
    </row>
    <row r="122" spans="1:10" ht="12.75">
      <c r="A122" s="73"/>
      <c r="B122" s="73"/>
      <c r="C122" s="73"/>
      <c r="D122" s="73"/>
      <c r="E122" s="73"/>
      <c r="F122" s="73"/>
      <c r="G122" s="73"/>
      <c r="H122" s="73"/>
      <c r="I122" s="73"/>
      <c r="J122" s="73"/>
    </row>
    <row r="123" spans="1:10" ht="12.75">
      <c r="A123" s="73"/>
      <c r="B123" s="73"/>
      <c r="C123" s="73"/>
      <c r="D123" s="73"/>
      <c r="E123" s="73"/>
      <c r="F123" s="73"/>
      <c r="G123" s="73"/>
      <c r="H123" s="73"/>
      <c r="I123" s="73"/>
      <c r="J123" s="73"/>
    </row>
    <row r="124" spans="1:10" ht="12.75">
      <c r="A124" s="73"/>
      <c r="B124" s="73"/>
      <c r="C124" s="73"/>
      <c r="D124" s="73"/>
      <c r="E124" s="73"/>
      <c r="F124" s="73"/>
      <c r="G124" s="73"/>
      <c r="H124" s="73"/>
      <c r="I124" s="73"/>
      <c r="J124" s="73"/>
    </row>
    <row r="125" spans="1:10" ht="12.75">
      <c r="A125" s="73"/>
      <c r="B125" s="73"/>
      <c r="C125" s="73"/>
      <c r="D125" s="73"/>
      <c r="E125" s="73"/>
      <c r="F125" s="73"/>
      <c r="G125" s="73"/>
      <c r="H125" s="73"/>
      <c r="I125" s="73"/>
      <c r="J125" s="73"/>
    </row>
    <row r="126" spans="1:10" ht="12.75">
      <c r="A126" s="73"/>
      <c r="B126" s="73"/>
      <c r="C126" s="73"/>
      <c r="D126" s="73"/>
      <c r="E126" s="73"/>
      <c r="F126" s="73"/>
      <c r="G126" s="73"/>
      <c r="H126" s="73"/>
      <c r="I126" s="73"/>
      <c r="J126" s="73"/>
    </row>
    <row r="127" spans="1:10" ht="12.75">
      <c r="A127" s="73"/>
      <c r="B127" s="73"/>
      <c r="C127" s="73"/>
      <c r="D127" s="73"/>
      <c r="E127" s="73"/>
      <c r="F127" s="73"/>
      <c r="G127" s="73"/>
      <c r="H127" s="73"/>
      <c r="I127" s="73"/>
      <c r="J127" s="73"/>
    </row>
    <row r="128" spans="1:10" ht="12.75">
      <c r="A128" s="73"/>
      <c r="B128" s="73"/>
      <c r="C128" s="73"/>
      <c r="D128" s="73"/>
      <c r="E128" s="73"/>
      <c r="F128" s="73"/>
      <c r="G128" s="73"/>
      <c r="H128" s="73"/>
      <c r="I128" s="73"/>
      <c r="J128" s="73"/>
    </row>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sheetData>
  <sheetProtection algorithmName="SHA-512" hashValue="Lg7QOH1FcoOMDKle9R9cOR8CXBLCkkokCkJUBH0XD6OneDVNG1NPRkGudaHlCB/ASRKjAZMrQh+jCOGZnH4vLg==" saltValue="rdDSvpC/ibG5EivXWbzAQw==" spinCount="100000" sheet="1" objects="1" scenarios="1"/>
  <mergeCells count="94">
    <mergeCell ref="A8:J8"/>
    <mergeCell ref="I11:J11"/>
    <mergeCell ref="A19:J19"/>
    <mergeCell ref="A18:B18"/>
    <mergeCell ref="F18:G18"/>
    <mergeCell ref="C18:E18"/>
    <mergeCell ref="H18:J18"/>
    <mergeCell ref="B12:F12"/>
    <mergeCell ref="B13:F13"/>
    <mergeCell ref="B14:F14"/>
    <mergeCell ref="B11:F11"/>
    <mergeCell ref="G11:H11"/>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I1:J1"/>
    <mergeCell ref="G1:H1"/>
    <mergeCell ref="A1:F1"/>
    <mergeCell ref="A2:G2"/>
    <mergeCell ref="H2:J2"/>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D24:E24"/>
    <mergeCell ref="D25:E25"/>
    <mergeCell ref="F22:G22"/>
    <mergeCell ref="F23:G23"/>
    <mergeCell ref="H24:I24"/>
    <mergeCell ref="H22:I22"/>
    <mergeCell ref="H23:I23"/>
    <mergeCell ref="F24:G24"/>
    <mergeCell ref="F25:G25"/>
    <mergeCell ref="H25:I25"/>
    <mergeCell ref="D28:E28"/>
    <mergeCell ref="G35:H35"/>
    <mergeCell ref="I35:J35"/>
    <mergeCell ref="A31:J31"/>
    <mergeCell ref="B33:F33"/>
    <mergeCell ref="A32:F32"/>
    <mergeCell ref="B35:F35"/>
    <mergeCell ref="G33:H33"/>
    <mergeCell ref="I33:J33"/>
    <mergeCell ref="B34:F34"/>
    <mergeCell ref="G34:H34"/>
    <mergeCell ref="G32:H32"/>
    <mergeCell ref="I32:J32"/>
    <mergeCell ref="F26:G26"/>
    <mergeCell ref="F27:G27"/>
    <mergeCell ref="H26:I26"/>
    <mergeCell ref="H27:I27"/>
    <mergeCell ref="H28:I28"/>
    <mergeCell ref="F28:G28"/>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tabColor rgb="FFFFCCFF"/>
    <pageSetUpPr fitToPage="1"/>
  </sheetPr>
  <dimension ref="A1:BH73"/>
  <sheetViews>
    <sheetView workbookViewId="0" topLeftCell="A10">
      <selection pane="topLeft" activeCell="A32" sqref="A32:G32"/>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8" width="9.14285714285714" style="73"/>
    <col min="9" max="9" width="35.7142857142857" style="73" customWidth="1"/>
    <col min="10" max="10" width="4.14285714285714" style="73" customWidth="1"/>
    <col min="11" max="60" width="9.14285714285714" style="73"/>
  </cols>
  <sheetData>
    <row r="1" spans="1:58" s="104" customFormat="1" ht="16.5" thickBot="1">
      <c r="A1" s="967" t="s">
        <v>81</v>
      </c>
      <c r="B1" s="506"/>
      <c r="C1" s="506"/>
      <c r="D1" s="1127" t="s">
        <v>34</v>
      </c>
      <c r="E1" s="587"/>
      <c r="F1" s="888"/>
      <c r="G1" s="164" t="str">
        <f>+'2Př'!I1</f>
        <v/>
      </c>
      <c r="H1" s="73"/>
      <c r="I1" s="103"/>
      <c r="J1" s="103"/>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10" ht="24" customHeight="1" thickBot="1">
      <c r="A2" s="966" t="s">
        <v>2567</v>
      </c>
      <c r="B2" s="966"/>
      <c r="C2" s="966"/>
      <c r="D2" s="966"/>
      <c r="E2" s="966"/>
      <c r="F2" s="966"/>
      <c r="G2" s="112"/>
      <c r="I2" s="449" t="s">
        <v>2493</v>
      </c>
      <c r="J2" s="450"/>
    </row>
    <row r="3" spans="1:7" ht="36" customHeight="1">
      <c r="A3" s="957" t="s">
        <v>141</v>
      </c>
      <c r="B3" s="578"/>
      <c r="C3" s="578"/>
      <c r="D3" s="578"/>
      <c r="E3" s="578"/>
      <c r="F3" s="578"/>
      <c r="G3" s="578"/>
    </row>
    <row r="4" spans="1:60" s="104" customFormat="1" ht="24" customHeight="1">
      <c r="A4" s="1162" t="s">
        <v>2239</v>
      </c>
      <c r="B4" s="1129"/>
      <c r="C4" s="1129"/>
      <c r="D4" s="1129"/>
      <c r="E4" s="1129"/>
      <c r="F4" s="1129"/>
      <c r="G4" s="1129"/>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s="104" customFormat="1" ht="24" customHeight="1" thickBot="1">
      <c r="A5" s="1163" t="s">
        <v>2442</v>
      </c>
      <c r="B5" s="1011"/>
      <c r="C5" s="1011"/>
      <c r="D5" s="1011"/>
      <c r="E5" s="1011"/>
      <c r="F5" s="1011"/>
      <c r="G5" s="1011"/>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row>
    <row r="6" spans="1:60" s="104" customFormat="1" ht="15" customHeight="1">
      <c r="A6" s="1172"/>
      <c r="B6" s="605"/>
      <c r="C6" s="605"/>
      <c r="D6" s="605"/>
      <c r="E6" s="605"/>
      <c r="F6" s="719" t="s">
        <v>211</v>
      </c>
      <c r="G6" s="117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s="104" customFormat="1" ht="15" customHeight="1">
      <c r="A7" s="1173"/>
      <c r="B7" s="1174"/>
      <c r="C7" s="1174"/>
      <c r="D7" s="1174"/>
      <c r="E7" s="1174"/>
      <c r="F7" s="427" t="s">
        <v>130</v>
      </c>
      <c r="G7" s="426" t="s">
        <v>138</v>
      </c>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row>
    <row r="8" spans="1:60" s="104" customFormat="1" ht="24" customHeight="1">
      <c r="A8" s="40">
        <v>311</v>
      </c>
      <c r="B8" s="1164" t="s">
        <v>2443</v>
      </c>
      <c r="C8" s="1164"/>
      <c r="D8" s="1164"/>
      <c r="E8" s="1165"/>
      <c r="F8" s="428">
        <f>+IF(EXACT(J2,"X"),'DAP2'!E7-'DAP2'!E8,0)</f>
        <v>0</v>
      </c>
      <c r="G8" s="6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s="104" customFormat="1" ht="24" customHeight="1">
      <c r="A9" s="40">
        <v>312</v>
      </c>
      <c r="B9" s="1164" t="s">
        <v>2444</v>
      </c>
      <c r="C9" s="1164"/>
      <c r="D9" s="1164"/>
      <c r="E9" s="1165"/>
      <c r="F9" s="428">
        <f>+IF(EXACT(J2,"X"),+'DAP2'!E11+'DAP2'!E12+'DAP2'!E13+'DAP2'!E14,0)</f>
        <v>0</v>
      </c>
      <c r="G9" s="6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row>
    <row r="10" spans="1:60" s="104" customFormat="1" ht="24" customHeight="1">
      <c r="A10" s="40">
        <v>313</v>
      </c>
      <c r="B10" s="1164" t="s">
        <v>2445</v>
      </c>
      <c r="C10" s="1164"/>
      <c r="D10" s="1164"/>
      <c r="E10" s="1165"/>
      <c r="F10" s="429">
        <f>+F8+MAX(F9,0)</f>
        <v>0</v>
      </c>
      <c r="G10" s="6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s="104" customFormat="1" ht="33.95" customHeight="1">
      <c r="A11" s="40">
        <v>314</v>
      </c>
      <c r="B11" s="1164" t="s">
        <v>2450</v>
      </c>
      <c r="C11" s="1164"/>
      <c r="D11" s="1164"/>
      <c r="E11" s="1165"/>
      <c r="F11" s="429">
        <f>IF(F10=0,0,FLOOR(+F10-'DAP2'!E18-'DAP2'!F31,100))</f>
        <v>0</v>
      </c>
      <c r="G11" s="6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row>
    <row r="12" spans="1:60" s="104" customFormat="1" ht="24" customHeight="1" thickBot="1">
      <c r="A12" s="40">
        <v>315</v>
      </c>
      <c r="B12" s="1164" t="s">
        <v>2446</v>
      </c>
      <c r="C12" s="1164"/>
      <c r="D12" s="1164"/>
      <c r="E12" s="1165"/>
      <c r="F12" s="430">
        <f>ROUND(IF(F11=0,0,+'DAP2'!F34/'DAP2'!F33),4)</f>
        <v>0</v>
      </c>
      <c r="G12" s="6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row>
    <row r="13" spans="1:60" s="104" customFormat="1" ht="24" customHeight="1" thickBot="1">
      <c r="A13" s="80">
        <v>316</v>
      </c>
      <c r="B13" s="1160" t="s">
        <v>2447</v>
      </c>
      <c r="C13" s="1160"/>
      <c r="D13" s="1160"/>
      <c r="E13" s="1161"/>
      <c r="F13" s="258">
        <f>+F11*F12</f>
        <v>0</v>
      </c>
      <c r="G13" s="8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row>
    <row r="14" spans="1:60" s="104" customFormat="1" ht="15" customHeight="1">
      <c r="A14" s="1163"/>
      <c r="B14" s="1011"/>
      <c r="C14" s="1011"/>
      <c r="D14" s="1011"/>
      <c r="E14" s="1011"/>
      <c r="F14" s="1011"/>
      <c r="G14" s="1011"/>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row>
    <row r="15" spans="1:7" ht="24" customHeight="1">
      <c r="A15" s="1163" t="s">
        <v>2441</v>
      </c>
      <c r="B15" s="1011"/>
      <c r="C15" s="1011"/>
      <c r="D15" s="1011"/>
      <c r="E15" s="1011"/>
      <c r="F15" s="1011"/>
      <c r="G15" s="1011"/>
    </row>
    <row r="16" spans="1:7" ht="36" customHeight="1">
      <c r="A16" s="1158" t="s">
        <v>2240</v>
      </c>
      <c r="B16" s="607"/>
      <c r="C16" s="607"/>
      <c r="D16" s="607"/>
      <c r="E16" s="607"/>
      <c r="F16" s="607"/>
      <c r="G16" s="607"/>
    </row>
    <row r="17" spans="1:7" ht="15" customHeight="1">
      <c r="A17" s="1158" t="s">
        <v>203</v>
      </c>
      <c r="B17" s="888"/>
      <c r="C17" s="136"/>
      <c r="D17" s="1169"/>
      <c r="E17" s="607"/>
      <c r="F17" s="607"/>
      <c r="G17" s="607"/>
    </row>
    <row r="18" spans="1:7" ht="8.1" customHeight="1" thickBot="1">
      <c r="A18" s="1170"/>
      <c r="B18" s="1171"/>
      <c r="C18" s="1171"/>
      <c r="D18" s="1171"/>
      <c r="E18" s="1171"/>
      <c r="F18" s="1171"/>
      <c r="G18" s="1171"/>
    </row>
    <row r="19" spans="1:60" s="104" customFormat="1" ht="15" customHeight="1">
      <c r="A19" s="1166"/>
      <c r="B19" s="1167"/>
      <c r="C19" s="1167"/>
      <c r="D19" s="1167"/>
      <c r="E19" s="1168"/>
      <c r="F19" s="425" t="s">
        <v>130</v>
      </c>
      <c r="G19" s="426" t="s">
        <v>138</v>
      </c>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row>
    <row r="20" spans="1:7" ht="24" customHeight="1">
      <c r="A20" s="40">
        <v>321</v>
      </c>
      <c r="B20" s="1150" t="s">
        <v>204</v>
      </c>
      <c r="C20" s="1150"/>
      <c r="D20" s="1150"/>
      <c r="E20" s="1151"/>
      <c r="F20" s="106">
        <v>0</v>
      </c>
      <c r="G20" s="65"/>
    </row>
    <row r="21" spans="1:7" ht="24" customHeight="1">
      <c r="A21" s="40">
        <v>322</v>
      </c>
      <c r="B21" s="1150" t="s">
        <v>205</v>
      </c>
      <c r="C21" s="1150"/>
      <c r="D21" s="1150"/>
      <c r="E21" s="1151"/>
      <c r="F21" s="106">
        <v>0</v>
      </c>
      <c r="G21" s="65"/>
    </row>
    <row r="22" spans="1:7" ht="24" customHeight="1">
      <c r="A22" s="40">
        <v>323</v>
      </c>
      <c r="B22" s="1150" t="s">
        <v>99</v>
      </c>
      <c r="C22" s="1150"/>
      <c r="D22" s="1150"/>
      <c r="E22" s="1151"/>
      <c r="F22" s="106">
        <v>0</v>
      </c>
      <c r="G22" s="65"/>
    </row>
    <row r="23" spans="1:7" ht="24" customHeight="1">
      <c r="A23" s="40">
        <v>324</v>
      </c>
      <c r="B23" s="1150" t="s">
        <v>2491</v>
      </c>
      <c r="C23" s="1150"/>
      <c r="D23" s="1150"/>
      <c r="E23" s="1151"/>
      <c r="F23" s="253">
        <f>ROUND(+IF(+IF(IF('DAP2'!E16=0,0,(F20-F21)/'DAP2'!E16)&lt;0,0,IF('DAP2'!E16=0,0,(F20-F21)/'DAP2'!E16))&gt;1,1,+IF(IF('DAP2'!E16=0,0,(F20-F21)/'DAP2'!E16)&lt;0,0,IF('DAP2'!E16=0,0,(F20-F21)/'DAP2'!E16))),4)</f>
        <v>0</v>
      </c>
      <c r="G23" s="65"/>
    </row>
    <row r="24" spans="1:7" ht="24" customHeight="1">
      <c r="A24" s="40">
        <v>325</v>
      </c>
      <c r="B24" s="1150" t="s">
        <v>2448</v>
      </c>
      <c r="C24" s="1150"/>
      <c r="D24" s="1150"/>
      <c r="E24" s="1151"/>
      <c r="F24" s="256">
        <f>ROUND((IF(F13=0,+'DAP2'!F34,F13))*'3Př'!F23,2)</f>
        <v>0</v>
      </c>
      <c r="G24" s="65"/>
    </row>
    <row r="25" spans="1:7" ht="24" customHeight="1" thickBot="1">
      <c r="A25" s="42">
        <v>326</v>
      </c>
      <c r="B25" s="1154" t="s">
        <v>125</v>
      </c>
      <c r="C25" s="1154"/>
      <c r="D25" s="1154"/>
      <c r="E25" s="1155"/>
      <c r="F25" s="257">
        <f>+MIN(F22,F24)</f>
        <v>0</v>
      </c>
      <c r="G25" s="84"/>
    </row>
    <row r="26" spans="1:7" ht="24" customHeight="1" thickBot="1">
      <c r="A26" s="80">
        <v>327</v>
      </c>
      <c r="B26" s="1160" t="s">
        <v>126</v>
      </c>
      <c r="C26" s="1160"/>
      <c r="D26" s="1160"/>
      <c r="E26" s="1161"/>
      <c r="F26" s="258">
        <f>+F22-F25</f>
        <v>0</v>
      </c>
      <c r="G26" s="85"/>
    </row>
    <row r="27" spans="1:7" ht="24" customHeight="1" thickBot="1">
      <c r="A27" s="80">
        <v>328</v>
      </c>
      <c r="B27" s="1160" t="s">
        <v>2241</v>
      </c>
      <c r="C27" s="1160"/>
      <c r="D27" s="1160"/>
      <c r="E27" s="1161"/>
      <c r="F27" s="259">
        <f>+F25+'3Př_a'!F17</f>
        <v>0</v>
      </c>
      <c r="G27" s="85"/>
    </row>
    <row r="28" spans="1:7" ht="24" customHeight="1" thickBot="1">
      <c r="A28" s="80">
        <v>329</v>
      </c>
      <c r="B28" s="1160" t="s">
        <v>2242</v>
      </c>
      <c r="C28" s="1160"/>
      <c r="D28" s="1160"/>
      <c r="E28" s="1161"/>
      <c r="F28" s="259">
        <f>+F26+'3Př_a'!F18</f>
        <v>0</v>
      </c>
      <c r="G28" s="85"/>
    </row>
    <row r="29" spans="1:7" ht="12" customHeight="1" thickBot="1">
      <c r="A29" s="1158"/>
      <c r="B29" s="607"/>
      <c r="C29" s="607"/>
      <c r="D29" s="607"/>
      <c r="E29" s="607"/>
      <c r="F29" s="607"/>
      <c r="G29" s="607"/>
    </row>
    <row r="30" spans="1:7" ht="24" customHeight="1" thickBot="1">
      <c r="A30" s="80">
        <v>330</v>
      </c>
      <c r="B30" s="1159" t="s">
        <v>2449</v>
      </c>
      <c r="C30" s="1160"/>
      <c r="D30" s="1160"/>
      <c r="E30" s="1161"/>
      <c r="F30" s="258">
        <f>+IF(F20+F8+F9=0,0,IF(OR(F20&gt;0,F13=0),'DAP2'!F34-F27,F13-F27))</f>
        <v>0</v>
      </c>
      <c r="G30" s="85"/>
    </row>
    <row r="31" spans="1:7" ht="50.1" customHeight="1">
      <c r="A31" s="682"/>
      <c r="B31" s="605"/>
      <c r="C31" s="605"/>
      <c r="D31" s="605"/>
      <c r="E31" s="605"/>
      <c r="F31" s="605"/>
      <c r="G31" s="605"/>
    </row>
    <row r="32" spans="1:7" ht="15.95" customHeight="1">
      <c r="A32" s="1157" t="str">
        <f>+'DAP1'!A46</f>
        <v>Formulář zpracovala ASPEKT HM, daňová, účetní a auditorská kancelář, www.danovapriznani.cz, business.center.cz</v>
      </c>
      <c r="B32" s="1157"/>
      <c r="C32" s="1157"/>
      <c r="D32" s="1157"/>
      <c r="E32" s="1157"/>
      <c r="F32" s="1157"/>
      <c r="G32" s="1157"/>
    </row>
    <row r="33" spans="1:60" s="157" customFormat="1" ht="12" customHeight="1">
      <c r="A33" s="1156" t="s">
        <v>2568</v>
      </c>
      <c r="B33" s="1156"/>
      <c r="C33" s="1156"/>
      <c r="D33" s="1156"/>
      <c r="E33" s="1156"/>
      <c r="F33" s="1156"/>
      <c r="G33" s="1156"/>
      <c r="H33" s="156"/>
      <c r="I33" s="448"/>
      <c r="J33" s="448"/>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row>
    <row r="34" spans="1:7" ht="12.75">
      <c r="A34" s="1152" t="s">
        <v>237</v>
      </c>
      <c r="B34" s="1152"/>
      <c r="C34" s="1152"/>
      <c r="D34" s="1152"/>
      <c r="E34" s="1153"/>
      <c r="F34" s="1153"/>
      <c r="G34" s="115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thickBot="1"/>
  </sheetData>
  <sheetProtection algorithmName="SHA-512" hashValue="cP5NsnGAl2VCNajNb9sdyAlFOZpM2oRp0uI6KpLvKB4MMNGk5pkIcR3Ve/gutHyFLPHHRgsf9uFafAebtp4+sw==" saltValue="ZAV7jvucCIKAbXRe3tcgLQ==" spinCount="100000" sheet="1" objects="1" scenarios="1"/>
  <mergeCells count="36">
    <mergeCell ref="A5:G5"/>
    <mergeCell ref="B8:E8"/>
    <mergeCell ref="B9:E9"/>
    <mergeCell ref="B10:E10"/>
    <mergeCell ref="A19:E19"/>
    <mergeCell ref="A15:G15"/>
    <mergeCell ref="A16:G16"/>
    <mergeCell ref="A17:B17"/>
    <mergeCell ref="D17:G17"/>
    <mergeCell ref="A18:G18"/>
    <mergeCell ref="A6:E7"/>
    <mergeCell ref="F6:G6"/>
    <mergeCell ref="A14:G14"/>
    <mergeCell ref="B11:E11"/>
    <mergeCell ref="B12:E12"/>
    <mergeCell ref="B13:E13"/>
    <mergeCell ref="A1:C1"/>
    <mergeCell ref="A2:F2"/>
    <mergeCell ref="D1:F1"/>
    <mergeCell ref="A3:G3"/>
    <mergeCell ref="A4:G4"/>
    <mergeCell ref="B20:E20"/>
    <mergeCell ref="A34:G34"/>
    <mergeCell ref="B21:E21"/>
    <mergeCell ref="B22:E22"/>
    <mergeCell ref="B24:E24"/>
    <mergeCell ref="B25:E25"/>
    <mergeCell ref="A33:G33"/>
    <mergeCell ref="B23:E23"/>
    <mergeCell ref="A32:G32"/>
    <mergeCell ref="A31:G31"/>
    <mergeCell ref="A29:G29"/>
    <mergeCell ref="B30:E30"/>
    <mergeCell ref="B26:E26"/>
    <mergeCell ref="B27:E27"/>
    <mergeCell ref="B28:E2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List14">
    <tabColor rgb="FFFFCCFF"/>
    <pageSetUpPr fitToPage="1"/>
  </sheetPr>
  <dimension ref="A1:BH64"/>
  <sheetViews>
    <sheetView workbookViewId="0" topLeftCell="A1">
      <selection pane="topLeft" activeCell="A25" sqref="A25:G25"/>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4" customFormat="1" ht="16.5" thickBot="1">
      <c r="A1" s="967" t="s">
        <v>2456</v>
      </c>
      <c r="B1" s="506"/>
      <c r="C1" s="506"/>
      <c r="D1" s="1127" t="s">
        <v>34</v>
      </c>
      <c r="E1" s="587"/>
      <c r="F1" s="888"/>
      <c r="G1" s="164" t="str">
        <f>+'2Př'!I1</f>
        <v/>
      </c>
      <c r="H1" s="73"/>
      <c r="I1" s="7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7" ht="24" customHeight="1">
      <c r="A2" s="1176" t="s">
        <v>2567</v>
      </c>
      <c r="B2" s="1176"/>
      <c r="C2" s="1176"/>
      <c r="D2" s="1176"/>
      <c r="E2" s="1176"/>
      <c r="F2" s="1176"/>
      <c r="G2" s="112"/>
    </row>
    <row r="3" spans="1:7" ht="36" customHeight="1">
      <c r="A3" s="982" t="s">
        <v>141</v>
      </c>
      <c r="B3" s="1177"/>
      <c r="C3" s="1177"/>
      <c r="D3" s="1177"/>
      <c r="E3" s="1177"/>
      <c r="F3" s="1177"/>
      <c r="G3" s="1177"/>
    </row>
    <row r="4" spans="1:60" s="104" customFormat="1" ht="24" customHeight="1" thickBot="1">
      <c r="A4" s="1162" t="s">
        <v>2531</v>
      </c>
      <c r="B4" s="1129"/>
      <c r="C4" s="1129"/>
      <c r="D4" s="1129"/>
      <c r="E4" s="1129"/>
      <c r="F4" s="1129"/>
      <c r="G4" s="1129"/>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s="104" customFormat="1" ht="15" customHeight="1">
      <c r="A5" s="1172"/>
      <c r="B5" s="605"/>
      <c r="C5" s="605"/>
      <c r="D5" s="605"/>
      <c r="E5" s="605"/>
      <c r="F5" s="719" t="s">
        <v>211</v>
      </c>
      <c r="G5" s="117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row>
    <row r="6" spans="1:60" s="104" customFormat="1" ht="15" customHeight="1">
      <c r="A6" s="1173"/>
      <c r="B6" s="1174"/>
      <c r="C6" s="1174"/>
      <c r="D6" s="1174"/>
      <c r="E6" s="1174"/>
      <c r="F6" s="427" t="s">
        <v>130</v>
      </c>
      <c r="G6" s="426" t="s">
        <v>138</v>
      </c>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s="104" customFormat="1" ht="38.1" customHeight="1">
      <c r="A7" s="40">
        <v>401</v>
      </c>
      <c r="B7" s="1178" t="s">
        <v>2516</v>
      </c>
      <c r="C7" s="1178"/>
      <c r="D7" s="1178"/>
      <c r="E7" s="1179"/>
      <c r="F7" s="455">
        <v>0</v>
      </c>
      <c r="G7" s="426"/>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row>
    <row r="8" spans="1:60" s="104" customFormat="1" ht="48" customHeight="1">
      <c r="A8" s="40" t="s">
        <v>2517</v>
      </c>
      <c r="B8" s="1178" t="s">
        <v>2457</v>
      </c>
      <c r="C8" s="1178"/>
      <c r="D8" s="1178"/>
      <c r="E8" s="1179"/>
      <c r="F8" s="455">
        <v>0</v>
      </c>
      <c r="G8" s="6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s="104" customFormat="1" ht="27.95" customHeight="1">
      <c r="A9" s="40">
        <v>402</v>
      </c>
      <c r="B9" s="1164" t="s">
        <v>2458</v>
      </c>
      <c r="C9" s="1164"/>
      <c r="D9" s="1164"/>
      <c r="E9" s="1165"/>
      <c r="F9" s="428">
        <v>0</v>
      </c>
      <c r="G9" s="6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row>
    <row r="10" spans="1:60" s="104" customFormat="1" ht="27.95" customHeight="1">
      <c r="A10" s="40">
        <v>403</v>
      </c>
      <c r="B10" s="1164" t="s">
        <v>2459</v>
      </c>
      <c r="C10" s="1164"/>
      <c r="D10" s="1164"/>
      <c r="E10" s="1165"/>
      <c r="F10" s="428">
        <v>0</v>
      </c>
      <c r="G10" s="6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s="104" customFormat="1" ht="27.95" customHeight="1">
      <c r="A11" s="40">
        <v>404</v>
      </c>
      <c r="B11" s="1164" t="s">
        <v>2460</v>
      </c>
      <c r="C11" s="1164"/>
      <c r="D11" s="1164"/>
      <c r="E11" s="1165"/>
      <c r="F11" s="428">
        <v>0</v>
      </c>
      <c r="G11" s="6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row>
    <row r="12" spans="1:60" s="104" customFormat="1" ht="27.95" customHeight="1">
      <c r="A12" s="40">
        <v>405</v>
      </c>
      <c r="B12" s="1164" t="s">
        <v>2461</v>
      </c>
      <c r="C12" s="1164"/>
      <c r="D12" s="1164"/>
      <c r="E12" s="1165"/>
      <c r="F12" s="428">
        <v>0</v>
      </c>
      <c r="G12" s="6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row>
    <row r="13" spans="1:60" s="104" customFormat="1" ht="38.1" customHeight="1">
      <c r="A13" s="40">
        <v>406</v>
      </c>
      <c r="B13" s="1178" t="s">
        <v>2518</v>
      </c>
      <c r="C13" s="1178"/>
      <c r="D13" s="1178"/>
      <c r="E13" s="1179"/>
      <c r="F13" s="455">
        <f>+F7+F8</f>
        <v>0</v>
      </c>
      <c r="G13" s="6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row>
    <row r="14" spans="1:60" s="104" customFormat="1" ht="27.95" customHeight="1">
      <c r="A14" s="40">
        <v>407</v>
      </c>
      <c r="B14" s="1164" t="s">
        <v>2462</v>
      </c>
      <c r="C14" s="1164"/>
      <c r="D14" s="1164"/>
      <c r="E14" s="1165"/>
      <c r="F14" s="429">
        <f>+F9-F10</f>
        <v>0</v>
      </c>
      <c r="G14" s="6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row>
    <row r="15" spans="1:60" s="104" customFormat="1" ht="27.95" customHeight="1">
      <c r="A15" s="40">
        <v>408</v>
      </c>
      <c r="B15" s="1164" t="s">
        <v>2463</v>
      </c>
      <c r="C15" s="1164"/>
      <c r="D15" s="1164"/>
      <c r="E15" s="1165"/>
      <c r="F15" s="429">
        <f>+F11-F12</f>
        <v>0</v>
      </c>
      <c r="G15" s="6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row>
    <row r="16" spans="1:60" s="104" customFormat="1" ht="27.95" customHeight="1">
      <c r="A16" s="40">
        <v>409</v>
      </c>
      <c r="B16" s="1164" t="s">
        <v>2492</v>
      </c>
      <c r="C16" s="1164"/>
      <c r="D16" s="1164"/>
      <c r="E16" s="1165"/>
      <c r="F16" s="429">
        <f>+FLOOR(F13+F14+F15,100)</f>
        <v>0</v>
      </c>
      <c r="G16" s="6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row>
    <row r="17" spans="1:60" s="104" customFormat="1" ht="27.95" customHeight="1">
      <c r="A17" s="40">
        <v>410</v>
      </c>
      <c r="B17" s="1180" t="s">
        <v>2487</v>
      </c>
      <c r="C17" s="1164"/>
      <c r="D17" s="1164"/>
      <c r="E17" s="1165"/>
      <c r="F17" s="429">
        <f>+F16*0.15</f>
        <v>0</v>
      </c>
      <c r="G17" s="6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row>
    <row r="18" spans="1:60" s="104" customFormat="1" ht="27.95" customHeight="1">
      <c r="A18" s="40">
        <v>411</v>
      </c>
      <c r="B18" s="1164" t="s">
        <v>2464</v>
      </c>
      <c r="C18" s="1164"/>
      <c r="D18" s="1164"/>
      <c r="E18" s="1165"/>
      <c r="F18" s="428">
        <v>0</v>
      </c>
      <c r="G18" s="6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row>
    <row r="19" spans="1:60" s="104" customFormat="1" ht="27.95" customHeight="1">
      <c r="A19" s="40">
        <v>412</v>
      </c>
      <c r="B19" s="1164" t="s">
        <v>2488</v>
      </c>
      <c r="C19" s="1164"/>
      <c r="D19" s="1164"/>
      <c r="E19" s="1165"/>
      <c r="F19" s="428">
        <v>0</v>
      </c>
      <c r="G19" s="6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row>
    <row r="20" spans="1:60" s="104" customFormat="1" ht="27.95" customHeight="1">
      <c r="A20" s="40">
        <v>413</v>
      </c>
      <c r="B20" s="1164" t="s">
        <v>2489</v>
      </c>
      <c r="C20" s="1164"/>
      <c r="D20" s="1164"/>
      <c r="E20" s="1165"/>
      <c r="F20" s="429">
        <f>+ROUND(MIN(F19,0.15*F18),0)</f>
        <v>0</v>
      </c>
      <c r="G20" s="6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row>
    <row r="21" spans="1:60" s="104" customFormat="1" ht="27.95" customHeight="1" thickBot="1">
      <c r="A21" s="40">
        <v>414</v>
      </c>
      <c r="B21" s="1164" t="s">
        <v>2490</v>
      </c>
      <c r="C21" s="1164"/>
      <c r="D21" s="1164"/>
      <c r="E21" s="1165"/>
      <c r="F21" s="429">
        <f>+F17-F20</f>
        <v>0</v>
      </c>
      <c r="G21" s="6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row>
    <row r="22" spans="1:7" ht="170.1" customHeight="1">
      <c r="A22" s="682"/>
      <c r="B22" s="605"/>
      <c r="C22" s="605"/>
      <c r="D22" s="605"/>
      <c r="E22" s="605"/>
      <c r="F22" s="605"/>
      <c r="G22" s="605"/>
    </row>
    <row r="23" spans="1:7" ht="15.95" customHeight="1">
      <c r="A23" s="1157" t="str">
        <f>+'DAP1'!A46</f>
        <v>Formulář zpracovala ASPEKT HM, daňová, účetní a auditorská kancelář, www.danovapriznani.cz, business.center.cz</v>
      </c>
      <c r="B23" s="1157"/>
      <c r="C23" s="1157"/>
      <c r="D23" s="1157"/>
      <c r="E23" s="1157"/>
      <c r="F23" s="1157"/>
      <c r="G23" s="1157"/>
    </row>
    <row r="24" spans="1:60" s="157" customFormat="1" ht="12" customHeight="1">
      <c r="A24" s="1156" t="s">
        <v>2569</v>
      </c>
      <c r="B24" s="1156"/>
      <c r="C24" s="1156"/>
      <c r="D24" s="1156"/>
      <c r="E24" s="1156"/>
      <c r="F24" s="1156"/>
      <c r="G24" s="1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row>
    <row r="25" spans="1:7" ht="12.75">
      <c r="A25" s="1152" t="s">
        <v>237</v>
      </c>
      <c r="B25" s="1152"/>
      <c r="C25" s="1152"/>
      <c r="D25" s="1152"/>
      <c r="E25" s="1153"/>
      <c r="F25" s="1153"/>
      <c r="G25" s="1153"/>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thickBot="1"/>
  </sheetData>
  <sheetProtection algorithmName="SHA-512" hashValue="CqhbsRswc2uoBKtDeWo4LLETYlaEqFkX+D8/mRfMm/LNN4KPVbRjwzNu/KsTFJcmQDzjY10+TAymjEaa2M5uwA==" saltValue="AVlJavBpLyG8tYB02r6UTA==" spinCount="100000" sheet="1" objects="1" scenarios="1"/>
  <mergeCells count="26">
    <mergeCell ref="A23:G23"/>
    <mergeCell ref="A24:G24"/>
    <mergeCell ref="A25:G25"/>
    <mergeCell ref="B12:E12"/>
    <mergeCell ref="B13:E13"/>
    <mergeCell ref="B14:E14"/>
    <mergeCell ref="B15:E15"/>
    <mergeCell ref="B17:E17"/>
    <mergeCell ref="B18:E18"/>
    <mergeCell ref="B19:E19"/>
    <mergeCell ref="B20:E20"/>
    <mergeCell ref="B21:E21"/>
    <mergeCell ref="A22:G22"/>
    <mergeCell ref="B16:E16"/>
    <mergeCell ref="B11:E11"/>
    <mergeCell ref="A1:C1"/>
    <mergeCell ref="D1:F1"/>
    <mergeCell ref="A2:F2"/>
    <mergeCell ref="A3:G3"/>
    <mergeCell ref="A4:G4"/>
    <mergeCell ref="A5:E6"/>
    <mergeCell ref="F5:G5"/>
    <mergeCell ref="B8:E8"/>
    <mergeCell ref="B9:E9"/>
    <mergeCell ref="B10:E10"/>
    <mergeCell ref="B7:E7"/>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List16">
    <tabColor rgb="FFFFCCFF"/>
    <pageSetUpPr fitToPage="1"/>
  </sheetPr>
  <dimension ref="A1:BH64"/>
  <sheetViews>
    <sheetView workbookViewId="0" topLeftCell="A1">
      <selection pane="topLeft" activeCell="F14" sqref="F14"/>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4" customFormat="1" ht="16.5" thickBot="1">
      <c r="A1" s="967"/>
      <c r="B1" s="506"/>
      <c r="C1" s="506"/>
      <c r="D1" s="1127" t="s">
        <v>155</v>
      </c>
      <c r="E1" s="587"/>
      <c r="F1" s="888"/>
      <c r="G1" s="249">
        <v>1</v>
      </c>
      <c r="H1" s="73"/>
      <c r="I1" s="7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7" ht="24" customHeight="1">
      <c r="A2" s="966"/>
      <c r="B2" s="966"/>
      <c r="C2" s="966"/>
      <c r="D2" s="966"/>
      <c r="E2" s="966"/>
      <c r="F2" s="966"/>
      <c r="G2" s="112"/>
    </row>
    <row r="3" spans="1:7" ht="36" customHeight="1">
      <c r="A3" s="1193" t="s">
        <v>156</v>
      </c>
      <c r="B3" s="1194"/>
      <c r="C3" s="1194"/>
      <c r="D3" s="1194"/>
      <c r="E3" s="1194"/>
      <c r="F3" s="1194"/>
      <c r="G3" s="1194"/>
    </row>
    <row r="4" spans="1:60" s="104" customFormat="1" ht="18" customHeight="1">
      <c r="A4" s="1195" t="s">
        <v>157</v>
      </c>
      <c r="B4" s="1196"/>
      <c r="C4" s="1196"/>
      <c r="D4" s="1196"/>
      <c r="E4" s="1196"/>
      <c r="F4" s="1196"/>
      <c r="G4" s="1196"/>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7" ht="18" customHeight="1">
      <c r="A5" s="1197" t="s">
        <v>2352</v>
      </c>
      <c r="B5" s="1198"/>
      <c r="C5" s="1198"/>
      <c r="D5" s="1198"/>
      <c r="E5" s="1198"/>
      <c r="F5" s="1198"/>
      <c r="G5" s="1198"/>
    </row>
    <row r="6" spans="1:7" ht="18" customHeight="1">
      <c r="A6" s="1199" t="s">
        <v>94</v>
      </c>
      <c r="B6" s="1200"/>
      <c r="C6" s="1200"/>
      <c r="D6" s="1200"/>
      <c r="E6" s="1200"/>
      <c r="F6" s="1200"/>
      <c r="G6" s="1200"/>
    </row>
    <row r="7" spans="1:7" ht="18" customHeight="1">
      <c r="A7" s="1182"/>
      <c r="B7" s="1183"/>
      <c r="C7" s="1183"/>
      <c r="D7" s="1183"/>
      <c r="E7" s="1183"/>
      <c r="F7" s="1183"/>
      <c r="G7" s="1183"/>
    </row>
    <row r="8" spans="1:7" ht="24" customHeight="1">
      <c r="A8" s="1158" t="s">
        <v>2351</v>
      </c>
      <c r="B8" s="888"/>
      <c r="C8" s="136"/>
      <c r="D8" s="1169"/>
      <c r="E8" s="607"/>
      <c r="F8" s="607"/>
      <c r="G8" s="607"/>
    </row>
    <row r="9" spans="1:7" ht="8.1" customHeight="1" thickBot="1">
      <c r="A9" s="1170"/>
      <c r="B9" s="1171"/>
      <c r="C9" s="1171"/>
      <c r="D9" s="1171"/>
      <c r="E9" s="1171"/>
      <c r="F9" s="1171"/>
      <c r="G9" s="1171"/>
    </row>
    <row r="10" spans="1:7" ht="15" customHeight="1">
      <c r="A10" s="1189"/>
      <c r="B10" s="605"/>
      <c r="C10" s="605"/>
      <c r="D10" s="605"/>
      <c r="E10" s="1190"/>
      <c r="F10" s="1191" t="s">
        <v>211</v>
      </c>
      <c r="G10" s="1192"/>
    </row>
    <row r="11" spans="1:7" ht="15" customHeight="1">
      <c r="A11" s="1173"/>
      <c r="B11" s="547"/>
      <c r="C11" s="547"/>
      <c r="D11" s="547"/>
      <c r="E11" s="548"/>
      <c r="F11" s="75" t="s">
        <v>130</v>
      </c>
      <c r="G11" s="86" t="s">
        <v>138</v>
      </c>
    </row>
    <row r="12" spans="1:7" ht="24" customHeight="1">
      <c r="A12" s="246">
        <v>321</v>
      </c>
      <c r="B12" s="1150" t="s">
        <v>204</v>
      </c>
      <c r="C12" s="1150"/>
      <c r="D12" s="1150"/>
      <c r="E12" s="1151"/>
      <c r="F12" s="106">
        <v>0</v>
      </c>
      <c r="G12" s="65"/>
    </row>
    <row r="13" spans="1:7" ht="24" customHeight="1">
      <c r="A13" s="246">
        <v>322</v>
      </c>
      <c r="B13" s="1150" t="s">
        <v>205</v>
      </c>
      <c r="C13" s="1150"/>
      <c r="D13" s="1150"/>
      <c r="E13" s="1151"/>
      <c r="F13" s="106">
        <v>0</v>
      </c>
      <c r="G13" s="65"/>
    </row>
    <row r="14" spans="1:7" ht="24" customHeight="1">
      <c r="A14" s="246">
        <v>323</v>
      </c>
      <c r="B14" s="1150" t="s">
        <v>99</v>
      </c>
      <c r="C14" s="1150"/>
      <c r="D14" s="1150"/>
      <c r="E14" s="1151"/>
      <c r="F14" s="106">
        <v>0</v>
      </c>
      <c r="G14" s="65"/>
    </row>
    <row r="15" spans="1:7" ht="24" customHeight="1">
      <c r="A15" s="246">
        <v>324</v>
      </c>
      <c r="B15" s="1150" t="s">
        <v>2452</v>
      </c>
      <c r="C15" s="1150"/>
      <c r="D15" s="1150"/>
      <c r="E15" s="1151"/>
      <c r="F15" s="158">
        <f>ROUND(+IF(+IF(IF('DAP2'!E16=0,0,(F12-F13)/'DAP2'!E16)&lt;0,0,IF('DAP2'!E16=0,0,(F12-F13)/'DAP2'!E16))&gt;1,1,+IF(IF('DAP2'!E16=0,0,(F12-F13)/'DAP2'!E16)&lt;0,0,IF('DAP2'!E16=0,0,(F12-F13)/'DAP2'!E16))),4)</f>
        <v>0</v>
      </c>
      <c r="G15" s="65"/>
    </row>
    <row r="16" spans="1:7" ht="24" customHeight="1">
      <c r="A16" s="246">
        <v>325</v>
      </c>
      <c r="B16" s="1150" t="s">
        <v>2453</v>
      </c>
      <c r="C16" s="1150"/>
      <c r="D16" s="1150"/>
      <c r="E16" s="1151"/>
      <c r="F16" s="256">
        <f>ROUND((+'DAP2'!F34+'DAP2'!F37)*F15,2)</f>
        <v>0</v>
      </c>
      <c r="G16" s="65"/>
    </row>
    <row r="17" spans="1:7" ht="24" customHeight="1" thickBot="1">
      <c r="A17" s="247">
        <v>326</v>
      </c>
      <c r="B17" s="1154" t="s">
        <v>125</v>
      </c>
      <c r="C17" s="1154"/>
      <c r="D17" s="1154"/>
      <c r="E17" s="1155"/>
      <c r="F17" s="257">
        <f>+MIN(F14,F16)</f>
        <v>0</v>
      </c>
      <c r="G17" s="84"/>
    </row>
    <row r="18" spans="1:7" ht="24" customHeight="1" thickBot="1">
      <c r="A18" s="248">
        <v>327</v>
      </c>
      <c r="B18" s="1187" t="s">
        <v>2353</v>
      </c>
      <c r="C18" s="1187"/>
      <c r="D18" s="1187"/>
      <c r="E18" s="1188"/>
      <c r="F18" s="258">
        <f>+F14-F17</f>
        <v>0</v>
      </c>
      <c r="G18" s="85"/>
    </row>
    <row r="19" spans="1:7" ht="24" customHeight="1">
      <c r="A19" s="1184" t="s">
        <v>2243</v>
      </c>
      <c r="B19" s="1185"/>
      <c r="C19" s="1185"/>
      <c r="D19" s="1185"/>
      <c r="E19" s="1185"/>
      <c r="F19" s="1185"/>
      <c r="G19" s="1185"/>
    </row>
    <row r="20" spans="1:7" ht="330" customHeight="1">
      <c r="A20" s="1186"/>
      <c r="B20" s="506"/>
      <c r="C20" s="506"/>
      <c r="D20" s="506"/>
      <c r="E20" s="506"/>
      <c r="F20" s="506"/>
      <c r="G20" s="506"/>
    </row>
    <row r="21" spans="1:7" ht="15.95" customHeight="1">
      <c r="A21" s="1157" t="str">
        <f>+'DAP1'!A46</f>
        <v>Formulář zpracovala ASPEKT HM, daňová, účetní a auditorská kancelář, www.danovapriznani.cz, business.center.cz</v>
      </c>
      <c r="B21" s="1157"/>
      <c r="C21" s="1157"/>
      <c r="D21" s="1157"/>
      <c r="E21" s="1157"/>
      <c r="F21" s="1157"/>
      <c r="G21" s="1157"/>
    </row>
    <row r="22" spans="1:60" s="157" customFormat="1" ht="12" customHeight="1">
      <c r="A22" s="1156" t="s">
        <v>2451</v>
      </c>
      <c r="B22" s="1181"/>
      <c r="C22" s="1181"/>
      <c r="D22" s="1181"/>
      <c r="E22" s="1181"/>
      <c r="F22" s="1181"/>
      <c r="G22" s="1181"/>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row>
    <row r="23" spans="1:7" ht="12.75">
      <c r="A23" s="1152" t="s">
        <v>237</v>
      </c>
      <c r="B23" s="1152"/>
      <c r="C23" s="1152"/>
      <c r="D23" s="1152"/>
      <c r="E23" s="1153"/>
      <c r="F23" s="1153"/>
      <c r="G23" s="1153"/>
    </row>
    <row r="24" spans="1:7" ht="12.75">
      <c r="A24" s="73"/>
      <c r="B24" s="73"/>
      <c r="C24" s="73"/>
      <c r="D24" s="73"/>
      <c r="E24" s="73"/>
      <c r="F24" s="73"/>
      <c r="G24" s="73"/>
    </row>
    <row r="25" spans="1:7" ht="12.75">
      <c r="A25" s="73"/>
      <c r="B25" s="73"/>
      <c r="C25" s="73"/>
      <c r="D25" s="73"/>
      <c r="E25" s="73"/>
      <c r="F25" s="73"/>
      <c r="G25" s="73"/>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thickBot="1"/>
  </sheetData>
  <sheetProtection algorithmName="SHA-512" hashValue="5v79JCYkZ0oWDHkJqB5cWYyBOM+G7NWXGoP85jC6GLiO0BMoAwoEfKhHz6SoFCNof11QM5esS+Pq9wibmFmj9A==" saltValue="gNOxw+kv3bZKzjilDzboSA==" spinCount="100000"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List17">
    <tabColor rgb="FFFFCCFF"/>
    <pageSetUpPr fitToPage="1"/>
  </sheetPr>
  <dimension ref="A1:AL48"/>
  <sheetViews>
    <sheetView workbookViewId="0" topLeftCell="A1">
      <selection pane="topLeft" activeCell="C14" sqref="C14"/>
    </sheetView>
  </sheetViews>
  <sheetFormatPr defaultRowHeight="12.75"/>
  <cols>
    <col min="2" max="6" width="18.7142857142857" customWidth="1"/>
    <col min="7" max="38" width="9.14285714285714" style="21"/>
  </cols>
  <sheetData>
    <row r="1" spans="1:6" ht="20.1" customHeight="1" thickBot="1">
      <c r="A1" s="842"/>
      <c r="B1" s="842"/>
      <c r="C1" s="1207" t="s">
        <v>34</v>
      </c>
      <c r="D1" s="1208"/>
      <c r="E1" s="1209"/>
      <c r="F1" s="167" t="str">
        <f>+'2Př'!I1</f>
        <v/>
      </c>
    </row>
    <row r="2" spans="1:6" ht="27.95" customHeight="1">
      <c r="A2" s="842"/>
      <c r="B2" s="842"/>
      <c r="C2" s="842"/>
      <c r="D2" s="842"/>
      <c r="E2" s="842"/>
      <c r="F2" s="842"/>
    </row>
    <row r="3" spans="1:6" ht="27.95" customHeight="1">
      <c r="A3" s="1210" t="s">
        <v>153</v>
      </c>
      <c r="B3" s="1210"/>
      <c r="C3" s="1210"/>
      <c r="D3" s="1210"/>
      <c r="E3" s="1210"/>
      <c r="F3" s="1210"/>
    </row>
    <row r="4" spans="1:6" ht="27.95" customHeight="1" thickBot="1">
      <c r="A4" s="842"/>
      <c r="B4" s="842"/>
      <c r="C4" s="842"/>
      <c r="D4" s="842"/>
      <c r="E4" s="842"/>
      <c r="F4" s="842"/>
    </row>
    <row r="5" spans="1:38" s="162" customFormat="1" ht="18.75" thickBot="1">
      <c r="A5" s="1211" t="s">
        <v>106</v>
      </c>
      <c r="B5" s="1211"/>
      <c r="C5" s="1211"/>
      <c r="D5" s="1211"/>
      <c r="E5" s="1212"/>
      <c r="F5" s="163">
        <f>+'DAP1'!F24</f>
        <v>2025</v>
      </c>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row>
    <row r="6" spans="1:6" ht="18">
      <c r="A6" s="1218" t="s">
        <v>154</v>
      </c>
      <c r="B6" s="1218"/>
      <c r="C6" s="1218"/>
      <c r="D6" s="1218"/>
      <c r="E6" s="1218"/>
      <c r="F6" s="1218"/>
    </row>
    <row r="7" spans="1:6" ht="15">
      <c r="A7" s="1219" t="s">
        <v>40</v>
      </c>
      <c r="B7" s="1219"/>
      <c r="C7" s="1219"/>
      <c r="D7" s="1219"/>
      <c r="E7" s="1219"/>
      <c r="F7" s="1219"/>
    </row>
    <row r="8" spans="1:6" ht="13.5" thickBot="1">
      <c r="A8" s="842"/>
      <c r="B8" s="842"/>
      <c r="C8" s="842"/>
      <c r="D8" s="842"/>
      <c r="E8" s="842"/>
      <c r="F8" s="842"/>
    </row>
    <row r="9" spans="1:6" ht="12.75">
      <c r="A9" s="203" t="s">
        <v>147</v>
      </c>
      <c r="B9" s="204" t="s">
        <v>152</v>
      </c>
      <c r="C9" s="204" t="s">
        <v>151</v>
      </c>
      <c r="D9" s="204" t="s">
        <v>150</v>
      </c>
      <c r="E9" s="204" t="s">
        <v>149</v>
      </c>
      <c r="F9" s="205" t="s">
        <v>148</v>
      </c>
    </row>
    <row r="10" spans="1:6" ht="12.75" customHeight="1">
      <c r="A10" s="1220" t="s">
        <v>6</v>
      </c>
      <c r="B10" s="1216" t="s">
        <v>2414</v>
      </c>
      <c r="C10" s="1216" t="s">
        <v>2415</v>
      </c>
      <c r="D10" s="1216" t="s">
        <v>2416</v>
      </c>
      <c r="E10" s="1216" t="s">
        <v>2417</v>
      </c>
      <c r="F10" s="1205" t="s">
        <v>2418</v>
      </c>
    </row>
    <row r="11" spans="1:6" ht="45.75" customHeight="1">
      <c r="A11" s="1220"/>
      <c r="B11" s="1216"/>
      <c r="C11" s="1216"/>
      <c r="D11" s="1217"/>
      <c r="E11" s="1217"/>
      <c r="F11" s="1206"/>
    </row>
    <row r="12" spans="1:6" ht="18" customHeight="1">
      <c r="A12" s="168">
        <v>1</v>
      </c>
      <c r="B12" s="206">
        <v>2024</v>
      </c>
      <c r="C12" s="207">
        <v>0</v>
      </c>
      <c r="D12" s="207">
        <v>0</v>
      </c>
      <c r="E12" s="207">
        <v>0</v>
      </c>
      <c r="F12" s="208">
        <f t="shared" si="0" ref="F12:F19">+C12-D12-E12</f>
        <v>0</v>
      </c>
    </row>
    <row r="13" spans="1:6" ht="18" customHeight="1">
      <c r="A13" s="168">
        <v>2</v>
      </c>
      <c r="B13" s="209"/>
      <c r="C13" s="207"/>
      <c r="D13" s="207"/>
      <c r="E13" s="207"/>
      <c r="F13" s="208">
        <f t="shared" si="0"/>
        <v>0</v>
      </c>
    </row>
    <row r="14" spans="1:6" ht="18" customHeight="1">
      <c r="A14" s="168">
        <v>3</v>
      </c>
      <c r="B14" s="209"/>
      <c r="C14" s="207"/>
      <c r="D14" s="207"/>
      <c r="E14" s="207"/>
      <c r="F14" s="208">
        <f t="shared" si="0"/>
        <v>0</v>
      </c>
    </row>
    <row r="15" spans="1:6" ht="18" customHeight="1">
      <c r="A15" s="168">
        <v>4</v>
      </c>
      <c r="B15" s="209"/>
      <c r="C15" s="207"/>
      <c r="D15" s="207"/>
      <c r="E15" s="207"/>
      <c r="F15" s="208">
        <f t="shared" si="0"/>
        <v>0</v>
      </c>
    </row>
    <row r="16" spans="1:6" ht="18" customHeight="1">
      <c r="A16" s="168">
        <v>5</v>
      </c>
      <c r="B16" s="209"/>
      <c r="C16" s="207"/>
      <c r="D16" s="207"/>
      <c r="E16" s="207"/>
      <c r="F16" s="208">
        <f t="shared" si="0"/>
        <v>0</v>
      </c>
    </row>
    <row r="17" spans="1:6" ht="18" customHeight="1">
      <c r="A17" s="168">
        <v>6</v>
      </c>
      <c r="B17" s="209"/>
      <c r="C17" s="207"/>
      <c r="D17" s="207"/>
      <c r="E17" s="207"/>
      <c r="F17" s="208">
        <f t="shared" si="0"/>
        <v>0</v>
      </c>
    </row>
    <row r="18" spans="1:6" ht="18" customHeight="1">
      <c r="A18" s="168">
        <v>7</v>
      </c>
      <c r="B18" s="209"/>
      <c r="C18" s="207"/>
      <c r="D18" s="207"/>
      <c r="E18" s="207"/>
      <c r="F18" s="208">
        <f t="shared" si="0"/>
        <v>0</v>
      </c>
    </row>
    <row r="19" spans="1:6" ht="18" customHeight="1">
      <c r="A19" s="168">
        <v>8</v>
      </c>
      <c r="B19" s="209"/>
      <c r="C19" s="207"/>
      <c r="D19" s="207"/>
      <c r="E19" s="207"/>
      <c r="F19" s="208">
        <f t="shared" si="0"/>
        <v>0</v>
      </c>
    </row>
    <row r="20" spans="1:6" ht="18" customHeight="1" thickBot="1">
      <c r="A20" s="210">
        <v>9</v>
      </c>
      <c r="B20" s="1214" t="s">
        <v>52</v>
      </c>
      <c r="C20" s="1215"/>
      <c r="D20" s="1215"/>
      <c r="E20" s="211">
        <f>SUM(E12:E19)</f>
        <v>0</v>
      </c>
      <c r="F20" s="212">
        <f>SUM(F12:F19)</f>
        <v>0</v>
      </c>
    </row>
    <row r="21" spans="1:6" ht="24" customHeight="1">
      <c r="A21" s="1213" t="s">
        <v>2419</v>
      </c>
      <c r="B21" s="1213"/>
      <c r="C21" s="1213"/>
      <c r="D21" s="1213"/>
      <c r="E21" s="1213"/>
      <c r="F21" s="1213"/>
    </row>
    <row r="22" spans="1:6" ht="24" customHeight="1">
      <c r="A22" s="842"/>
      <c r="B22" s="842"/>
      <c r="C22" s="842"/>
      <c r="D22" s="842"/>
      <c r="E22" s="842"/>
      <c r="F22" s="842"/>
    </row>
    <row r="23" spans="1:6" ht="24" customHeight="1">
      <c r="A23" s="842"/>
      <c r="B23" s="842"/>
      <c r="C23" s="842"/>
      <c r="D23" s="842"/>
      <c r="E23" s="842"/>
      <c r="F23" s="842"/>
    </row>
    <row r="24" spans="1:6" ht="24" customHeight="1">
      <c r="A24" s="842"/>
      <c r="B24" s="842"/>
      <c r="C24" s="842"/>
      <c r="D24" s="842"/>
      <c r="E24" s="842"/>
      <c r="F24" s="842"/>
    </row>
    <row r="25" spans="1:6" ht="24" customHeight="1">
      <c r="A25" s="842"/>
      <c r="B25" s="842"/>
      <c r="C25" s="842"/>
      <c r="D25" s="842"/>
      <c r="E25" s="842"/>
      <c r="F25" s="842"/>
    </row>
    <row r="26" spans="1:6" ht="24" customHeight="1">
      <c r="A26" s="842"/>
      <c r="B26" s="842"/>
      <c r="C26" s="842"/>
      <c r="D26" s="842"/>
      <c r="E26" s="842"/>
      <c r="F26" s="842"/>
    </row>
    <row r="27" spans="1:6" ht="24" customHeight="1">
      <c r="A27" s="842"/>
      <c r="B27" s="842"/>
      <c r="C27" s="842"/>
      <c r="D27" s="842"/>
      <c r="E27" s="842"/>
      <c r="F27" s="842"/>
    </row>
    <row r="28" spans="1:6" ht="24" customHeight="1">
      <c r="A28" s="842"/>
      <c r="B28" s="842"/>
      <c r="C28" s="842"/>
      <c r="D28" s="842"/>
      <c r="E28" s="842"/>
      <c r="F28" s="842"/>
    </row>
    <row r="29" spans="1:6" ht="24" customHeight="1">
      <c r="A29" s="842"/>
      <c r="B29" s="842"/>
      <c r="C29" s="842"/>
      <c r="D29" s="842"/>
      <c r="E29" s="842"/>
      <c r="F29" s="842"/>
    </row>
    <row r="30" spans="1:6" ht="24" customHeight="1">
      <c r="A30" s="842"/>
      <c r="B30" s="842"/>
      <c r="C30" s="842"/>
      <c r="D30" s="842"/>
      <c r="E30" s="842"/>
      <c r="F30" s="842"/>
    </row>
    <row r="31" spans="1:6" ht="24" customHeight="1">
      <c r="A31" s="842"/>
      <c r="B31" s="842"/>
      <c r="C31" s="842"/>
      <c r="D31" s="842"/>
      <c r="E31" s="842"/>
      <c r="F31" s="842"/>
    </row>
    <row r="32" spans="1:6" ht="24" customHeight="1">
      <c r="A32" s="842"/>
      <c r="B32" s="842"/>
      <c r="C32" s="842"/>
      <c r="D32" s="842"/>
      <c r="E32" s="842"/>
      <c r="F32" s="842"/>
    </row>
    <row r="33" spans="1:6" ht="24" customHeight="1">
      <c r="A33" s="842"/>
      <c r="B33" s="842"/>
      <c r="C33" s="842"/>
      <c r="D33" s="842"/>
      <c r="E33" s="842"/>
      <c r="F33" s="842"/>
    </row>
    <row r="34" spans="1:6" ht="12.75">
      <c r="A34" s="1203" t="str">
        <f>+'DAP1'!A46</f>
        <v>Formulář zpracovala ASPEKT HM, daňová, účetní a auditorská kancelář, www.danovapriznani.cz, business.center.cz</v>
      </c>
      <c r="B34" s="1204"/>
      <c r="C34" s="1204"/>
      <c r="D34" s="1204"/>
      <c r="E34" s="1204"/>
      <c r="F34" s="1204"/>
    </row>
    <row r="35" spans="1:6" ht="12.75">
      <c r="A35" s="1201" t="s">
        <v>2420</v>
      </c>
      <c r="B35" s="1201"/>
      <c r="C35" s="1201"/>
      <c r="D35" s="1201"/>
      <c r="E35" s="1201"/>
      <c r="F35" s="1201"/>
    </row>
    <row r="36" spans="1:6" ht="12.75">
      <c r="A36" s="1202" t="s">
        <v>237</v>
      </c>
      <c r="B36" s="1202"/>
      <c r="C36" s="1202"/>
      <c r="D36" s="1202"/>
      <c r="E36" s="1202"/>
      <c r="F36" s="1202"/>
    </row>
    <row r="37" spans="1:6" ht="12.75">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thickBot="1"/>
  </sheetData>
  <sheetProtection algorithmName="SHA-512" hashValue="INYy9KnjVI79LZMak/pBXp2p600deo/U9SNofc6KL4ed/92AEeIuFz2NZy8dPMsr0uwDr0HvwGY7Vqr3nM1LSg==" saltValue="usSgeLedfpLdKB8B0HJyGA=="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List18">
    <tabColor rgb="FFFFCCFF"/>
    <pageSetUpPr fitToPage="1"/>
  </sheetPr>
  <dimension ref="A1:U48"/>
  <sheetViews>
    <sheetView workbookViewId="0" topLeftCell="A1">
      <selection pane="topLeft" activeCell="A1" sqref="A1:D1"/>
    </sheetView>
  </sheetViews>
  <sheetFormatPr defaultRowHeight="12.75"/>
  <cols>
    <col min="1" max="1" width="7.42857142857143" customWidth="1"/>
    <col min="2" max="2" width="64.7142857142857" customWidth="1"/>
    <col min="3" max="6" width="18.7142857142857" customWidth="1"/>
    <col min="7" max="21" width="9.14285714285714" style="21"/>
  </cols>
  <sheetData>
    <row r="1" spans="1:6" ht="18" customHeight="1">
      <c r="A1" s="1207" t="s">
        <v>34</v>
      </c>
      <c r="B1" s="842"/>
      <c r="C1" s="842"/>
      <c r="D1" s="1223"/>
      <c r="E1" s="1221" t="str">
        <f>+'6Př'!F1</f>
        <v/>
      </c>
      <c r="F1" s="1222"/>
    </row>
    <row r="2" spans="1:6" ht="12.75">
      <c r="A2" s="842"/>
      <c r="B2" s="842"/>
      <c r="C2" s="842"/>
      <c r="D2" s="842"/>
      <c r="E2" s="842"/>
      <c r="F2" s="842"/>
    </row>
    <row r="3" spans="1:21" s="104" customFormat="1" ht="27.75">
      <c r="A3" s="1224" t="s">
        <v>103</v>
      </c>
      <c r="B3" s="1224"/>
      <c r="C3" s="1224"/>
      <c r="D3" s="1224"/>
      <c r="E3" s="1224"/>
      <c r="F3" s="1224"/>
      <c r="G3" s="107"/>
      <c r="H3" s="107"/>
      <c r="I3" s="107"/>
      <c r="J3" s="107"/>
      <c r="K3" s="107"/>
      <c r="L3" s="107"/>
      <c r="M3" s="107"/>
      <c r="N3" s="107"/>
      <c r="O3" s="107"/>
      <c r="P3" s="107"/>
      <c r="Q3" s="107"/>
      <c r="R3" s="107"/>
      <c r="S3" s="107"/>
      <c r="T3" s="107"/>
      <c r="U3" s="107"/>
    </row>
    <row r="4" spans="1:21" s="104" customFormat="1" ht="18">
      <c r="A4" s="510" t="s">
        <v>41</v>
      </c>
      <c r="B4" s="510"/>
      <c r="C4" s="510"/>
      <c r="D4" s="510"/>
      <c r="E4" s="510"/>
      <c r="F4" s="510"/>
      <c r="G4" s="107"/>
      <c r="H4" s="107"/>
      <c r="I4" s="107"/>
      <c r="J4" s="107"/>
      <c r="K4" s="107"/>
      <c r="L4" s="107"/>
      <c r="M4" s="107"/>
      <c r="N4" s="107"/>
      <c r="O4" s="107"/>
      <c r="P4" s="107"/>
      <c r="Q4" s="107"/>
      <c r="R4" s="107"/>
      <c r="S4" s="107"/>
      <c r="T4" s="107"/>
      <c r="U4" s="107"/>
    </row>
    <row r="5" spans="1:21" s="104" customFormat="1" ht="18">
      <c r="A5" s="510" t="s">
        <v>2244</v>
      </c>
      <c r="B5" s="510"/>
      <c r="C5" s="510"/>
      <c r="D5" s="510"/>
      <c r="E5" s="510"/>
      <c r="F5" s="510"/>
      <c r="G5" s="107"/>
      <c r="H5" s="107"/>
      <c r="I5" s="107"/>
      <c r="J5" s="107"/>
      <c r="K5" s="107"/>
      <c r="L5" s="107"/>
      <c r="M5" s="107"/>
      <c r="N5" s="107"/>
      <c r="O5" s="107"/>
      <c r="P5" s="107"/>
      <c r="Q5" s="107"/>
      <c r="R5" s="107"/>
      <c r="S5" s="107"/>
      <c r="T5" s="107"/>
      <c r="U5" s="107"/>
    </row>
    <row r="6" spans="1:21" s="104" customFormat="1" ht="18">
      <c r="A6" s="1227" t="s">
        <v>106</v>
      </c>
      <c r="B6" s="1227"/>
      <c r="C6" s="1227"/>
      <c r="D6" s="1228"/>
      <c r="E6" s="165">
        <f>+'DAP1'!F24</f>
        <v>2025</v>
      </c>
      <c r="F6" s="135"/>
      <c r="G6" s="107"/>
      <c r="H6" s="107"/>
      <c r="I6" s="107"/>
      <c r="J6" s="107"/>
      <c r="K6" s="107"/>
      <c r="L6" s="107"/>
      <c r="M6" s="107"/>
      <c r="N6" s="107"/>
      <c r="O6" s="107"/>
      <c r="P6" s="107"/>
      <c r="Q6" s="107"/>
      <c r="R6" s="107"/>
      <c r="S6" s="107"/>
      <c r="T6" s="107"/>
      <c r="U6" s="107"/>
    </row>
    <row r="7" spans="1:6" ht="13.5" thickBot="1">
      <c r="A7" s="842"/>
      <c r="B7" s="842"/>
      <c r="C7" s="842"/>
      <c r="D7" s="842"/>
      <c r="E7" s="842"/>
      <c r="F7" s="842"/>
    </row>
    <row r="8" spans="1:6" ht="18" customHeight="1">
      <c r="A8" s="213" t="s">
        <v>6</v>
      </c>
      <c r="B8" s="214" t="s">
        <v>42</v>
      </c>
      <c r="C8" s="214" t="s">
        <v>43</v>
      </c>
      <c r="D8" s="214" t="s">
        <v>44</v>
      </c>
      <c r="E8" s="214" t="s">
        <v>45</v>
      </c>
      <c r="F8" s="215" t="s">
        <v>46</v>
      </c>
    </row>
    <row r="9" spans="1:6" ht="18" customHeight="1" thickBot="1">
      <c r="A9" s="216" t="s">
        <v>107</v>
      </c>
      <c r="B9" s="217" t="s">
        <v>2245</v>
      </c>
      <c r="C9" s="217" t="s">
        <v>108</v>
      </c>
      <c r="D9" s="217" t="s">
        <v>109</v>
      </c>
      <c r="E9" s="217" t="s">
        <v>110</v>
      </c>
      <c r="F9" s="218" t="s">
        <v>111</v>
      </c>
    </row>
    <row r="10" spans="1:6" ht="18" customHeight="1">
      <c r="A10" s="219">
        <v>1</v>
      </c>
      <c r="B10" s="220"/>
      <c r="C10" s="221"/>
      <c r="D10" s="221"/>
      <c r="E10" s="221"/>
      <c r="F10" s="222"/>
    </row>
    <row r="11" spans="1:6" ht="18" customHeight="1">
      <c r="A11" s="223"/>
      <c r="B11" s="136"/>
      <c r="C11" s="224"/>
      <c r="D11" s="224"/>
      <c r="E11" s="224"/>
      <c r="F11" s="225"/>
    </row>
    <row r="12" spans="1:6" ht="18" customHeight="1">
      <c r="A12" s="223"/>
      <c r="B12" s="136"/>
      <c r="C12" s="224"/>
      <c r="D12" s="224"/>
      <c r="E12" s="224"/>
      <c r="F12" s="225"/>
    </row>
    <row r="13" spans="1:6" ht="18" customHeight="1">
      <c r="A13" s="223"/>
      <c r="B13" s="136"/>
      <c r="C13" s="224"/>
      <c r="D13" s="224"/>
      <c r="E13" s="224"/>
      <c r="F13" s="225"/>
    </row>
    <row r="14" spans="1:6" ht="18" customHeight="1">
      <c r="A14" s="223"/>
      <c r="B14" s="136"/>
      <c r="C14" s="224"/>
      <c r="D14" s="224"/>
      <c r="E14" s="224"/>
      <c r="F14" s="225"/>
    </row>
    <row r="15" spans="1:6" ht="18" customHeight="1">
      <c r="A15" s="223"/>
      <c r="B15" s="136"/>
      <c r="C15" s="224"/>
      <c r="D15" s="224"/>
      <c r="E15" s="224"/>
      <c r="F15" s="225"/>
    </row>
    <row r="16" spans="1:6" ht="18" customHeight="1">
      <c r="A16" s="223"/>
      <c r="B16" s="136"/>
      <c r="C16" s="224"/>
      <c r="D16" s="224"/>
      <c r="E16" s="224"/>
      <c r="F16" s="225"/>
    </row>
    <row r="17" spans="1:6" ht="18" customHeight="1">
      <c r="A17" s="223"/>
      <c r="B17" s="136"/>
      <c r="C17" s="224"/>
      <c r="D17" s="224"/>
      <c r="E17" s="224"/>
      <c r="F17" s="225"/>
    </row>
    <row r="18" spans="1:6" ht="18" customHeight="1">
      <c r="A18" s="223"/>
      <c r="B18" s="136"/>
      <c r="C18" s="224"/>
      <c r="D18" s="224"/>
      <c r="E18" s="224"/>
      <c r="F18" s="225"/>
    </row>
    <row r="19" spans="1:6" ht="18" customHeight="1">
      <c r="A19" s="223"/>
      <c r="B19" s="136"/>
      <c r="C19" s="224"/>
      <c r="D19" s="224"/>
      <c r="E19" s="224"/>
      <c r="F19" s="225"/>
    </row>
    <row r="20" spans="1:6" ht="18" customHeight="1">
      <c r="A20" s="223"/>
      <c r="B20" s="136"/>
      <c r="C20" s="224"/>
      <c r="D20" s="224"/>
      <c r="E20" s="224"/>
      <c r="F20" s="225"/>
    </row>
    <row r="21" spans="1:6" ht="18" customHeight="1">
      <c r="A21" s="223"/>
      <c r="B21" s="136"/>
      <c r="C21" s="224"/>
      <c r="D21" s="224"/>
      <c r="E21" s="224"/>
      <c r="F21" s="225"/>
    </row>
    <row r="22" spans="1:6" ht="18" customHeight="1">
      <c r="A22" s="223"/>
      <c r="B22" s="136"/>
      <c r="C22" s="224"/>
      <c r="D22" s="224"/>
      <c r="E22" s="224"/>
      <c r="F22" s="225"/>
    </row>
    <row r="23" spans="1:6" ht="18" customHeight="1">
      <c r="A23" s="223"/>
      <c r="B23" s="136"/>
      <c r="C23" s="224"/>
      <c r="D23" s="224"/>
      <c r="E23" s="224"/>
      <c r="F23" s="225"/>
    </row>
    <row r="24" spans="1:6" ht="18" customHeight="1">
      <c r="A24" s="223"/>
      <c r="B24" s="136"/>
      <c r="C24" s="224"/>
      <c r="D24" s="224"/>
      <c r="E24" s="224"/>
      <c r="F24" s="225"/>
    </row>
    <row r="25" spans="1:6" ht="18" customHeight="1" thickBot="1">
      <c r="A25" s="226"/>
      <c r="B25" s="227"/>
      <c r="C25" s="228"/>
      <c r="D25" s="228"/>
      <c r="E25" s="228"/>
      <c r="F25" s="229"/>
    </row>
    <row r="26" spans="1:6" ht="12.75">
      <c r="A26" s="1229"/>
      <c r="B26" s="1229"/>
      <c r="C26" s="1229"/>
      <c r="D26" s="1229"/>
      <c r="E26" s="1229"/>
      <c r="F26" s="1229"/>
    </row>
    <row r="27" spans="1:21" s="104" customFormat="1" ht="12.75">
      <c r="A27" s="1230" t="s">
        <v>2248</v>
      </c>
      <c r="B27" s="888"/>
      <c r="C27" s="888"/>
      <c r="D27" s="888"/>
      <c r="E27" s="888"/>
      <c r="F27" s="888"/>
      <c r="G27" s="107"/>
      <c r="H27" s="107"/>
      <c r="I27" s="107"/>
      <c r="J27" s="107"/>
      <c r="K27" s="107"/>
      <c r="L27" s="107"/>
      <c r="M27" s="107"/>
      <c r="N27" s="107"/>
      <c r="O27" s="107"/>
      <c r="P27" s="107"/>
      <c r="Q27" s="107"/>
      <c r="R27" s="107"/>
      <c r="S27" s="107"/>
      <c r="T27" s="107"/>
      <c r="U27" s="107"/>
    </row>
    <row r="28" spans="1:21" s="104" customFormat="1" ht="24" customHeight="1">
      <c r="A28" s="1231" t="s">
        <v>2246</v>
      </c>
      <c r="B28" s="578"/>
      <c r="C28" s="578"/>
      <c r="D28" s="578"/>
      <c r="E28" s="578"/>
      <c r="F28" s="578"/>
      <c r="G28" s="107"/>
      <c r="H28" s="107"/>
      <c r="I28" s="107"/>
      <c r="J28" s="107"/>
      <c r="K28" s="107"/>
      <c r="L28" s="107"/>
      <c r="M28" s="107"/>
      <c r="N28" s="107"/>
      <c r="O28" s="107"/>
      <c r="P28" s="107"/>
      <c r="Q28" s="107"/>
      <c r="R28" s="107"/>
      <c r="S28" s="107"/>
      <c r="T28" s="107"/>
      <c r="U28" s="107"/>
    </row>
    <row r="29" spans="1:21" s="104" customFormat="1" ht="12.75">
      <c r="A29" s="1230" t="s">
        <v>112</v>
      </c>
      <c r="B29" s="888"/>
      <c r="C29" s="888"/>
      <c r="D29" s="888"/>
      <c r="E29" s="888"/>
      <c r="F29" s="888"/>
      <c r="G29" s="107"/>
      <c r="H29" s="107"/>
      <c r="I29" s="107"/>
      <c r="J29" s="107"/>
      <c r="K29" s="107"/>
      <c r="L29" s="107"/>
      <c r="M29" s="107"/>
      <c r="N29" s="107"/>
      <c r="O29" s="107"/>
      <c r="P29" s="107"/>
      <c r="Q29" s="107"/>
      <c r="R29" s="107"/>
      <c r="S29" s="107"/>
      <c r="T29" s="107"/>
      <c r="U29" s="107"/>
    </row>
    <row r="30" spans="1:21" s="104" customFormat="1" ht="12" customHeight="1">
      <c r="A30" s="1230" t="s">
        <v>113</v>
      </c>
      <c r="B30" s="888"/>
      <c r="C30" s="888"/>
      <c r="D30" s="888"/>
      <c r="E30" s="888"/>
      <c r="F30" s="888"/>
      <c r="G30" s="107"/>
      <c r="H30" s="107"/>
      <c r="I30" s="107"/>
      <c r="J30" s="107"/>
      <c r="K30" s="107"/>
      <c r="L30" s="107"/>
      <c r="M30" s="107"/>
      <c r="N30" s="107"/>
      <c r="O30" s="107"/>
      <c r="P30" s="107"/>
      <c r="Q30" s="107"/>
      <c r="R30" s="107"/>
      <c r="S30" s="107"/>
      <c r="T30" s="107"/>
      <c r="U30" s="107"/>
    </row>
    <row r="31" spans="1:21" s="104" customFormat="1" ht="24" customHeight="1">
      <c r="A31" s="1231" t="s">
        <v>114</v>
      </c>
      <c r="B31" s="578"/>
      <c r="C31" s="578"/>
      <c r="D31" s="578"/>
      <c r="E31" s="578"/>
      <c r="F31" s="578"/>
      <c r="G31" s="107"/>
      <c r="H31" s="107"/>
      <c r="I31" s="107"/>
      <c r="J31" s="107"/>
      <c r="K31" s="107"/>
      <c r="L31" s="107"/>
      <c r="M31" s="107"/>
      <c r="N31" s="107"/>
      <c r="O31" s="107"/>
      <c r="P31" s="107"/>
      <c r="Q31" s="107"/>
      <c r="R31" s="107"/>
      <c r="S31" s="107"/>
      <c r="T31" s="107"/>
      <c r="U31" s="107"/>
    </row>
    <row r="32" spans="1:21" s="104" customFormat="1" ht="12.75" customHeight="1">
      <c r="A32" s="1231" t="s">
        <v>2454</v>
      </c>
      <c r="B32" s="578"/>
      <c r="C32" s="578"/>
      <c r="D32" s="578"/>
      <c r="E32" s="578"/>
      <c r="F32" s="578"/>
      <c r="G32" s="107"/>
      <c r="H32" s="107"/>
      <c r="I32" s="107"/>
      <c r="J32" s="107"/>
      <c r="K32" s="107"/>
      <c r="L32" s="107"/>
      <c r="M32" s="107"/>
      <c r="N32" s="107"/>
      <c r="O32" s="107"/>
      <c r="P32" s="107"/>
      <c r="Q32" s="107"/>
      <c r="R32" s="107"/>
      <c r="S32" s="107"/>
      <c r="T32" s="107"/>
      <c r="U32" s="107"/>
    </row>
    <row r="33" spans="1:6" ht="12.75">
      <c r="A33" s="73"/>
      <c r="B33" s="73"/>
      <c r="C33" s="73"/>
      <c r="D33" s="73"/>
      <c r="E33" s="73"/>
      <c r="F33" s="73"/>
    </row>
    <row r="34" spans="1:6" ht="12.75">
      <c r="A34" s="1203" t="str">
        <f>+'DAP1'!A46</f>
        <v>Formulář zpracovala ASPEKT HM, daňová, účetní a auditorská kancelář, www.danovapriznani.cz, business.center.cz</v>
      </c>
      <c r="B34" s="1225"/>
      <c r="C34" s="1225"/>
      <c r="D34" s="1225"/>
      <c r="E34" s="1225"/>
      <c r="F34" s="1225"/>
    </row>
    <row r="35" spans="1:6" ht="12.75">
      <c r="A35" s="1226" t="s">
        <v>2455</v>
      </c>
      <c r="B35" s="1226"/>
      <c r="C35" s="1226"/>
      <c r="D35" s="1226"/>
      <c r="E35" s="1226"/>
      <c r="F35" s="1226"/>
    </row>
    <row r="36" spans="1:6" ht="12.75">
      <c r="A36" s="1202" t="s">
        <v>237</v>
      </c>
      <c r="B36" s="1202"/>
      <c r="C36" s="1202"/>
      <c r="D36" s="1202"/>
      <c r="E36" s="1202"/>
      <c r="F36" s="1202"/>
    </row>
    <row r="37" spans="1:6" ht="13.5" customHeight="1">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thickBot="1"/>
  </sheetData>
  <sheetProtection algorithmName="SHA-512" hashValue="6Sz6t6gRBRLdnR6KhExOh3Zl4KEooRel22Eq1xPajww1Idy7r+oFkFku6hppl84raztBc268YQuO5WfT9NaJNg==" saltValue="ExBHbVL41Nwtu/lX1UycfQ=="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List9"/>
  <dimension ref="A1:BC312"/>
  <sheetViews>
    <sheetView zoomScale="90" zoomScaleNormal="90" workbookViewId="0" topLeftCell="A3">
      <selection pane="topLeft" activeCell="C43" sqref="C43"/>
    </sheetView>
  </sheetViews>
  <sheetFormatPr defaultColWidth="10.1442857142857" defaultRowHeight="12.75"/>
  <cols>
    <col min="1" max="1" width="16.1428571428571" bestFit="1" customWidth="1"/>
    <col min="2" max="2" width="11" bestFit="1" customWidth="1"/>
    <col min="3" max="3" width="13" bestFit="1" customWidth="1"/>
    <col min="4" max="4" width="5.57142857142857" customWidth="1"/>
    <col min="5" max="5" width="15.7142857142857" bestFit="1" customWidth="1"/>
    <col min="6" max="6" width="5.28571428571429" bestFit="1" customWidth="1"/>
    <col min="7" max="7" width="3.85714285714286" bestFit="1" customWidth="1"/>
    <col min="8" max="8" width="5.42857142857143" customWidth="1"/>
    <col min="9" max="9" width="15" bestFit="1" customWidth="1"/>
    <col min="10" max="10" width="2.57142857142857" bestFit="1" customWidth="1"/>
    <col min="11" max="11" width="18.2857142857143" customWidth="1"/>
    <col min="12" max="12" width="6.42857142857143" bestFit="1" customWidth="1"/>
    <col min="13" max="13" width="15.4285714285714" bestFit="1" customWidth="1"/>
    <col min="14" max="14" width="6.71428571428571" bestFit="1" customWidth="1"/>
    <col min="15" max="15" width="16.5714285714286" customWidth="1"/>
    <col min="16" max="16" width="5.28571428571429" customWidth="1"/>
    <col min="17" max="17" width="18.2857142857143" bestFit="1" customWidth="1"/>
    <col min="18" max="18" width="21.8571428571429" bestFit="1" customWidth="1"/>
    <col min="19" max="19" width="20" bestFit="1" customWidth="1"/>
    <col min="20" max="20" width="21.1428571428571" bestFit="1" customWidth="1"/>
    <col min="21" max="21" width="21.2857142857143" bestFit="1" customWidth="1"/>
    <col min="22" max="22" width="22.4285714285714" bestFit="1" customWidth="1"/>
    <col min="23" max="23" width="19.8571428571429" bestFit="1" customWidth="1"/>
    <col min="24" max="24" width="18.2857142857143" bestFit="1" customWidth="1"/>
    <col min="25" max="25" width="17.5714285714286" bestFit="1" customWidth="1"/>
    <col min="26" max="27" width="19" bestFit="1" customWidth="1"/>
    <col min="28" max="28" width="16.8571428571429" customWidth="1"/>
    <col min="29" max="29" width="12.2857142857143" bestFit="1" customWidth="1"/>
    <col min="30" max="30" width="11.2857142857143" bestFit="1" customWidth="1"/>
    <col min="31" max="31" width="11.8571428571429" bestFit="1" customWidth="1"/>
    <col min="33" max="34" width="3.28571428571429" bestFit="1" customWidth="1"/>
    <col min="35" max="35" width="8.28571428571429" bestFit="1" customWidth="1"/>
    <col min="36" max="36" width="10.8571428571429" bestFit="1" customWidth="1"/>
    <col min="37" max="37" width="12.2857142857143" bestFit="1" customWidth="1"/>
    <col min="38" max="38" width="11.2857142857143" bestFit="1" customWidth="1"/>
    <col min="39" max="39" width="11.8571428571429" bestFit="1" customWidth="1"/>
    <col min="42" max="42" width="8.28571428571429" bestFit="1" customWidth="1"/>
    <col min="43" max="43" width="10.8571428571429" bestFit="1" customWidth="1"/>
    <col min="44" max="44" width="12.2857142857143" bestFit="1" customWidth="1"/>
    <col min="45" max="45" width="11.2857142857143" bestFit="1" customWidth="1"/>
    <col min="46" max="46" width="11.8571428571429" bestFit="1" customWidth="1"/>
    <col min="48" max="50" width="3.28571428571429" bestFit="1" customWidth="1"/>
    <col min="51" max="51" width="8.14285714285714" bestFit="1" customWidth="1"/>
    <col min="52" max="52" width="10.8571428571429" bestFit="1" customWidth="1"/>
    <col min="53" max="53" width="12.2857142857143" bestFit="1" customWidth="1"/>
    <col min="54" max="54" width="11.2857142857143" bestFit="1" customWidth="1"/>
    <col min="55" max="55" width="11.8571428571429" bestFit="1" customWidth="1"/>
  </cols>
  <sheetData>
    <row r="1" spans="1:27" ht="14.25">
      <c r="A1" s="313" t="s">
        <v>276</v>
      </c>
      <c r="E1" t="s">
        <v>346</v>
      </c>
      <c r="I1" t="s">
        <v>393</v>
      </c>
      <c r="M1" t="s">
        <v>414</v>
      </c>
      <c r="Q1" t="s">
        <v>432</v>
      </c>
      <c r="R1" s="328" t="s">
        <v>2285</v>
      </c>
      <c r="S1" s="328" t="s">
        <v>431</v>
      </c>
      <c r="T1" s="318" t="s">
        <v>433</v>
      </c>
      <c r="U1" s="318" t="s">
        <v>2286</v>
      </c>
      <c r="V1" s="318" t="s">
        <v>2287</v>
      </c>
      <c r="W1" s="328" t="s">
        <v>434</v>
      </c>
      <c r="X1" s="328" t="s">
        <v>435</v>
      </c>
      <c r="Y1" s="261" t="s">
        <v>436</v>
      </c>
      <c r="Z1" s="261" t="s">
        <v>2284</v>
      </c>
      <c r="AA1" s="261" t="s">
        <v>2283</v>
      </c>
    </row>
    <row r="2" spans="1:27" ht="14.25">
      <c r="A2" s="261" t="s">
        <v>277</v>
      </c>
      <c r="B2" s="314" t="str">
        <f>IF('DAP1'!J19&lt;&gt;"","A",IF('DAP1'!L19&lt;&gt;"","N",""))</f>
        <v>N</v>
      </c>
      <c r="C2" s="268" t="s">
        <v>2168</v>
      </c>
      <c r="E2" s="261" t="s">
        <v>347</v>
      </c>
      <c r="F2" s="314" t="str">
        <f>IF(ZAKL_DATA!B26&lt;&gt;"",ZAKL_DATA!B26,"")</f>
        <v/>
      </c>
      <c r="G2" s="268" t="s">
        <v>2169</v>
      </c>
      <c r="I2" s="261" t="s">
        <v>394</v>
      </c>
      <c r="J2" s="316">
        <f>'6Př'!E20</f>
        <v>0</v>
      </c>
      <c r="M2" s="261" t="s">
        <v>415</v>
      </c>
      <c r="N2" s="316">
        <f>'DAP2'!F34</f>
        <v>0</v>
      </c>
      <c r="O2" s="268" t="s">
        <v>2169</v>
      </c>
      <c r="R2" s="314" t="str">
        <f>IF('DAP3'!D17&lt;&gt;"",CONCATENATE(MID('DAP3'!D17,5,2),".",IF(VALUE(MID('DAP3'!D17,3,2))&lt;13,MID('DAP3'!D17,3,2),MID('DAP3'!D17,3,2)-50),".",IF(MID('DAP3'!D17,1,2)&lt;"50","20","19"),MID('DAP3'!D17,1,2)),"")</f>
        <v/>
      </c>
      <c r="S2" s="314" t="e">
        <f>IF('DAP3'!B17&lt;&gt;"XXX",MID('DAP3'!B17,(FIND(" ",'DAP3'!B17,1))+1,LEN('DAP3'!B17)),"")</f>
        <v>#VALUE!</v>
      </c>
      <c r="T2" s="268" t="str">
        <f>IF('DAP3'!F17&lt;&gt;"",'DAP3'!F17,"")</f>
        <v/>
      </c>
      <c r="U2" s="268" t="str">
        <f>IF('DAP3'!H17&lt;&gt;"",'DAP3'!H17,"")</f>
        <v/>
      </c>
      <c r="V2" t="str">
        <f>IF('DAP3'!J17&lt;&gt;"",'DAP3'!J17,"")</f>
        <v/>
      </c>
      <c r="W2" s="314" t="e">
        <f>IF('DAP3'!B17&lt;&gt;"XXX",LEFT('DAP3'!B17,(FIND(" ",'DAP3'!B17,1))-1),"")</f>
        <v>#VALUE!</v>
      </c>
      <c r="X2" s="262" t="str">
        <f>IF('DAP3'!D17&lt;&gt;"",'DAP3'!D17,"")</f>
        <v/>
      </c>
      <c r="Y2" t="str">
        <f>IF('DAP3'!G17&lt;&gt;"",'DAP3'!G17,"")</f>
        <v/>
      </c>
      <c r="Z2" t="str">
        <f>IF('DAP3'!I17&lt;&gt;"",'DAP3'!I17,"")</f>
        <v/>
      </c>
      <c r="AA2" t="str">
        <f>IF('DAP3'!K17&lt;&gt;"",'DAP3'!K17,"")</f>
        <v/>
      </c>
    </row>
    <row r="3" spans="1:27" ht="14.25">
      <c r="A3" s="261" t="s">
        <v>278</v>
      </c>
      <c r="B3" t="e">
        <f>VLOOKUP(ZAKL_DATA!B13,FU!B3:C17,2,FALSE)</f>
        <v>#N/A</v>
      </c>
      <c r="E3" s="261" t="s">
        <v>348</v>
      </c>
      <c r="I3" s="261" t="s">
        <v>395</v>
      </c>
      <c r="J3" s="316">
        <f>'6Př'!F20</f>
        <v>0</v>
      </c>
      <c r="M3" s="261" t="s">
        <v>416</v>
      </c>
      <c r="N3" s="316">
        <f>'DAP2'!F27</f>
        <v>0</v>
      </c>
      <c r="O3" s="268" t="s">
        <v>2169</v>
      </c>
      <c r="R3" s="262" t="str">
        <f>IF('DAP3'!D18&lt;&gt;"",CONCATENATE(MID('DAP3'!D18,5,2),".",IF(VALUE(MID('DAP3'!D18,3,2))&lt;13,MID('DAP3'!D18,3,2),MID('DAP3'!D18,3,2)-50),".",IF(MID('DAP3'!D18,1,2)&lt;"50","20","19"),MID('DAP3'!D18,1,2)),"")</f>
        <v/>
      </c>
      <c r="S3" s="262" t="e">
        <f>IF('DAP3'!B18&lt;&gt;"XXX",MID('DAP3'!B18,(FIND(" ",'DAP3'!B18,1))+1,LEN('DAP3'!B18)),"")</f>
        <v>#VALUE!</v>
      </c>
      <c r="T3" t="str">
        <f>IF('DAP3'!F18&lt;&gt;"",'DAP3'!F18,"")</f>
        <v/>
      </c>
      <c r="U3" t="str">
        <f>IF('DAP3'!H18&lt;&gt;"",'DAP3'!H18,"")</f>
        <v/>
      </c>
      <c r="V3" t="str">
        <f>IF('DAP3'!J18&lt;&gt;"",'DAP3'!J18,"")</f>
        <v/>
      </c>
      <c r="W3" s="262" t="e">
        <f>IF('DAP3'!B18&lt;&gt;"XXX",LEFT('DAP3'!B18,(FIND(" ",'DAP3'!B18,1))-1),"")</f>
        <v>#VALUE!</v>
      </c>
      <c r="X3" s="262" t="str">
        <f>IF('DAP3'!D18&lt;&gt;"",'DAP3'!D18,"")</f>
        <v/>
      </c>
      <c r="Y3" t="str">
        <f>IF('DAP3'!G18&lt;&gt;"",'DAP3'!G18,"")</f>
        <v/>
      </c>
      <c r="Z3" t="str">
        <f>IF('DAP3'!I18&lt;&gt;"",'DAP3'!I18,"")</f>
        <v/>
      </c>
      <c r="AA3" t="str">
        <f>IF('DAP3'!K18&lt;&gt;"",'DAP3'!K18,"")</f>
        <v/>
      </c>
    </row>
    <row r="4" spans="1:27" ht="14.25">
      <c r="A4" s="261" t="s">
        <v>279</v>
      </c>
      <c r="B4" s="262" t="str">
        <f>IF('DAP1'!K15&lt;&gt;"",TEXT('DAP1'!K15,"DD.MM.RRRR"),"")</f>
        <v/>
      </c>
      <c r="C4" s="321"/>
      <c r="E4" s="261" t="s">
        <v>349</v>
      </c>
      <c r="F4" s="314" t="str">
        <f>IF(ISNUMBER(FIND("/",ZAKL_DATA!B17)),MID(ZAKL_DATA!B17,(FIND("/",ZAKL_DATA!B17,1))+1,LEN(ZAKL_DATA!B17)),"")</f>
        <v/>
      </c>
      <c r="G4" s="268" t="s">
        <v>2169</v>
      </c>
      <c r="I4" s="261" t="s">
        <v>396</v>
      </c>
      <c r="J4" s="316">
        <f>'DAP2'!E6</f>
        <v>0</v>
      </c>
      <c r="K4" s="268" t="s">
        <v>2169</v>
      </c>
      <c r="M4" s="261" t="s">
        <v>417</v>
      </c>
      <c r="N4" s="316">
        <f>'DAP2'!F31</f>
        <v>0</v>
      </c>
      <c r="O4" s="268" t="s">
        <v>2169</v>
      </c>
      <c r="R4" s="262" t="str">
        <f>IF('DAP3'!D19&lt;&gt;"",CONCATENATE(MID('DAP3'!D19,5,2),".",IF(VALUE(MID('DAP3'!D19,3,2))&lt;13,MID('DAP3'!D19,3,2),MID('DAP3'!D19,3,2)-50),".",IF(MID('DAP3'!D19,1,2)&lt;"50","20","19"),MID('DAP3'!D19,1,2)),"")</f>
        <v/>
      </c>
      <c r="S4" s="262" t="e">
        <f>IF('DAP3'!B19&lt;&gt;"XXX",MID('DAP3'!B19,(FIND(" ",'DAP3'!B19,1))+1,LEN('DAP3'!B19)),"")</f>
        <v>#VALUE!</v>
      </c>
      <c r="T4" t="str">
        <f>IF('DAP3'!F19&lt;&gt;"",'DAP3'!F19,"")</f>
        <v/>
      </c>
      <c r="U4" t="str">
        <f>IF('DAP3'!H19&lt;&gt;"",'DAP3'!H19,"")</f>
        <v/>
      </c>
      <c r="V4" t="str">
        <f>IF('DAP3'!J19&lt;&gt;"",'DAP3'!J19,"")</f>
        <v/>
      </c>
      <c r="W4" s="262" t="e">
        <f>IF('DAP3'!B19&lt;&gt;"XXX",LEFT('DAP3'!B19,(FIND(" ",'DAP3'!B19,1))-1),"")</f>
        <v>#VALUE!</v>
      </c>
      <c r="X4" s="262" t="str">
        <f>IF('DAP3'!D19&lt;&gt;"",'DAP3'!D19,"")</f>
        <v/>
      </c>
      <c r="Y4" t="str">
        <f>IF('DAP3'!G19&lt;&gt;"",'DAP3'!G19,"")</f>
        <v/>
      </c>
      <c r="Z4" t="str">
        <f>IF('DAP3'!I19&lt;&gt;"",'DAP3'!I19,"")</f>
        <v/>
      </c>
      <c r="AA4" t="str">
        <f>IF('DAP3'!K19&lt;&gt;"",'DAP3'!K19,"")</f>
        <v/>
      </c>
    </row>
    <row r="5" spans="1:27" ht="14.25">
      <c r="A5" s="261" t="s">
        <v>280</v>
      </c>
      <c r="B5" s="314" t="str">
        <f ca="1">TEXT('DAP4'!A43,"DD.MM.RRRR")</f>
        <v>20.05.2026</v>
      </c>
      <c r="C5" s="268" t="s">
        <v>2169</v>
      </c>
      <c r="E5" s="261" t="s">
        <v>350</v>
      </c>
      <c r="F5" s="314" t="str">
        <f>IF('DAP1'!J29&lt;&gt;"",'DAP1'!J29,"")</f>
        <v/>
      </c>
      <c r="G5" s="268" t="s">
        <v>2169</v>
      </c>
      <c r="I5" s="261" t="s">
        <v>397</v>
      </c>
      <c r="J5" s="316">
        <f>'DAP2'!E5</f>
        <v>0</v>
      </c>
      <c r="K5" s="268" t="s">
        <v>2169</v>
      </c>
      <c r="M5" s="261" t="s">
        <v>418</v>
      </c>
      <c r="N5" s="316">
        <f>'DAP2'!F24</f>
        <v>0</v>
      </c>
      <c r="O5" s="268" t="s">
        <v>2169</v>
      </c>
      <c r="R5" s="262" t="str">
        <f>IF('DAP3'!D20&lt;&gt;"",CONCATENATE(MID('DAP3'!D20,5,2),".",IF(VALUE(MID('DAP3'!D20,3,2))&lt;13,MID('DAP3'!D20,3,2),MID('DAP3'!D20,3,2)-50),".",IF(MID('DAP3'!D20,1,2)&lt;"50","20","19"),MID('DAP3'!D20,1,2)),"")</f>
        <v/>
      </c>
      <c r="S5" s="262" t="e">
        <f>IF('DAP3'!B20&lt;&gt;"XXX",MID('DAP3'!B20,(FIND(" ",'DAP3'!B20,1))+1,LEN('DAP3'!B20)),"")</f>
        <v>#VALUE!</v>
      </c>
      <c r="T5" t="str">
        <f>IF('DAP3'!F20&lt;&gt;"",'DAP3'!F20,"")</f>
        <v/>
      </c>
      <c r="U5" t="str">
        <f>IF('DAP3'!H20&lt;&gt;"",'DAP3'!H20,"")</f>
        <v/>
      </c>
      <c r="V5" t="str">
        <f>IF('DAP3'!J20&lt;&gt;"",'DAP3'!J20,"")</f>
        <v/>
      </c>
      <c r="W5" s="262" t="e">
        <f>IF('DAP3'!B20&lt;&gt;"XXX",LEFT('DAP3'!B20,(FIND(" ",'DAP3'!B20,1))-1),"")</f>
        <v>#VALUE!</v>
      </c>
      <c r="X5" s="262" t="str">
        <f>IF('DAP3'!D20&lt;&gt;"",'DAP3'!D20,"")</f>
        <v/>
      </c>
      <c r="Y5" t="str">
        <f>IF('DAP3'!G20&lt;&gt;"",'DAP3'!G20,"")</f>
        <v/>
      </c>
      <c r="Z5" t="str">
        <f>IF('DAP3'!I20&lt;&gt;"",'DAP3'!I20,"")</f>
        <v/>
      </c>
      <c r="AA5" t="str">
        <f>IF('DAP3'!K20&lt;&gt;"",'DAP3'!K20,"")</f>
        <v/>
      </c>
    </row>
    <row r="6" spans="1:15" ht="14.25">
      <c r="A6" s="261" t="s">
        <v>281</v>
      </c>
      <c r="B6" s="314" t="str">
        <f>IF('DAP1'!K13&gt;0,TEXT('DAP1'!K13,"DD.MM.RRRR"),"")</f>
        <v/>
      </c>
      <c r="C6" s="268" t="s">
        <v>2169</v>
      </c>
      <c r="E6" s="261" t="s">
        <v>351</v>
      </c>
      <c r="F6" t="str">
        <f>IF(IF(ISNUMBER(FIND("/",ZAKL_DATA!B17)),LEFT(ZAKL_DATA!B17,(FIND("/",ZAKL_DATA!B17,1))-1),ZAKL_DATA!B17)&lt;&gt;0,IF(ISNUMBER(FIND("/",ZAKL_DATA!B17)),LEFT(ZAKL_DATA!B17,(FIND("/",ZAKL_DATA!B17,1))-1),ZAKL_DATA!B17),"")</f>
        <v/>
      </c>
      <c r="G6" s="268" t="s">
        <v>2169</v>
      </c>
      <c r="I6" s="261" t="s">
        <v>398</v>
      </c>
      <c r="K6" s="268" t="s">
        <v>2172</v>
      </c>
      <c r="M6" s="261" t="s">
        <v>419</v>
      </c>
      <c r="N6" s="316">
        <f>'DAP2'!F25</f>
        <v>0</v>
      </c>
      <c r="O6" s="268" t="s">
        <v>2169</v>
      </c>
    </row>
    <row r="7" spans="1:22" ht="14.25">
      <c r="A7" s="261" t="s">
        <v>282</v>
      </c>
      <c r="B7" s="316">
        <f>'DAP2'!F38</f>
        <v>0</v>
      </c>
      <c r="C7" s="268" t="s">
        <v>2169</v>
      </c>
      <c r="E7" s="261" t="s">
        <v>352</v>
      </c>
      <c r="F7" t="e">
        <f>VLOOKUP(ZAKL_DATA!B14,FU!E3:F204,2,FALSE)</f>
        <v>#N/A</v>
      </c>
      <c r="G7" s="268" t="s">
        <v>2169</v>
      </c>
      <c r="I7" s="261" t="s">
        <v>399</v>
      </c>
      <c r="J7" s="316">
        <f>'DAP2'!E4</f>
        <v>0</v>
      </c>
      <c r="K7" s="268" t="s">
        <v>2169</v>
      </c>
      <c r="M7" s="261" t="s">
        <v>420</v>
      </c>
      <c r="N7" s="316">
        <f>'DAP2'!F26</f>
        <v>0</v>
      </c>
      <c r="O7" s="268" t="s">
        <v>2169</v>
      </c>
      <c r="R7" s="340"/>
      <c r="S7" s="268" t="s">
        <v>2169</v>
      </c>
      <c r="T7" s="268" t="s">
        <v>2169</v>
      </c>
      <c r="U7" s="268" t="s">
        <v>2169</v>
      </c>
      <c r="V7" s="268" t="s">
        <v>2169</v>
      </c>
    </row>
    <row r="8" spans="1:15" ht="14.25">
      <c r="A8" s="261" t="s">
        <v>283</v>
      </c>
      <c r="B8" s="316">
        <f>'DAP2'!F41</f>
        <v>0</v>
      </c>
      <c r="C8" s="268" t="s">
        <v>2169</v>
      </c>
      <c r="E8" s="261" t="s">
        <v>353</v>
      </c>
      <c r="F8" s="314" t="str">
        <f>IF(ZAKL_DATA!B25&lt;&gt;"",ZAKL_DATA!B25,"")</f>
        <v/>
      </c>
      <c r="G8" t="s">
        <v>2169</v>
      </c>
      <c r="I8" s="261" t="s">
        <v>400</v>
      </c>
      <c r="J8" s="316">
        <f>'DAP2'!E17</f>
        <v>0</v>
      </c>
      <c r="K8" s="268" t="s">
        <v>2169</v>
      </c>
      <c r="M8" s="261" t="s">
        <v>421</v>
      </c>
      <c r="N8" s="316">
        <f>'DAP2'!F22</f>
        <v>0</v>
      </c>
      <c r="O8" s="268" t="s">
        <v>2169</v>
      </c>
    </row>
    <row r="9" spans="1:15" ht="14.25">
      <c r="A9" s="261" t="s">
        <v>284</v>
      </c>
      <c r="B9" s="316">
        <f>'DAP3'!E12</f>
        <v>0</v>
      </c>
      <c r="C9" s="268" t="s">
        <v>2169</v>
      </c>
      <c r="E9" s="261" t="s">
        <v>354</v>
      </c>
      <c r="F9" s="262" t="str">
        <f>MID(ZAKL_DATA!D2,3,10)</f>
        <v/>
      </c>
      <c r="G9" t="s">
        <v>2169</v>
      </c>
      <c r="I9" s="261" t="s">
        <v>401</v>
      </c>
      <c r="J9" s="316">
        <f>'DAP2'!E8</f>
        <v>0</v>
      </c>
      <c r="K9" s="268" t="s">
        <v>2169</v>
      </c>
      <c r="M9" s="261" t="s">
        <v>422</v>
      </c>
      <c r="N9" s="316">
        <f>'DAP2'!F23</f>
        <v>0</v>
      </c>
      <c r="O9" s="268" t="s">
        <v>2169</v>
      </c>
    </row>
    <row r="10" spans="1:15" ht="14.25">
      <c r="A10" s="261" t="s">
        <v>285</v>
      </c>
      <c r="B10" s="316">
        <f>'DAP3'!D26</f>
        <v>0</v>
      </c>
      <c r="C10" s="268" t="s">
        <v>2169</v>
      </c>
      <c r="E10" s="261" t="s">
        <v>355</v>
      </c>
      <c r="F10" s="314" t="str">
        <f>IF(ZAKL_DATA!B27&lt;&gt;"",ZAKL_DATA!B27,"")</f>
        <v/>
      </c>
      <c r="G10" t="s">
        <v>2169</v>
      </c>
      <c r="I10" s="261" t="s">
        <v>402</v>
      </c>
      <c r="J10" s="316">
        <f>'DAP2'!E15</f>
        <v>0</v>
      </c>
      <c r="K10" s="268" t="s">
        <v>2169</v>
      </c>
      <c r="M10" s="261" t="s">
        <v>423</v>
      </c>
      <c r="N10" s="316">
        <f>'DAP2'!F28</f>
        <v>0</v>
      </c>
      <c r="O10" s="268" t="s">
        <v>2169</v>
      </c>
    </row>
    <row r="11" spans="1:24" ht="14.25">
      <c r="A11" s="261" t="s">
        <v>286</v>
      </c>
      <c r="B11" s="317">
        <f>'DAP2'!F36</f>
        <v>0</v>
      </c>
      <c r="C11" s="268" t="s">
        <v>2169</v>
      </c>
      <c r="E11" s="261" t="s">
        <v>356</v>
      </c>
      <c r="F11" s="314" t="str">
        <f>IF(ZAKL_DATA!B4&lt;&gt;"",ZAKL_DATA!B4,"")</f>
        <v/>
      </c>
      <c r="G11" t="s">
        <v>2169</v>
      </c>
      <c r="I11" s="261" t="s">
        <v>403</v>
      </c>
      <c r="J11" s="316">
        <f>'DAP2'!E15</f>
        <v>0</v>
      </c>
      <c r="K11" s="268" t="s">
        <v>2169</v>
      </c>
      <c r="M11" s="261" t="s">
        <v>424</v>
      </c>
      <c r="N11" s="316">
        <f>'DAP2'!F29</f>
        <v>0</v>
      </c>
      <c r="O11" s="268" t="s">
        <v>2169</v>
      </c>
      <c r="X11" s="268"/>
    </row>
    <row r="12" spans="1:15" ht="14.25">
      <c r="A12" s="261" t="s">
        <v>287</v>
      </c>
      <c r="B12" s="314" t="str">
        <f>IF(AND('DAP1'!A13&lt;&gt;"",'DAP1'!C13&lt;&gt;"",'DAP1'!E13=""),"O",IF(AND('DAP1'!A13&lt;&gt;"",'DAP1'!C13="",'DAP1'!E13=""),"B",IF(AND('DAP1'!A13="",'DAP1'!C13&lt;&gt;"",'DAP1'!E13&lt;&gt;""),"E",IF(AND('DAP1'!A13="",'DAP1'!C13="",'DAP1'!E13&lt;&gt;""),"D",""))))</f>
        <v>B</v>
      </c>
      <c r="C12" s="268" t="s">
        <v>2169</v>
      </c>
      <c r="E12" s="261" t="s">
        <v>357</v>
      </c>
      <c r="F12" s="262" t="str">
        <f>IF(AND(ZAKL_DATA!B20&lt;&gt;"",ZAKL_DATA!B20&lt;&gt;0),IF(ZAKL_DATA!B20&lt;&gt;"ČESKÁ REPUBLIKA",VLOOKUP(ZAKL_DATA!B20,FU!J3:K253,2,FALSE),"CZ"),"CZ")</f>
        <v>CZ</v>
      </c>
      <c r="G12" t="s">
        <v>2169</v>
      </c>
      <c r="I12" s="261" t="s">
        <v>404</v>
      </c>
      <c r="J12" s="316">
        <f>'DAP2'!E10</f>
        <v>0</v>
      </c>
      <c r="K12" s="268" t="s">
        <v>2169</v>
      </c>
      <c r="M12" s="261" t="s">
        <v>425</v>
      </c>
      <c r="N12" s="316">
        <f>'DAP2'!F29</f>
        <v>0</v>
      </c>
      <c r="O12" s="268" t="s">
        <v>2169</v>
      </c>
    </row>
    <row r="13" spans="1:15" ht="14.25">
      <c r="A13" s="261" t="s">
        <v>288</v>
      </c>
      <c r="B13" s="328" t="s">
        <v>2538</v>
      </c>
      <c r="C13" s="268" t="s">
        <v>2170</v>
      </c>
      <c r="E13" s="261" t="s">
        <v>358</v>
      </c>
      <c r="I13" s="261" t="s">
        <v>405</v>
      </c>
      <c r="J13" s="316">
        <f>'DAP2'!E19</f>
        <v>0</v>
      </c>
      <c r="K13" s="268" t="s">
        <v>2169</v>
      </c>
      <c r="M13" s="261" t="s">
        <v>426</v>
      </c>
      <c r="N13" s="316">
        <f>'DAP2'!F32</f>
        <v>0</v>
      </c>
      <c r="O13" s="268" t="s">
        <v>2169</v>
      </c>
    </row>
    <row r="14" spans="1:25" ht="14.25">
      <c r="A14" s="261" t="s">
        <v>289</v>
      </c>
      <c r="B14" s="314" t="str">
        <f>IF(OR('DAP1'!A15="i",'DAP1'!A15="I"),"I",IF(OR('DAP1'!A15="g",'DAP1'!A15="G"),"G",""))</f>
        <v/>
      </c>
      <c r="C14" s="268" t="s">
        <v>2169</v>
      </c>
      <c r="E14" s="261" t="s">
        <v>359</v>
      </c>
      <c r="F14" s="314" t="str">
        <f>IF(ISNUMBER(FIND("/",'DAP1'!J35)),MID('DAP1'!J35,(FIND("/",'DAP1'!J35,1))+1,LEN('DAP1'!J35)),"")</f>
        <v/>
      </c>
      <c r="I14" s="261" t="s">
        <v>406</v>
      </c>
      <c r="J14" s="316">
        <f>'DAP2'!E16</f>
        <v>0</v>
      </c>
      <c r="K14" s="268" t="s">
        <v>2169</v>
      </c>
      <c r="M14" s="261" t="s">
        <v>427</v>
      </c>
      <c r="N14" s="316">
        <f>'DAP2'!F33</f>
        <v>0</v>
      </c>
      <c r="O14" s="268" t="s">
        <v>2169</v>
      </c>
      <c r="Y14" s="339"/>
    </row>
    <row r="15" spans="1:15" ht="14.25">
      <c r="A15" s="261" t="s">
        <v>290</v>
      </c>
      <c r="B15" s="314" t="s">
        <v>2171</v>
      </c>
      <c r="C15" s="268" t="s">
        <v>2170</v>
      </c>
      <c r="E15" s="261" t="s">
        <v>360</v>
      </c>
      <c r="F15" t="str">
        <f>IF(IF(ISNUMBER(FIND("/",'DAP1'!J35)),LEFT('DAP1'!J35,(FIND("/",'DAP1'!J35,1))-1),'DAP1'!J35)&lt;&gt;0,IF(ISNUMBER(FIND("/",'DAP1'!J35)),LEFT('DAP1'!J35,(FIND("/",'DAP1'!J35,1))-1),'DAP1'!J35),"")</f>
        <v/>
      </c>
      <c r="I15" s="261" t="s">
        <v>407</v>
      </c>
      <c r="J15" s="316">
        <f>'DAP2'!E12</f>
        <v>0</v>
      </c>
      <c r="K15" s="268" t="s">
        <v>2169</v>
      </c>
      <c r="M15" s="261" t="s">
        <v>428</v>
      </c>
      <c r="N15">
        <f>'DAP2'!E29</f>
        <v>0</v>
      </c>
      <c r="O15" s="268" t="s">
        <v>2169</v>
      </c>
    </row>
    <row r="16" spans="1:15" ht="14.25">
      <c r="A16" s="261" t="s">
        <v>291</v>
      </c>
      <c r="B16">
        <f>'DAP1'!K41</f>
        <v>0</v>
      </c>
      <c r="C16" s="268" t="s">
        <v>2169</v>
      </c>
      <c r="E16" s="261" t="s">
        <v>361</v>
      </c>
      <c r="F16" s="314" t="str">
        <f>IF('DAP1'!B35&lt;&gt;"",'DAP1'!B35,"")</f>
        <v/>
      </c>
      <c r="I16" s="261" t="s">
        <v>408</v>
      </c>
      <c r="J16" s="316">
        <f>'DAP2'!E14</f>
        <v>0</v>
      </c>
      <c r="K16" s="268" t="s">
        <v>2169</v>
      </c>
      <c r="M16" s="261" t="s">
        <v>429</v>
      </c>
      <c r="N16">
        <f>'DAP2'!E23</f>
        <v>0</v>
      </c>
      <c r="O16" s="268" t="s">
        <v>2169</v>
      </c>
    </row>
    <row r="17" spans="1:15" ht="14.25">
      <c r="A17" s="261" t="s">
        <v>292</v>
      </c>
      <c r="B17" s="316">
        <f>'DAP3'!D29</f>
        <v>0</v>
      </c>
      <c r="C17" s="268" t="s">
        <v>2169</v>
      </c>
      <c r="E17" s="261" t="s">
        <v>362</v>
      </c>
      <c r="F17" s="314" t="str">
        <f>IF('DAP1'!L35&lt;&gt;"",'DAP1'!L35,"")</f>
        <v/>
      </c>
      <c r="I17" s="261" t="s">
        <v>409</v>
      </c>
      <c r="J17" s="316">
        <f>'DAP2'!E10</f>
        <v>0</v>
      </c>
      <c r="K17" s="268" t="s">
        <v>2169</v>
      </c>
      <c r="M17" s="261" t="s">
        <v>430</v>
      </c>
      <c r="N17" s="262">
        <f>'DAP2'!C29</f>
        <v>0</v>
      </c>
      <c r="O17" s="268" t="s">
        <v>2169</v>
      </c>
    </row>
    <row r="18" spans="1:14" ht="14.25">
      <c r="A18" s="261" t="s">
        <v>293</v>
      </c>
      <c r="B18" s="316">
        <f>'DAP3'!D23</f>
        <v>0</v>
      </c>
      <c r="C18" s="268" t="s">
        <v>2169</v>
      </c>
      <c r="E18" s="261" t="s">
        <v>363</v>
      </c>
      <c r="F18" s="314" t="str">
        <f>IF('DAP1'!G35&lt;&gt;"",'DAP1'!G35,"")</f>
        <v/>
      </c>
      <c r="I18" s="261" t="s">
        <v>410</v>
      </c>
      <c r="J18" s="316">
        <f>'DAP2'!E7</f>
        <v>0</v>
      </c>
      <c r="K18" s="268" t="s">
        <v>2169</v>
      </c>
      <c r="M18" s="261" t="s">
        <v>2540</v>
      </c>
      <c r="N18" s="316">
        <f>'DAP2'!F42</f>
        <v>0</v>
      </c>
    </row>
    <row r="19" spans="1:14" ht="14.25">
      <c r="A19" s="261" t="s">
        <v>294</v>
      </c>
      <c r="B19" s="316">
        <f>'DAP3'!E9</f>
        <v>0</v>
      </c>
      <c r="C19" s="268" t="s">
        <v>2169</v>
      </c>
      <c r="E19" s="261" t="s">
        <v>364</v>
      </c>
      <c r="F19" s="262" t="str">
        <f>IF(ZAKL_DATA!B18&lt;&gt;"",ZAKL_DATA!B18,"")</f>
        <v/>
      </c>
      <c r="G19" t="s">
        <v>2169</v>
      </c>
      <c r="I19" s="261" t="s">
        <v>411</v>
      </c>
      <c r="J19" s="316">
        <f>'DAP2'!E11</f>
        <v>0</v>
      </c>
      <c r="K19" s="268" t="s">
        <v>2169</v>
      </c>
      <c r="M19" s="261" t="s">
        <v>2541</v>
      </c>
      <c r="N19" s="316">
        <f>'DAP2'!F26</f>
        <v>0</v>
      </c>
    </row>
    <row r="20" spans="1:21" ht="14.25">
      <c r="A20" s="261" t="s">
        <v>295</v>
      </c>
      <c r="B20" s="316">
        <f>'DAP2'!F39</f>
        <v>0</v>
      </c>
      <c r="C20" s="268" t="s">
        <v>2169</v>
      </c>
      <c r="E20" s="261" t="s">
        <v>365</v>
      </c>
      <c r="F20" s="262" t="str">
        <f>IF(AND(ZAKL_DATA!D4&lt;&gt;"",ZAKL_DATA!D14&lt;&gt;"",'DAP4'!C30&lt;&gt;"4a",'DAP4'!C30&lt;&gt;"4b"),ZAKL_DATA!D14,"")</f>
        <v/>
      </c>
      <c r="G20" t="s">
        <v>2180</v>
      </c>
      <c r="I20" s="261" t="s">
        <v>412</v>
      </c>
      <c r="J20" s="316">
        <f>'DAP2'!E13</f>
        <v>0</v>
      </c>
      <c r="K20" s="268" t="s">
        <v>2169</v>
      </c>
      <c r="M20" s="261" t="s">
        <v>2542</v>
      </c>
      <c r="N20" s="316">
        <f>'DAP2'!F27</f>
        <v>0</v>
      </c>
      <c r="Q20" t="s">
        <v>512</v>
      </c>
      <c r="R20" s="261" t="s">
        <v>490</v>
      </c>
      <c r="S20" s="264" t="s">
        <v>491</v>
      </c>
      <c r="T20" s="264" t="s">
        <v>488</v>
      </c>
      <c r="U20" s="264" t="s">
        <v>492</v>
      </c>
    </row>
    <row r="21" spans="1:23" ht="14.25">
      <c r="A21" s="261" t="s">
        <v>296</v>
      </c>
      <c r="B21" s="316">
        <f>'DAP3'!D47</f>
        <v>0</v>
      </c>
      <c r="C21" s="268" t="s">
        <v>2169</v>
      </c>
      <c r="E21" s="261" t="s">
        <v>366</v>
      </c>
      <c r="F21" s="262" t="str">
        <f>IF(AND(ZAKL_DATA!D4&lt;&gt;"",ZAKL_DATA!D17&lt;&gt;"",'DAP4'!C30&lt;&gt;"4a",'DAP4'!C30&lt;&gt;"4b"),ZAKL_DATA!D17,"")</f>
        <v/>
      </c>
      <c r="G21" t="s">
        <v>2180</v>
      </c>
      <c r="I21" s="261" t="s">
        <v>413</v>
      </c>
      <c r="J21" s="316">
        <f>'DAP2'!E18</f>
        <v>0</v>
      </c>
      <c r="K21" s="268" t="s">
        <v>2169</v>
      </c>
      <c r="R21" t="str">
        <f t="shared" si="0" ref="R21:R23">IF(ISNUMBER(W21),IF(VALUE(W21)&gt;99999,VALUE(W21),IF(VALUE(W21)&gt;9999,VALUE(W21)*10,IF(VALUE(W21)&gt;999,VALUE(W21)*100,IF(VALUE(W21)&gt;99,VALUE(W21)*1000,IF(VALUE(W21)&gt;9,VALUE(W21)*10000,VALUE(W21)*100000))))),"")</f>
        <v/>
      </c>
      <c r="S21" s="316" t="str">
        <f>IF('1Př1'!F32&lt;&gt;0,'1Př1'!F32,"")</f>
        <v/>
      </c>
      <c r="T21" t="str">
        <f>IF(AND('1Př1'!D32&lt;&gt;0,'1Př1'!D32&lt;&gt;""),100*'1Př1'!D32,"")</f>
        <v/>
      </c>
      <c r="U21" s="316" t="str">
        <f>IF(ISNUMBER(W21),'1Př1'!H32,"")</f>
        <v/>
      </c>
      <c r="W21" t="e">
        <f>UPPER(VLOOKUP('1Př1'!A32,FU!N3:O718,2,FALSE))</f>
        <v>#N/A</v>
      </c>
    </row>
    <row r="22" spans="1:23" ht="14.25">
      <c r="A22" s="261" t="s">
        <v>297</v>
      </c>
      <c r="B22" s="316">
        <f>'DAP3'!E4</f>
        <v>0</v>
      </c>
      <c r="C22" s="268" t="s">
        <v>2169</v>
      </c>
      <c r="E22" s="261" t="s">
        <v>367</v>
      </c>
      <c r="F22" s="262" t="str">
        <f>IF(AND(ZAKL_DATA!D4&lt;&gt;"",ZAKL_DATA!D15&lt;&gt;"",'DAP4'!C30&lt;&gt;"4a",'DAP4'!C30&lt;&gt;"4b"),ZAKL_DATA!D15,"")</f>
        <v/>
      </c>
      <c r="G22" t="s">
        <v>2180</v>
      </c>
      <c r="R22" t="str">
        <f t="shared" si="0"/>
        <v/>
      </c>
      <c r="S22" s="316" t="str">
        <f>IF('1Př1'!F33&lt;&gt;0,'1Př1'!F33,"")</f>
        <v/>
      </c>
      <c r="T22" t="str">
        <f>IF(AND('1Př1'!D33&lt;&gt;0,'1Př1'!D33&lt;&gt;""),100*'1Př1'!D33,"")</f>
        <v/>
      </c>
      <c r="U22" s="316" t="str">
        <f>IF(ISNUMBER(W22),'1Př1'!H33,"")</f>
        <v/>
      </c>
      <c r="W22" t="e">
        <f>UPPER(VLOOKUP('1Př1'!A33,FU!N3:O718,2,FALSE))</f>
        <v>#N/A</v>
      </c>
    </row>
    <row r="23" spans="1:23" ht="14.25">
      <c r="A23" s="261" t="s">
        <v>298</v>
      </c>
      <c r="B23" s="316">
        <f>'DAP3'!E2</f>
        <v>30840</v>
      </c>
      <c r="C23" s="268" t="s">
        <v>2169</v>
      </c>
      <c r="E23" s="261" t="s">
        <v>368</v>
      </c>
      <c r="F23" s="314" t="str">
        <f>IF(ZAKL_DATA!B5&lt;&gt;"",ZAKL_DATA!B5,"")</f>
        <v/>
      </c>
      <c r="G23" t="s">
        <v>2169</v>
      </c>
      <c r="R23" t="str">
        <f t="shared" si="0"/>
        <v/>
      </c>
      <c r="S23" s="316" t="str">
        <f>IF('1Př1'!F34&lt;&gt;0,'1Př1'!F34,"")</f>
        <v/>
      </c>
      <c r="T23" t="str">
        <f>IF(AND('1Př1'!D34&lt;&gt;0,'1Př1'!D34&lt;&gt;""),100*'1Př1'!D34,"")</f>
        <v/>
      </c>
      <c r="U23" s="316" t="str">
        <f>IF(ISNUMBER(W23),'1Př1'!H34,"")</f>
        <v/>
      </c>
      <c r="W23" t="e">
        <f>UPPER(VLOOKUP('1Př1'!A34,FU!N3:O718,2,FALSE))</f>
        <v>#N/A</v>
      </c>
    </row>
    <row r="24" spans="1:11" ht="14.25">
      <c r="A24" s="261" t="s">
        <v>299</v>
      </c>
      <c r="B24" s="316">
        <f>'DAP3'!E3</f>
        <v>0</v>
      </c>
      <c r="C24" s="268" t="s">
        <v>2169</v>
      </c>
      <c r="E24" s="261" t="s">
        <v>369</v>
      </c>
      <c r="F24" s="314" t="str">
        <f>IF(ZAKL_DATA!B19&lt;&gt;"",ZAKL_DATA!B19,"")</f>
        <v/>
      </c>
      <c r="G24" t="s">
        <v>2169</v>
      </c>
      <c r="K24" t="e">
        <f>LEN(LEFT('DAP3'!#REF!,(FIND(" ",'DAP3'!#REF!,1))))</f>
        <v>#REF!</v>
      </c>
    </row>
    <row r="25" spans="1:21" ht="14.25">
      <c r="A25" s="261" t="s">
        <v>300</v>
      </c>
      <c r="B25" s="316">
        <f>'DAP3'!E5</f>
        <v>0</v>
      </c>
      <c r="C25" s="268" t="s">
        <v>2169</v>
      </c>
      <c r="E25" s="261" t="s">
        <v>370</v>
      </c>
      <c r="F25" s="314" t="str">
        <f>IF(ZAKL_DATA!B9&lt;&gt;"",ZAKL_DATA!B9,"")</f>
        <v/>
      </c>
      <c r="G25" t="s">
        <v>2169</v>
      </c>
      <c r="K25" t="e">
        <f>FIND(" ",'DAP3'!#REF!,LEN(LEFT('DAP3'!#REF!,(FIND(" ",'DAP3'!#REF!,1))))+1)-1</f>
        <v>#REF!</v>
      </c>
      <c r="L25" t="e">
        <f>LEN('DAP3'!#REF!)-LEN(LEFT('DAP3'!#REF!,(FIND(" ",'DAP3'!#REF!,1))))</f>
        <v>#REF!</v>
      </c>
      <c r="R25" t="s">
        <v>2169</v>
      </c>
      <c r="S25" t="s">
        <v>2169</v>
      </c>
      <c r="T25" t="s">
        <v>2169</v>
      </c>
      <c r="U25" t="s">
        <v>2169</v>
      </c>
    </row>
    <row r="26" spans="1:12" ht="14.25">
      <c r="A26" s="261" t="s">
        <v>301</v>
      </c>
      <c r="B26" s="316">
        <f>'DAP3'!E6</f>
        <v>0</v>
      </c>
      <c r="C26" s="268" t="s">
        <v>2169</v>
      </c>
      <c r="E26" s="261" t="s">
        <v>371</v>
      </c>
      <c r="F26" s="314" t="str">
        <f>IF(ZAKL_DATA!B6&lt;&gt;"",ZAKL_DATA!B6,"")</f>
        <v/>
      </c>
      <c r="G26" t="s">
        <v>2169</v>
      </c>
      <c r="K26" t="e">
        <f>LEFT('DAP3'!#REF!,(FIND(" ",'DAP3'!#REF!,1))-1)</f>
        <v>#REF!</v>
      </c>
      <c r="L26" t="e">
        <f>FIND(" ",'DAP3'!#REF!,LEN(LEFT('DAP3'!#REF!,(FIND(" ",'DAP3'!#REF!,1))))+1)-LEN(LEFT('DAP3'!#REF!,(FIND(" ",'DAP3'!#REF!,1))))</f>
        <v>#REF!</v>
      </c>
    </row>
    <row r="27" spans="1:11" ht="14.25">
      <c r="A27" s="261" t="s">
        <v>302</v>
      </c>
      <c r="B27" s="316">
        <f>'DAP3'!E7</f>
        <v>0</v>
      </c>
      <c r="C27" s="268" t="s">
        <v>2169</v>
      </c>
      <c r="E27" s="261" t="s">
        <v>372</v>
      </c>
      <c r="F27" s="262"/>
      <c r="G27" s="268" t="s">
        <v>2173</v>
      </c>
      <c r="K27" t="e">
        <f>MID('DAP3'!#REF!,FIND(" ",'DAP3'!#REF!,LEN(LEFT('DAP3'!#REF!,(FIND(" ",'DAP3'!#REF!,1))))+1)+1,LEN('DAP3'!#REF!)-LEN(LEFT('DAP3'!#REF!,(FIND(" ",'DAP3'!#REF!,1))))+1)</f>
        <v>#REF!</v>
      </c>
    </row>
    <row r="28" spans="1:7" ht="14.25">
      <c r="A28" s="261" t="s">
        <v>303</v>
      </c>
      <c r="B28" s="316">
        <f>'DAP3'!D42</f>
        <v>0</v>
      </c>
      <c r="C28" s="268" t="s">
        <v>2169</v>
      </c>
      <c r="E28" s="261" t="s">
        <v>373</v>
      </c>
      <c r="F28" s="314" t="str">
        <f>IF(AND(ZAKL_DATA!B20&lt;&gt;"ČESKÁ REPUBLIKA",ZAKL_DATA!B20&lt;&gt;""),VLOOKUP(ZAKL_DATA!B20,FU!J3:K253,2,FALSE),"")</f>
        <v/>
      </c>
      <c r="G28" s="268" t="s">
        <v>2169</v>
      </c>
    </row>
    <row r="29" spans="1:7" ht="14.25">
      <c r="A29" s="261" t="s">
        <v>304</v>
      </c>
      <c r="B29" s="316"/>
      <c r="C29" s="268" t="s">
        <v>2172</v>
      </c>
      <c r="E29" s="261" t="s">
        <v>374</v>
      </c>
      <c r="F29" s="314" t="str">
        <f>IF(ZAKL_DATA!B7&lt;&gt;"",ZAKL_DATA!B7,"")</f>
        <v/>
      </c>
      <c r="G29" s="268" t="s">
        <v>2169</v>
      </c>
    </row>
    <row r="30" spans="1:13" ht="14.25">
      <c r="A30" s="261" t="s">
        <v>305</v>
      </c>
      <c r="B30" s="316" t="str">
        <f>IF(AND('DAP3'!D33&lt;&gt;"",'DAP3'!D33&lt;&gt;0),'DAP3'!D33,"")</f>
        <v/>
      </c>
      <c r="C30" s="268" t="s">
        <v>2169</v>
      </c>
      <c r="E30" s="261" t="s">
        <v>375</v>
      </c>
      <c r="F30" s="314" t="str">
        <f>IF(ZAKL_DATA!B16&lt;&gt;"",ZAKL_DATA!B16,"")</f>
        <v/>
      </c>
      <c r="G30" s="268" t="s">
        <v>2169</v>
      </c>
      <c r="I30" t="s">
        <v>437</v>
      </c>
      <c r="M30" t="s">
        <v>459</v>
      </c>
    </row>
    <row r="31" spans="1:15" ht="14.25">
      <c r="A31" s="261" t="s">
        <v>306</v>
      </c>
      <c r="B31" s="316" t="str">
        <f>IF(AND('DAP3'!D36&lt;&gt;"",'DAP3'!D36&lt;&gt;0),'DAP3'!D36,"")</f>
        <v/>
      </c>
      <c r="C31" s="268" t="s">
        <v>2169</v>
      </c>
      <c r="E31" s="261" t="s">
        <v>376</v>
      </c>
      <c r="F31" s="314" t="str">
        <f>IF(ISNUMBER('DAP1'!I39),'DAP1'!I39,"")</f>
        <v/>
      </c>
      <c r="I31" s="261" t="s">
        <v>438</v>
      </c>
      <c r="J31">
        <f>'DAP4'!K25</f>
        <v>0</v>
      </c>
      <c r="K31" t="s">
        <v>2169</v>
      </c>
      <c r="M31" s="261" t="s">
        <v>460</v>
      </c>
      <c r="N31" t="e">
        <f>IF(VALUE(O31)&gt;99999,VALUE(O31),IF(VALUE(O31)&gt;9999,VALUE(O31)*10,IF(VALUE(O31)&gt;999,VALUE(O31)*100,IF(VALUE(O31)&gt;99,VALUE(O31)*1000,IF(VALUE(O31)&gt;9,VALUE(O31)*10000,VALUE(O31)*100000)))))</f>
        <v>#N/A</v>
      </c>
      <c r="O31" t="e">
        <f>UPPER(VLOOKUP(ZAKL_DATA!B29,FU!N3:O1425,2,FALSE))</f>
        <v>#N/A</v>
      </c>
    </row>
    <row r="32" spans="1:15" ht="14.25">
      <c r="A32" s="261" t="s">
        <v>307</v>
      </c>
      <c r="B32" s="316">
        <f>'DAP3'!D31</f>
        <v>0</v>
      </c>
      <c r="C32" s="268" t="s">
        <v>2169</v>
      </c>
      <c r="E32" s="261" t="s">
        <v>377</v>
      </c>
      <c r="I32" s="261" t="s">
        <v>439</v>
      </c>
      <c r="J32">
        <f>'DAP4'!K10</f>
        <v>0</v>
      </c>
      <c r="K32" t="s">
        <v>2169</v>
      </c>
      <c r="M32" s="261" t="s">
        <v>461</v>
      </c>
      <c r="N32" s="316">
        <f>'1Př1'!F35</f>
        <v>0</v>
      </c>
      <c r="O32" s="268" t="s">
        <v>2169</v>
      </c>
    </row>
    <row r="33" spans="1:15" ht="14.25">
      <c r="A33" s="261" t="s">
        <v>308</v>
      </c>
      <c r="B33" s="316" t="str">
        <f>IF(AND('DAP3'!D35&lt;&gt;"",'DAP3'!D35&lt;&gt;0),'DAP3'!D35,"")</f>
        <v/>
      </c>
      <c r="C33" s="268" t="s">
        <v>2169</v>
      </c>
      <c r="E33" s="261" t="s">
        <v>378</v>
      </c>
      <c r="F33" s="314" t="str">
        <f>IF(ISNUMBER(FIND("/",'DAP1'!L38)),MID('DAP1'!L38,(FIND("/",'DAP1'!L38,1))+1,LEN('DAP1'!L38)),"")</f>
        <v/>
      </c>
      <c r="I33" s="261" t="s">
        <v>440</v>
      </c>
      <c r="J33">
        <f>'DAP4'!K18</f>
        <v>0</v>
      </c>
      <c r="K33" t="s">
        <v>2169</v>
      </c>
      <c r="M33" s="261" t="s">
        <v>462</v>
      </c>
      <c r="N33" s="316">
        <f>'1Př1'!H35</f>
        <v>0</v>
      </c>
      <c r="O33" s="268" t="s">
        <v>2169</v>
      </c>
    </row>
    <row r="34" spans="1:15" ht="14.25">
      <c r="A34" s="261" t="s">
        <v>309</v>
      </c>
      <c r="B34" s="316" t="str">
        <f>IF(AND('DAP3'!D38&lt;&gt;"",'DAP3'!D38&lt;&gt;0),'DAP3'!D38,"")</f>
        <v/>
      </c>
      <c r="C34" s="268" t="s">
        <v>2169</v>
      </c>
      <c r="E34" s="261" t="s">
        <v>379</v>
      </c>
      <c r="F34" t="str">
        <f>IF(IF(ISNUMBER(FIND("/",'DAP1'!L38)),LEFT('DAP1'!L38,(FIND("/",'DAP1'!L38,1))-1),'DAP1'!L38)&lt;&gt;0,IF(ISNUMBER(FIND("/",'DAP1'!L38)),LEFT('DAP1'!L38,(FIND("/",'DAP1'!L38,1))-1),'DAP1'!L38),"")</f>
        <v/>
      </c>
      <c r="I34" s="261" t="s">
        <v>441</v>
      </c>
      <c r="K34" s="268" t="s">
        <v>2368</v>
      </c>
      <c r="M34" s="261" t="s">
        <v>463</v>
      </c>
      <c r="N34" s="314" t="str">
        <f>IF('1Př2'!F3&lt;&gt;0,TEXT('1Př2'!F3,"DD.MM.RRRR"),"")</f>
        <v/>
      </c>
      <c r="O34" s="268" t="s">
        <v>2169</v>
      </c>
    </row>
    <row r="35" spans="1:15" ht="14.25">
      <c r="A35" s="261" t="s">
        <v>310</v>
      </c>
      <c r="B35" s="316">
        <f>'DAP3'!D24</f>
        <v>0</v>
      </c>
      <c r="C35" s="268" t="s">
        <v>2169</v>
      </c>
      <c r="E35" s="261" t="s">
        <v>380</v>
      </c>
      <c r="F35" s="314" t="str">
        <f>IF('DAP1'!F39&lt;&gt;"",'DAP1'!F39,"")</f>
        <v/>
      </c>
      <c r="I35" s="261" t="s">
        <v>442</v>
      </c>
      <c r="J35">
        <f>'DAP4'!K19</f>
        <v>0</v>
      </c>
      <c r="K35" t="s">
        <v>2169</v>
      </c>
      <c r="M35" s="261" t="s">
        <v>464</v>
      </c>
      <c r="N35" s="314" t="str">
        <f>IF('1Př2'!C3&lt;&gt;0,TEXT('1Př2'!C3,"DD.MM.RRRR"),"")</f>
        <v/>
      </c>
      <c r="O35" s="268" t="s">
        <v>2169</v>
      </c>
    </row>
    <row r="36" spans="1:15" ht="14.25">
      <c r="A36" s="261" t="s">
        <v>311</v>
      </c>
      <c r="B36" s="317">
        <f>'DAP2'!F37</f>
        <v>0</v>
      </c>
      <c r="C36" s="268" t="s">
        <v>2169</v>
      </c>
      <c r="E36" s="261" t="s">
        <v>381</v>
      </c>
      <c r="F36" s="314" t="str">
        <f>IF(ISNUMBER(FIND("@",'DAP1'!I39)),'DAP1'!I39,"")</f>
        <v/>
      </c>
      <c r="I36" s="261" t="s">
        <v>443</v>
      </c>
      <c r="J36">
        <f>'DAP4'!K15</f>
        <v>0</v>
      </c>
      <c r="K36" t="s">
        <v>2169</v>
      </c>
      <c r="M36" s="261" t="s">
        <v>465</v>
      </c>
      <c r="N36" s="314" t="str">
        <f>IF('1Př2'!E3&lt;&gt;0,TEXT('1Př2'!E3,"DD.MM.RRRR"),"")</f>
        <v/>
      </c>
      <c r="O36" s="268" t="s">
        <v>2169</v>
      </c>
    </row>
    <row r="37" spans="1:15" ht="14.25">
      <c r="A37" s="261" t="s">
        <v>312</v>
      </c>
      <c r="B37" s="316">
        <f>'DAP3'!D43</f>
        <v>0</v>
      </c>
      <c r="C37" s="268" t="s">
        <v>2169</v>
      </c>
      <c r="E37" s="261" t="s">
        <v>382</v>
      </c>
      <c r="F37" s="314" t="str">
        <f>IF('DAP1'!B38&lt;&gt;"",'DAP1'!B38,"")</f>
        <v/>
      </c>
      <c r="I37" s="261" t="s">
        <v>444</v>
      </c>
      <c r="J37">
        <f>'DAP4'!K16</f>
        <v>0</v>
      </c>
      <c r="K37" t="s">
        <v>2169</v>
      </c>
      <c r="M37" s="261" t="s">
        <v>466</v>
      </c>
      <c r="N37" s="314" t="str">
        <f>IF('1Př2'!A3&lt;&gt;0,TEXT('1Př2'!A3,"DD.MM.RRRR"),"")</f>
        <v/>
      </c>
      <c r="O37" s="268" t="s">
        <v>2169</v>
      </c>
    </row>
    <row r="38" spans="1:15" ht="14.25">
      <c r="A38" s="261"/>
      <c r="B38" s="316" t="e">
        <f>IF(#REF!&lt;&gt;"",IF(#REF!&gt;0,"P","Z"),"")</f>
        <v>#REF!</v>
      </c>
      <c r="C38" s="268" t="s">
        <v>2169</v>
      </c>
      <c r="E38" s="261" t="s">
        <v>383</v>
      </c>
      <c r="F38" s="314" t="str">
        <f>IF('DAP1'!B39&lt;&gt;"",'DAP1'!B39,"")</f>
        <v/>
      </c>
      <c r="I38" s="261" t="s">
        <v>445</v>
      </c>
      <c r="J38">
        <f>'DAP4'!K12</f>
        <v>0</v>
      </c>
      <c r="K38" t="s">
        <v>2169</v>
      </c>
      <c r="M38" s="261" t="s">
        <v>467</v>
      </c>
      <c r="N38" s="316">
        <f>'1Př1'!A27</f>
        <v>0</v>
      </c>
      <c r="O38" s="268" t="s">
        <v>2373</v>
      </c>
    </row>
    <row r="39" spans="1:15" ht="14.25">
      <c r="A39" s="261" t="s">
        <v>314</v>
      </c>
      <c r="B39" s="316">
        <f>'DAP3'!D45</f>
        <v>0</v>
      </c>
      <c r="C39" s="268" t="s">
        <v>2169</v>
      </c>
      <c r="E39" s="261" t="s">
        <v>384</v>
      </c>
      <c r="F39" s="314" t="str">
        <f>IF('DAP1'!G38&lt;&gt;"",'DAP1'!G35,"")</f>
        <v/>
      </c>
      <c r="I39" s="261" t="s">
        <v>446</v>
      </c>
      <c r="K39" s="268" t="s">
        <v>2172</v>
      </c>
      <c r="M39" s="261" t="s">
        <v>468</v>
      </c>
      <c r="N39" s="316">
        <f>'1Př1'!F14</f>
        <v>0</v>
      </c>
      <c r="O39" s="268" t="s">
        <v>2169</v>
      </c>
    </row>
    <row r="40" spans="1:19" ht="14.25">
      <c r="A40" s="261" t="s">
        <v>315</v>
      </c>
      <c r="B40" s="316">
        <f>'DAP3'!D43</f>
        <v>0</v>
      </c>
      <c r="C40" s="268" t="s">
        <v>2169</v>
      </c>
      <c r="E40" s="261" t="s">
        <v>385</v>
      </c>
      <c r="F40" s="262" t="str">
        <f>IF(AND(LEN('DAP4'!A34)&gt;6,ISNUMBER(SEARCH(".",'DAP4'!A34))),'DAP4'!A34,"")</f>
        <v/>
      </c>
      <c r="G40" s="268" t="s">
        <v>2180</v>
      </c>
      <c r="I40" s="261" t="s">
        <v>447</v>
      </c>
      <c r="J40">
        <f>'DAP4'!K11</f>
        <v>0</v>
      </c>
      <c r="K40" s="268" t="s">
        <v>2169</v>
      </c>
      <c r="M40" s="261" t="s">
        <v>469</v>
      </c>
      <c r="N40" s="316">
        <f>'1Př1'!E27</f>
        <v>0</v>
      </c>
      <c r="O40" s="268" t="s">
        <v>2169</v>
      </c>
      <c r="Q40" t="s">
        <v>489</v>
      </c>
      <c r="R40" s="261" t="s">
        <v>513</v>
      </c>
      <c r="S40" s="459" t="s">
        <v>511</v>
      </c>
    </row>
    <row r="41" spans="1:19" ht="14.25">
      <c r="A41" s="261" t="s">
        <v>316</v>
      </c>
      <c r="B41" s="316" t="str">
        <f>IF(AND('DAP3'!D44&lt;&gt;"",'DAP3'!D44&lt;&gt;0),'DAP3'!D44,"")</f>
        <v/>
      </c>
      <c r="C41" s="268" t="s">
        <v>2169</v>
      </c>
      <c r="E41" s="261" t="s">
        <v>386</v>
      </c>
      <c r="F41" s="262" t="str">
        <f>IF(AND(LEN('DAP4'!A34)&lt;=4,'DAP4'!A34&lt;&gt;""),'DAP4'!A34,"")</f>
        <v/>
      </c>
      <c r="G41" s="268" t="s">
        <v>2180</v>
      </c>
      <c r="I41" s="261" t="s">
        <v>448</v>
      </c>
      <c r="J41">
        <f>'DAP4'!K20</f>
        <v>0</v>
      </c>
      <c r="K41" s="268" t="s">
        <v>2169</v>
      </c>
      <c r="M41" s="261" t="s">
        <v>470</v>
      </c>
      <c r="N41" s="316">
        <f>'1Př1'!I27</f>
        <v>0</v>
      </c>
      <c r="O41" s="268" t="s">
        <v>2169</v>
      </c>
      <c r="R41" s="316" t="str">
        <f>IF('1Př2'!F20&lt;&gt;"",'1Př2'!F20,"")</f>
        <v/>
      </c>
      <c r="S41" s="262" t="str">
        <f>IF('1Př2'!B20&lt;&gt;"",'1Př2'!B20,"")</f>
        <v/>
      </c>
    </row>
    <row r="42" spans="1:19" ht="14.25">
      <c r="A42" s="261" t="s">
        <v>317</v>
      </c>
      <c r="B42" s="316">
        <f>'DAP3'!E8</f>
        <v>0</v>
      </c>
      <c r="C42" s="268" t="s">
        <v>2169</v>
      </c>
      <c r="E42" s="261" t="s">
        <v>387</v>
      </c>
      <c r="F42" s="262" t="str">
        <f>IF(AND(LEN('DAP4'!A34)&lt;9,LEN('DAP4'!A34)&gt;5),'DAP4'!A34,"")</f>
        <v/>
      </c>
      <c r="G42" s="268" t="s">
        <v>2180</v>
      </c>
      <c r="I42" s="261" t="s">
        <v>449</v>
      </c>
      <c r="J42">
        <f>'DAP4'!K9</f>
        <v>0</v>
      </c>
      <c r="K42" s="268" t="s">
        <v>2169</v>
      </c>
      <c r="M42" s="261" t="s">
        <v>471</v>
      </c>
      <c r="N42" s="316">
        <f>'1Př1'!F22</f>
        <v>0</v>
      </c>
      <c r="O42" s="268" t="s">
        <v>2169</v>
      </c>
      <c r="R42" s="316" t="str">
        <f>IF('1Př2'!F21&lt;&gt;"",'1Př2'!F21,"")</f>
        <v/>
      </c>
      <c r="S42" s="262" t="str">
        <f>IF('1Př2'!B21&lt;&gt;"",'1Př2'!B21,"")</f>
        <v/>
      </c>
    </row>
    <row r="43" spans="1:19" ht="14.25">
      <c r="A43" s="261" t="s">
        <v>318</v>
      </c>
      <c r="B43" s="316">
        <f>'DAP3'!D46</f>
        <v>0</v>
      </c>
      <c r="C43" s="268" t="s">
        <v>2169</v>
      </c>
      <c r="E43" s="261" t="s">
        <v>388</v>
      </c>
      <c r="F43" s="262" t="str">
        <f>IF(AND(OR(F40&lt;&gt;"",F41&lt;&gt;""),ZAKL_DATA!D20&lt;&gt;""),ZAKL_DATA!D20,"")</f>
        <v/>
      </c>
      <c r="G43" s="268" t="s">
        <v>2180</v>
      </c>
      <c r="I43" s="261" t="s">
        <v>450</v>
      </c>
      <c r="J43">
        <f>'DAP4'!K13</f>
        <v>0</v>
      </c>
      <c r="K43" s="268" t="s">
        <v>2169</v>
      </c>
      <c r="M43" s="261" t="s">
        <v>472</v>
      </c>
      <c r="N43" s="316">
        <f>'1Př1'!F17</f>
        <v>0</v>
      </c>
      <c r="O43" s="268" t="s">
        <v>2169</v>
      </c>
      <c r="R43" s="316" t="str">
        <f>IF('1Př2'!F22&lt;&gt;"",'1Př2'!F22,"")</f>
        <v/>
      </c>
      <c r="S43" s="262" t="str">
        <f>IF('1Př2'!B22&lt;&gt;"",'1Př2'!B22,"")</f>
        <v/>
      </c>
    </row>
    <row r="44" spans="1:19" ht="14.25">
      <c r="A44" s="261" t="s">
        <v>319</v>
      </c>
      <c r="B44" s="316">
        <f>'DAP3'!D41</f>
        <v>0</v>
      </c>
      <c r="C44" s="268" t="s">
        <v>2169</v>
      </c>
      <c r="E44" s="261" t="s">
        <v>389</v>
      </c>
      <c r="F44" s="262" t="str">
        <f>IF('DAP4'!C30&lt;&gt;0,'DAP4'!C30,"")</f>
        <v/>
      </c>
      <c r="G44" s="268" t="s">
        <v>2180</v>
      </c>
      <c r="I44" s="261" t="s">
        <v>451</v>
      </c>
      <c r="J44">
        <f>'DAP4'!K6</f>
        <v>0</v>
      </c>
      <c r="K44" s="268" t="s">
        <v>2169</v>
      </c>
      <c r="M44" s="261" t="s">
        <v>473</v>
      </c>
      <c r="N44" s="316">
        <f>'1Př1'!F19</f>
        <v>0</v>
      </c>
      <c r="O44" s="268" t="s">
        <v>2169</v>
      </c>
      <c r="R44" s="316" t="str">
        <f>IF('1Př2'!F23&lt;&gt;"",'1Př2'!F23,"")</f>
        <v/>
      </c>
      <c r="S44" s="262" t="str">
        <f>IF('1Př2'!B23&lt;&gt;"",'1Př2'!B23,"")</f>
        <v/>
      </c>
    </row>
    <row r="45" spans="1:15" ht="14.25">
      <c r="A45" s="261" t="s">
        <v>320</v>
      </c>
      <c r="B45" s="316">
        <f>'DAP3'!D40</f>
        <v>0</v>
      </c>
      <c r="C45" s="268" t="s">
        <v>2169</v>
      </c>
      <c r="E45" s="261" t="s">
        <v>390</v>
      </c>
      <c r="F45" s="262" t="str">
        <f>'DAP4'!A32</f>
        <v xml:space="preserve">  </v>
      </c>
      <c r="G45" s="268" t="s">
        <v>2180</v>
      </c>
      <c r="I45" s="261" t="s">
        <v>452</v>
      </c>
      <c r="J45">
        <v>0</v>
      </c>
      <c r="K45" s="321" t="s">
        <v>2372</v>
      </c>
      <c r="M45" s="261" t="s">
        <v>474</v>
      </c>
      <c r="N45" s="316">
        <f>'1Př1'!F11</f>
        <v>0</v>
      </c>
      <c r="O45" s="268" t="s">
        <v>2169</v>
      </c>
    </row>
    <row r="46" spans="1:19" ht="14.25">
      <c r="A46" s="261" t="s">
        <v>321</v>
      </c>
      <c r="B46" s="316">
        <f>'DAP3'!D48</f>
        <v>0</v>
      </c>
      <c r="C46" s="268" t="s">
        <v>2169</v>
      </c>
      <c r="E46" s="261" t="s">
        <v>391</v>
      </c>
      <c r="F46" s="262" t="str">
        <f>IF(AND(OR(F40&lt;&gt;"",F41&lt;&gt;""),ZAKL_DATA!D21&lt;&gt;""),ZAKL_DATA!D21,"")</f>
        <v/>
      </c>
      <c r="G46" s="268" t="s">
        <v>2180</v>
      </c>
      <c r="I46" s="261" t="s">
        <v>453</v>
      </c>
      <c r="J46" t="str">
        <f>IF((ABS('6Př'!E20)+ABS('6Př'!F20))&lt;&gt;0,"1","0")</f>
        <v>0</v>
      </c>
      <c r="M46" s="261" t="s">
        <v>475</v>
      </c>
      <c r="N46" s="316">
        <f>'1Př1'!F16</f>
        <v>0</v>
      </c>
      <c r="O46" s="268" t="s">
        <v>2169</v>
      </c>
      <c r="R46" s="268" t="s">
        <v>2169</v>
      </c>
      <c r="S46" s="268" t="s">
        <v>2169</v>
      </c>
    </row>
    <row r="47" spans="1:15" ht="14.25">
      <c r="A47" s="261" t="s">
        <v>322</v>
      </c>
      <c r="B47" s="316" t="str">
        <f>IF(AND('DAP3'!D34&lt;&gt;"",'DAP3'!D34&lt;&gt;0),'DAP3'!D34,"")</f>
        <v/>
      </c>
      <c r="C47" s="268" t="s">
        <v>2169</v>
      </c>
      <c r="E47" s="261" t="s">
        <v>392</v>
      </c>
      <c r="F47" s="262" t="str">
        <f>IF(OR('DAP4'!C30="4a",'DAP4'!C30="4b"),"F",IF(OR('DAP4'!C30="4c",'DAP4'!C30="4d"),"P",""))</f>
        <v/>
      </c>
      <c r="G47" s="268" t="s">
        <v>2180</v>
      </c>
      <c r="I47" s="261" t="s">
        <v>454</v>
      </c>
      <c r="J47">
        <f>IF('DAP4'!K26&lt;&gt;"",'DAP4'!K26,"")</f>
        <v>0</v>
      </c>
      <c r="M47" s="261" t="s">
        <v>476</v>
      </c>
      <c r="N47" s="316">
        <f>'1Př1'!F15</f>
        <v>0</v>
      </c>
      <c r="O47" s="268" t="s">
        <v>2169</v>
      </c>
    </row>
    <row r="48" spans="1:15" ht="14.25">
      <c r="A48" s="261" t="s">
        <v>323</v>
      </c>
      <c r="B48" s="316" t="str">
        <f>IF(AND('DAP3'!D37&lt;&gt;"",'DAP3'!D37&lt;&gt;0),'DAP3'!D37,"")</f>
        <v/>
      </c>
      <c r="C48" s="268" t="s">
        <v>2169</v>
      </c>
      <c r="I48" s="261" t="s">
        <v>455</v>
      </c>
      <c r="J48" s="314">
        <f>'DAP4'!K4</f>
        <v>0</v>
      </c>
      <c r="K48" s="268" t="s">
        <v>2169</v>
      </c>
      <c r="M48" s="261" t="s">
        <v>477</v>
      </c>
      <c r="N48" s="316">
        <f>'1Př1'!F12</f>
        <v>0</v>
      </c>
      <c r="O48" s="268" t="s">
        <v>2169</v>
      </c>
    </row>
    <row r="49" spans="1:15" ht="14.25">
      <c r="A49" s="261" t="s">
        <v>324</v>
      </c>
      <c r="B49" s="314" t="str">
        <f>IF('DAP1'!F41&lt;&gt;"",'DAP1'!F41,"")</f>
        <v/>
      </c>
      <c r="C49" s="268" t="s">
        <v>2169</v>
      </c>
      <c r="I49" s="261" t="s">
        <v>456</v>
      </c>
      <c r="J49" s="314">
        <f>'DAP4'!K5</f>
        <v>0</v>
      </c>
      <c r="K49" s="268" t="s">
        <v>2169</v>
      </c>
      <c r="M49" s="261" t="s">
        <v>478</v>
      </c>
      <c r="N49" s="316">
        <f>'1Př1'!F18</f>
        <v>0</v>
      </c>
      <c r="O49" s="268" t="s">
        <v>2169</v>
      </c>
    </row>
    <row r="50" spans="1:19" ht="14.25">
      <c r="A50" s="261" t="s">
        <v>325</v>
      </c>
      <c r="B50">
        <f>'DAP3'!D5</f>
        <v>0</v>
      </c>
      <c r="C50" s="268" t="s">
        <v>2169</v>
      </c>
      <c r="E50" s="261" t="s">
        <v>2367</v>
      </c>
      <c r="F50" s="262" t="e">
        <f>IF(#REF!&lt;&gt;"",IF(#REF!&gt;0,"P","Z"),"")</f>
        <v>#REF!</v>
      </c>
      <c r="I50" s="261" t="s">
        <v>457</v>
      </c>
      <c r="J50">
        <f>'DAP4'!K22</f>
        <v>0</v>
      </c>
      <c r="K50" s="268" t="s">
        <v>2169</v>
      </c>
      <c r="M50" s="261" t="s">
        <v>479</v>
      </c>
      <c r="N50" s="316">
        <f>'1Př1'!F20</f>
        <v>0</v>
      </c>
      <c r="O50" s="268" t="s">
        <v>2169</v>
      </c>
      <c r="Q50" t="s">
        <v>515</v>
      </c>
      <c r="R50" s="261" t="s">
        <v>516</v>
      </c>
      <c r="S50" s="459" t="s">
        <v>514</v>
      </c>
    </row>
    <row r="51" spans="1:19" ht="14.25">
      <c r="A51" s="261" t="s">
        <v>2278</v>
      </c>
      <c r="B51">
        <f>'DAP3'!F21</f>
        <v>0</v>
      </c>
      <c r="C51" s="268" t="s">
        <v>2169</v>
      </c>
      <c r="E51" s="261" t="s">
        <v>2367</v>
      </c>
      <c r="F51" s="262" t="e">
        <f>IF(#REF!&lt;&gt;"",IF(#REF!&gt;0,"P","Z"),"")</f>
        <v>#REF!</v>
      </c>
      <c r="I51" s="261" t="s">
        <v>458</v>
      </c>
      <c r="J51">
        <f>'DAP4'!K21</f>
        <v>0</v>
      </c>
      <c r="K51" s="268" t="s">
        <v>2169</v>
      </c>
      <c r="M51" s="261" t="s">
        <v>480</v>
      </c>
      <c r="N51" s="316">
        <f>'1Př1'!F23</f>
        <v>0</v>
      </c>
      <c r="O51" s="268" t="s">
        <v>2169</v>
      </c>
      <c r="R51" t="str">
        <f>IF('1Př2'!F26&lt;&gt;"",'1Př2'!F26,"")</f>
        <v/>
      </c>
      <c r="S51" s="314" t="str">
        <f>IF('1Př2'!B26&lt;&gt;"",'1Př2'!B26,"")</f>
        <v/>
      </c>
    </row>
    <row r="52" spans="1:19" ht="14.25">
      <c r="A52" s="261" t="s">
        <v>2279</v>
      </c>
      <c r="B52">
        <f>'DAP3'!G21</f>
        <v>0</v>
      </c>
      <c r="C52" s="268" t="s">
        <v>2169</v>
      </c>
      <c r="E52" s="261" t="s">
        <v>2367</v>
      </c>
      <c r="F52" s="262" t="e">
        <f>IF(#REF!&lt;&gt;"",IF(#REF!&gt;0,"P","Z"),"")</f>
        <v>#REF!</v>
      </c>
      <c r="I52" s="261" t="s">
        <v>2288</v>
      </c>
      <c r="J52" t="str">
        <f>IF('DAP4'!K17&lt;&gt;"",'DAP4'!K17,"")</f>
        <v/>
      </c>
      <c r="K52" s="329"/>
      <c r="M52" s="261" t="s">
        <v>481</v>
      </c>
      <c r="N52" s="316" t="e">
        <f>'1Př1'!#REF!</f>
        <v>#REF!</v>
      </c>
      <c r="O52" s="268" t="s">
        <v>2169</v>
      </c>
      <c r="R52" t="str">
        <f>IF('1Př2'!F27&lt;&gt;"",'1Př2'!F27,"")</f>
        <v/>
      </c>
      <c r="S52" s="262" t="str">
        <f>IF('1Př2'!B27&lt;&gt;"",'1Př2'!B27,"")</f>
        <v/>
      </c>
    </row>
    <row r="53" spans="1:19" ht="14.25">
      <c r="A53" s="261" t="s">
        <v>326</v>
      </c>
      <c r="B53">
        <f>'DAP3'!D6</f>
        <v>0</v>
      </c>
      <c r="C53" s="268" t="s">
        <v>2169</v>
      </c>
      <c r="I53" s="261" t="s">
        <v>2474</v>
      </c>
      <c r="J53">
        <f>'DAP4'!K24</f>
        <v>0</v>
      </c>
      <c r="M53" s="261" t="s">
        <v>482</v>
      </c>
      <c r="N53">
        <f>'1Př2'!G3</f>
        <v>12</v>
      </c>
      <c r="O53" s="268" t="s">
        <v>2169</v>
      </c>
      <c r="R53" t="str">
        <f>IF('1Př2'!F28&lt;&gt;"",'1Př2'!F28,"")</f>
        <v/>
      </c>
      <c r="S53" s="262" t="str">
        <f>IF('1Př2'!B28&lt;&gt;"",'1Př2'!B28,"")</f>
        <v/>
      </c>
    </row>
    <row r="54" spans="1:19" ht="14.25">
      <c r="A54" s="261" t="s">
        <v>327</v>
      </c>
      <c r="B54">
        <f>'DAP3'!D4</f>
        <v>0</v>
      </c>
      <c r="C54" s="268" t="s">
        <v>2169</v>
      </c>
      <c r="I54" s="261" t="s">
        <v>2475</v>
      </c>
      <c r="J54">
        <f>'DAP4'!K7</f>
        <v>0</v>
      </c>
      <c r="M54" s="261" t="s">
        <v>483</v>
      </c>
      <c r="N54" s="316">
        <f>'1Př1'!F30</f>
        <v>0</v>
      </c>
      <c r="O54" s="268" t="s">
        <v>2169</v>
      </c>
      <c r="R54" t="str">
        <f>IF('1Př2'!F29&lt;&gt;"",'1Př2'!F29,"")</f>
        <v/>
      </c>
      <c r="S54" s="262" t="str">
        <f>IF('1Př2'!B29&lt;&gt;"",'1Př2'!B29,"")</f>
        <v/>
      </c>
    </row>
    <row r="55" spans="1:15" ht="14.25">
      <c r="A55" s="261" t="s">
        <v>328</v>
      </c>
      <c r="B55">
        <f>'DAP3'!D8</f>
        <v>0</v>
      </c>
      <c r="C55" s="268" t="s">
        <v>2169</v>
      </c>
      <c r="I55" s="261" t="s">
        <v>2543</v>
      </c>
      <c r="J55">
        <f>'DAP4'!K16</f>
        <v>0</v>
      </c>
      <c r="M55" s="261" t="s">
        <v>484</v>
      </c>
      <c r="N55" s="320" t="str">
        <f>IF(AND('1Př1'!E30*100&lt;&gt;0,'1Př1'!E30&lt;&gt;""),'1Př1'!E30*100,"")</f>
        <v/>
      </c>
      <c r="O55" s="268" t="s">
        <v>2169</v>
      </c>
    </row>
    <row r="56" spans="1:19" ht="14.25">
      <c r="A56" s="261" t="s">
        <v>329</v>
      </c>
      <c r="B56">
        <f>'DAP3'!D3</f>
        <v>0</v>
      </c>
      <c r="C56" s="268" t="s">
        <v>2169</v>
      </c>
      <c r="I56" s="261" t="s">
        <v>2544</v>
      </c>
      <c r="J56">
        <f>'DAP4'!K14</f>
        <v>0</v>
      </c>
      <c r="M56" s="261" t="s">
        <v>485</v>
      </c>
      <c r="N56" s="316">
        <f>'1Př1'!H30</f>
        <v>0</v>
      </c>
      <c r="O56" s="268" t="s">
        <v>2169</v>
      </c>
      <c r="R56" s="268" t="s">
        <v>2169</v>
      </c>
      <c r="S56" s="268" t="s">
        <v>2169</v>
      </c>
    </row>
    <row r="57" spans="1:15" ht="14.25">
      <c r="A57" s="261" t="s">
        <v>330</v>
      </c>
      <c r="B57">
        <f>'DAP3'!D7</f>
        <v>0</v>
      </c>
      <c r="C57" s="268" t="s">
        <v>2169</v>
      </c>
      <c r="I57" s="261" t="s">
        <v>2545</v>
      </c>
      <c r="J57">
        <f>'DAP4'!K15</f>
        <v>0</v>
      </c>
      <c r="M57" s="261" t="s">
        <v>486</v>
      </c>
      <c r="N57" s="314">
        <f>IF(AND('1Př1'!C8&lt;&gt;"",'1Př1'!G8=""),1,IF(AND('1Př1'!C8="",'1Př1'!G8&lt;&gt;""),2,""))</f>
        <v>1</v>
      </c>
      <c r="O57" s="268" t="s">
        <v>2169</v>
      </c>
    </row>
    <row r="58" spans="1:14" ht="14.25">
      <c r="A58" s="261" t="s">
        <v>331</v>
      </c>
      <c r="B58" s="314" t="str">
        <f>IF(ISNUMBER(FIND(" ",'DAP2'!C45)),MID('DAP2'!C45,(FIND(" ",'DAP2'!C45,1))+1,IF(ISNUMBER(FIND(" ",'DAP2'!C45,FIND(" ",'DAP2'!C45,1)+1)),FIND(" ",'DAP2'!C45,LEN(LEFT('DAP2'!C45,(FIND(" ",'DAP2'!C45,1))))+1)-LEN(LEFT('DAP2'!C45,(FIND(" ",'DAP2'!C45,1)))),LEN('DAP2'!C45)-LEN(LEFT('DAP2'!C45,(FIND(" ",'DAP2'!C45,1)))))),"")</f>
        <v/>
      </c>
      <c r="C58" s="268" t="s">
        <v>2169</v>
      </c>
      <c r="M58" s="261" t="s">
        <v>487</v>
      </c>
      <c r="N58" s="314" t="str">
        <f>IF('1Př1'!K8&lt;&gt;"","A","N")</f>
        <v>N</v>
      </c>
    </row>
    <row r="59" spans="1:14" ht="14.25">
      <c r="A59" s="261" t="s">
        <v>332</v>
      </c>
      <c r="B59" s="314" t="str">
        <f>IF(ISNUMBER(FIND(" ",'DAP2'!C45)),LEFT('DAP2'!C45,(FIND(" ",'DAP2'!C45,1))-1),"")</f>
        <v/>
      </c>
      <c r="C59" s="268" t="s">
        <v>2169</v>
      </c>
      <c r="M59" s="261" t="s">
        <v>2387</v>
      </c>
      <c r="N59" s="262" t="e">
        <f>IF('1Př1'!#REF!&lt;&gt;"","A","N")</f>
        <v>#REF!</v>
      </c>
    </row>
    <row r="60" spans="1:22" ht="14.25">
      <c r="A60" s="261" t="s">
        <v>333</v>
      </c>
      <c r="B60" s="314" t="str">
        <f>IF('DAP2'!H45&lt;&gt;"",'DAP2'!H45,"")</f>
        <v/>
      </c>
      <c r="C60" s="268" t="s">
        <v>2169</v>
      </c>
      <c r="E60" t="s">
        <v>493</v>
      </c>
      <c r="I60" t="s">
        <v>530</v>
      </c>
      <c r="N60" t="str">
        <f>IF(OR(N57="2",N58="A"),"A","N")</f>
        <v>N</v>
      </c>
      <c r="Q60" t="s">
        <v>518</v>
      </c>
      <c r="R60" s="460" t="s">
        <v>517</v>
      </c>
      <c r="S60" s="459" t="s">
        <v>519</v>
      </c>
      <c r="T60" s="459" t="s">
        <v>520</v>
      </c>
      <c r="U60" s="264" t="s">
        <v>521</v>
      </c>
      <c r="V60" s="264" t="s">
        <v>522</v>
      </c>
    </row>
    <row r="61" spans="1:22" ht="14.25">
      <c r="A61" s="261" t="s">
        <v>334</v>
      </c>
      <c r="B61" s="314" t="str">
        <f>IF(ISNUMBER(FIND(" ",'DAP2'!C45,FIND(" ",'DAP2'!C45,1)+1)),MID('DAP2'!C45,FIND(" ",'DAP2'!C45,LEN(LEFT('DAP2'!C45,(FIND(" ",'DAP2'!C45,1))))+1)+1,LEN('DAP2'!C45)-LEN(LEFT('DAP2'!C45,(FIND(" ",'DAP2'!C45,1))))+1),"")</f>
        <v/>
      </c>
      <c r="C61" s="268" t="s">
        <v>2169</v>
      </c>
      <c r="E61" s="261" t="s">
        <v>494</v>
      </c>
      <c r="F61" s="316">
        <f>IF(OR(N57=2,N58="A"),"",'1Př2'!F7)</f>
        <v>0</v>
      </c>
      <c r="G61" t="s">
        <v>2169</v>
      </c>
      <c r="I61" s="261" t="s">
        <v>537</v>
      </c>
      <c r="J61" s="316">
        <f>'2Př'!G11</f>
        <v>0</v>
      </c>
      <c r="K61" s="268" t="s">
        <v>2169</v>
      </c>
      <c r="R61" s="314" t="str">
        <f>IF('1Př2'!E33&lt;&gt;"",MID('1Př2'!E33,3,LEN('1Př2'!E33)-2),"")</f>
        <v/>
      </c>
      <c r="S61" s="314" t="str">
        <f>IF('1Př2'!B33&lt;&gt;"",'1Př2'!B33,"")</f>
        <v/>
      </c>
      <c r="T61" s="262" t="str">
        <f>IF('1Př2'!F33&lt;&gt;"",'1Př2'!F33*100,"")</f>
        <v/>
      </c>
      <c r="U61" t="str">
        <f>IF('1Př2'!G33&lt;&gt;"",'1Př2'!G33*100,"")</f>
        <v/>
      </c>
      <c r="V61" s="268" t="str">
        <f>IF('1Př2'!C33&lt;&gt;"",'1Př2'!C33,"")</f>
        <v/>
      </c>
    </row>
    <row r="62" spans="1:22" ht="14.25">
      <c r="A62" s="261" t="s">
        <v>335</v>
      </c>
      <c r="B62" s="314" t="str">
        <f>IF(AND('DAP1'!J17&lt;&gt;"",'DAP1'!L17=""),"A",IF(AND('DAP1'!J17="",'DAP1'!L17&lt;&gt;""),"N",""))</f>
        <v>N</v>
      </c>
      <c r="C62" s="268" t="s">
        <v>2169</v>
      </c>
      <c r="E62" s="261" t="s">
        <v>495</v>
      </c>
      <c r="F62" s="316">
        <f>IF(OR(N57=2,N58="A"),"",'1Př2'!F10)</f>
        <v>0</v>
      </c>
      <c r="G62" t="s">
        <v>2169</v>
      </c>
      <c r="I62" s="261" t="s">
        <v>538</v>
      </c>
      <c r="J62" s="316">
        <f>'2Př'!G33</f>
        <v>0</v>
      </c>
      <c r="K62" s="268" t="s">
        <v>2169</v>
      </c>
      <c r="R62" s="262" t="str">
        <f>IF('1Př2'!E34&lt;&gt;"",MID('1Př2'!E34,3,LEN('1Př2'!E34)-2),"")</f>
        <v/>
      </c>
      <c r="S62" s="262" t="str">
        <f>IF('1Př2'!B34&lt;&gt;"",'1Př2'!B34,"")</f>
        <v/>
      </c>
      <c r="T62" s="262" t="str">
        <f>IF('1Př2'!F34&lt;&gt;"",'1Př2'!F34*100,"")</f>
        <v/>
      </c>
      <c r="U62" t="str">
        <f>IF('1Př2'!G34&lt;&gt;"",'1Př2'!G34*100,"")</f>
        <v/>
      </c>
      <c r="V62" t="str">
        <f>IF('1Př2'!C34&lt;&gt;"",'1Př2'!C34,"")</f>
        <v/>
      </c>
    </row>
    <row r="63" spans="1:22" ht="14.25">
      <c r="A63" s="261" t="s">
        <v>336</v>
      </c>
      <c r="B63" s="314" t="str">
        <f>IF(AND('DAP1'!F43&lt;&gt;"",'DAP1'!H43=""),"A",IF(AND('DAP1'!F43="",'DAP1'!H43&lt;&gt;""),"N",""))</f>
        <v>N</v>
      </c>
      <c r="C63" s="268" t="s">
        <v>2169</v>
      </c>
      <c r="E63" s="261" t="s">
        <v>496</v>
      </c>
      <c r="F63" s="316">
        <f>IF(OR(N57=2,N58="A"),"",'1Př2'!F11)</f>
        <v>0</v>
      </c>
      <c r="G63" t="s">
        <v>2169</v>
      </c>
      <c r="I63" s="261" t="s">
        <v>539</v>
      </c>
      <c r="J63" s="316">
        <f>'2Př'!G10</f>
        <v>0</v>
      </c>
      <c r="K63" s="268" t="s">
        <v>2169</v>
      </c>
      <c r="R63" s="262" t="str">
        <f>IF('1Př2'!E35&lt;&gt;"",MID('1Př2'!E35,3,LEN('1Př2'!E35)-2),"")</f>
        <v/>
      </c>
      <c r="S63" s="262" t="str">
        <f>IF('1Př2'!B35&lt;&gt;"",'1Př2'!B35,"")</f>
        <v/>
      </c>
      <c r="T63" s="262" t="str">
        <f>IF('1Př2'!F35&lt;&gt;"",'1Př2'!F35*100,"")</f>
        <v/>
      </c>
      <c r="U63" t="str">
        <f>IF('1Př2'!G35&lt;&gt;"",'1Př2'!G35*100,"")</f>
        <v/>
      </c>
      <c r="V63" t="str">
        <f>IF('1Př2'!C35&lt;&gt;"",'1Př2'!C35,"")</f>
        <v/>
      </c>
    </row>
    <row r="64" spans="1:11" ht="14.25">
      <c r="A64" s="261" t="s">
        <v>337</v>
      </c>
      <c r="B64">
        <f>'DAP1'!F24</f>
        <v>2025</v>
      </c>
      <c r="C64" s="268" t="s">
        <v>2169</v>
      </c>
      <c r="E64" s="261" t="s">
        <v>497</v>
      </c>
      <c r="F64" s="316">
        <f>IF(OR(N57=2,N58="A"),"",'1Př2'!F8)</f>
        <v>0</v>
      </c>
      <c r="G64" t="s">
        <v>2169</v>
      </c>
      <c r="I64" s="261" t="s">
        <v>540</v>
      </c>
      <c r="J64" s="316">
        <f>'2Př'!H18</f>
        <v>0</v>
      </c>
      <c r="K64" s="268" t="s">
        <v>2169</v>
      </c>
    </row>
    <row r="65" spans="1:22" ht="14.25">
      <c r="A65" s="261" t="s">
        <v>338</v>
      </c>
      <c r="B65" s="316">
        <f>'DAP2'!F43</f>
        <v>0</v>
      </c>
      <c r="C65" s="268" t="s">
        <v>2169</v>
      </c>
      <c r="E65" s="261" t="s">
        <v>498</v>
      </c>
      <c r="F65" s="316">
        <f>IF(OR(N57=2,N58="A"),"",'1Př2'!F9)</f>
        <v>0</v>
      </c>
      <c r="G65" t="s">
        <v>2169</v>
      </c>
      <c r="I65" s="261" t="s">
        <v>541</v>
      </c>
      <c r="J65" s="316">
        <f>'2Př'!C18</f>
        <v>0</v>
      </c>
      <c r="K65" s="268" t="s">
        <v>2169</v>
      </c>
      <c r="R65" s="268" t="s">
        <v>2169</v>
      </c>
      <c r="S65" s="268" t="s">
        <v>2169</v>
      </c>
      <c r="T65" s="268" t="s">
        <v>2169</v>
      </c>
      <c r="U65" s="268" t="s">
        <v>2169</v>
      </c>
      <c r="V65" s="268" t="s">
        <v>2169</v>
      </c>
    </row>
    <row r="66" spans="1:11" ht="14.25">
      <c r="A66" s="261" t="s">
        <v>339</v>
      </c>
      <c r="B66" s="262"/>
      <c r="C66" s="268" t="s">
        <v>2172</v>
      </c>
      <c r="E66" s="261" t="s">
        <v>499</v>
      </c>
      <c r="F66" s="316">
        <f>IF(OR(N57=2,N58="A"),"",'1Př2'!F12)</f>
        <v>0</v>
      </c>
      <c r="G66" t="s">
        <v>2169</v>
      </c>
      <c r="I66" s="261" t="s">
        <v>542</v>
      </c>
      <c r="J66" s="316">
        <f>'2Př'!G13</f>
        <v>0</v>
      </c>
      <c r="K66" s="268" t="s">
        <v>2169</v>
      </c>
    </row>
    <row r="67" spans="1:11" ht="14.25">
      <c r="A67" s="261" t="s">
        <v>340</v>
      </c>
      <c r="B67" s="316">
        <f>'DAP3'!E11</f>
        <v>30840</v>
      </c>
      <c r="E67" s="261" t="s">
        <v>500</v>
      </c>
      <c r="F67" s="316">
        <f>IF(OR(N57=2,N58="A"),"",'1Př2'!F13)</f>
        <v>0</v>
      </c>
      <c r="G67" t="s">
        <v>2169</v>
      </c>
      <c r="I67" s="261" t="s">
        <v>543</v>
      </c>
      <c r="J67" s="316">
        <f>'2Př'!G15</f>
        <v>0</v>
      </c>
      <c r="K67" s="268" t="s">
        <v>2169</v>
      </c>
    </row>
    <row r="68" spans="1:11" ht="14.25">
      <c r="A68" s="261" t="s">
        <v>341</v>
      </c>
      <c r="B68" s="314" t="str">
        <f>IF(CONCATENATE('DAP1'!J28,'DAP1'!B28)&lt;&gt;"00",CONCATENATE('DAP1'!J28," ",'DAP1'!B28),"")</f>
        <v/>
      </c>
      <c r="C68" s="321" t="s">
        <v>2169</v>
      </c>
      <c r="E68" s="261" t="s">
        <v>501</v>
      </c>
      <c r="F68" s="316">
        <f>IF(OR(N57=2,N58="A"),"",'1Př2'!F14)</f>
        <v>0</v>
      </c>
      <c r="G68" t="s">
        <v>2169</v>
      </c>
      <c r="I68" s="261" t="s">
        <v>544</v>
      </c>
      <c r="J68" s="316">
        <f>'2Př'!G34</f>
        <v>0</v>
      </c>
      <c r="K68" s="268" t="s">
        <v>2169</v>
      </c>
    </row>
    <row r="69" spans="1:11" ht="14.25">
      <c r="A69" s="261" t="s">
        <v>342</v>
      </c>
      <c r="B69" s="262" t="e">
        <f>IF(#REF!&lt;&gt;"",IF(#REF!&gt;0,"P","Z"),"")</f>
        <v>#REF!</v>
      </c>
      <c r="C69" s="321" t="s">
        <v>2177</v>
      </c>
      <c r="E69" s="261" t="s">
        <v>502</v>
      </c>
      <c r="F69" s="316">
        <f>IF(OR(N57=2,N58="A"),"",'1Př2'!C16)</f>
        <v>0</v>
      </c>
      <c r="G69" t="s">
        <v>2169</v>
      </c>
      <c r="I69" s="261" t="s">
        <v>545</v>
      </c>
      <c r="J69" s="316">
        <f>'2Př'!G12</f>
        <v>0</v>
      </c>
      <c r="K69" s="268" t="s">
        <v>2169</v>
      </c>
    </row>
    <row r="70" spans="1:21" ht="14.25">
      <c r="A70" s="261" t="s">
        <v>343</v>
      </c>
      <c r="B70">
        <v>500</v>
      </c>
      <c r="C70" s="321" t="s">
        <v>2170</v>
      </c>
      <c r="E70" s="261" t="s">
        <v>503</v>
      </c>
      <c r="F70" s="316">
        <f>IF(OR(N57=2,N58="A"),"",'1Př2'!G7)</f>
        <v>0</v>
      </c>
      <c r="G70" t="s">
        <v>2169</v>
      </c>
      <c r="I70" s="261" t="s">
        <v>546</v>
      </c>
      <c r="J70" s="316">
        <f>'2Př'!G35</f>
        <v>0</v>
      </c>
      <c r="K70" s="268" t="s">
        <v>2169</v>
      </c>
      <c r="M70" t="s">
        <v>555</v>
      </c>
      <c r="Q70" t="s">
        <v>523</v>
      </c>
      <c r="R70" s="460" t="s">
        <v>524</v>
      </c>
      <c r="S70" s="459" t="s">
        <v>525</v>
      </c>
      <c r="T70" s="264" t="s">
        <v>526</v>
      </c>
      <c r="U70" s="459" t="s">
        <v>527</v>
      </c>
    </row>
    <row r="71" spans="1:21" ht="14.25">
      <c r="A71" s="261" t="s">
        <v>344</v>
      </c>
      <c r="B71" s="314" t="str">
        <f>CONCATENATE("31.12.",'DAP1'!F24)</f>
        <v>31.12.2025</v>
      </c>
      <c r="E71" s="261" t="s">
        <v>504</v>
      </c>
      <c r="F71" s="316">
        <f>IF(OR(N57=2,N58="A"),"",'1Př2'!G10)</f>
        <v>0</v>
      </c>
      <c r="G71" t="s">
        <v>2169</v>
      </c>
      <c r="I71" s="261" t="s">
        <v>547</v>
      </c>
      <c r="J71" s="316">
        <f>'2Př'!G16</f>
        <v>0</v>
      </c>
      <c r="K71" s="268" t="s">
        <v>2169</v>
      </c>
      <c r="M71" s="261" t="s">
        <v>563</v>
      </c>
      <c r="N71" s="317">
        <f>'3Př'!F30</f>
        <v>0</v>
      </c>
      <c r="O71" s="268" t="s">
        <v>2169</v>
      </c>
      <c r="R71" s="314" t="str">
        <f>IF('1Př2'!F39&lt;&gt;"",IF(OR(ISNUMBER('1Př2'!F39),ISNUMBER(FIND("/",('1Př2'!F39)))),'1Př2'!F39,MID('1Př2'!F39,3,(LEN('1Př2'!F39)-2))),"")</f>
        <v/>
      </c>
      <c r="S71" s="314" t="str">
        <f>IF('1Př2'!B39&lt;&gt;"",'1Př2'!B39,"")</f>
        <v/>
      </c>
      <c r="T71" t="str">
        <f>IF('1Př2'!G39&lt;&gt;"",('1Př2'!G39)*100,"")</f>
        <v/>
      </c>
      <c r="U71" s="314" t="str">
        <f>IF('1Př2'!D39&lt;&gt;"",'1Př2'!D39,"")</f>
        <v/>
      </c>
    </row>
    <row r="72" spans="1:21" ht="14.25">
      <c r="A72" s="261" t="s">
        <v>345</v>
      </c>
      <c r="B72" s="314" t="str">
        <f>CONCATENATE("01.01.",'DAP1'!F24)</f>
        <v>01.01.2025</v>
      </c>
      <c r="E72" s="261" t="s">
        <v>505</v>
      </c>
      <c r="F72" s="316">
        <f>IF(OR(N57=2,N58="A"),"",'1Př2'!G11)</f>
        <v>0</v>
      </c>
      <c r="G72" t="s">
        <v>2169</v>
      </c>
      <c r="I72" s="261" t="s">
        <v>548</v>
      </c>
      <c r="J72" s="316">
        <f>'2Př'!G14</f>
        <v>0</v>
      </c>
      <c r="K72" s="268" t="s">
        <v>2169</v>
      </c>
      <c r="M72" s="261" t="s">
        <v>564</v>
      </c>
      <c r="N72" s="317">
        <f>'3Př'!F28</f>
        <v>0</v>
      </c>
      <c r="O72" s="268" t="s">
        <v>2169</v>
      </c>
      <c r="R72" s="262" t="str">
        <f>IF('1Př2'!F40&lt;&gt;"",IF(OR(ISNUMBER('1Př2'!F40),ISNUMBER(FIND("/",('1Př2'!F40)))),'1Př2'!F40,MID('1Př2'!F40,3,(LEN('1Př2'!F40)-2))),"")</f>
        <v/>
      </c>
      <c r="S72" s="262" t="str">
        <f>IF('1Př2'!B40&lt;&gt;"",'1Př2'!B40,"")</f>
        <v/>
      </c>
      <c r="T72" t="str">
        <f>IF('1Př2'!G40&lt;&gt;"",('1Př2'!G40)*100,"")</f>
        <v/>
      </c>
      <c r="U72" s="262" t="str">
        <f>IF('1Př2'!D40&lt;&gt;"",'1Př2'!D40,"")</f>
        <v/>
      </c>
    </row>
    <row r="73" spans="1:15" ht="14.25">
      <c r="A73" s="261" t="s">
        <v>2276</v>
      </c>
      <c r="B73">
        <f>'DAP3'!H21</f>
        <v>0</v>
      </c>
      <c r="E73" s="261" t="s">
        <v>506</v>
      </c>
      <c r="F73" s="316">
        <f>IF(OR(N57=2,N58="A"),"",'1Př2'!G8)</f>
        <v>0</v>
      </c>
      <c r="G73" t="s">
        <v>2169</v>
      </c>
      <c r="I73" s="261" t="s">
        <v>549</v>
      </c>
      <c r="J73" s="314" t="str">
        <f>IF('2Př'!J7&lt;&gt;"","A","N")</f>
        <v>N</v>
      </c>
      <c r="K73" s="268" t="s">
        <v>2169</v>
      </c>
      <c r="M73" s="261" t="s">
        <v>565</v>
      </c>
      <c r="N73" s="317">
        <f>'3Př'!F27</f>
        <v>0</v>
      </c>
      <c r="O73" s="268" t="s">
        <v>2169</v>
      </c>
    </row>
    <row r="74" spans="1:21" ht="14.25">
      <c r="A74" s="261" t="s">
        <v>2277</v>
      </c>
      <c r="B74">
        <f>'DAP3'!J21</f>
        <v>0</v>
      </c>
      <c r="E74" s="261" t="s">
        <v>507</v>
      </c>
      <c r="F74" s="316">
        <f>IF(OR(N57=2,N58="A"),"",'1Př2'!G9)</f>
        <v>0</v>
      </c>
      <c r="G74" t="s">
        <v>2169</v>
      </c>
      <c r="I74" s="261" t="s">
        <v>550</v>
      </c>
      <c r="J74" s="316">
        <f>'2Př'!G33</f>
        <v>0</v>
      </c>
      <c r="K74" s="268" t="s">
        <v>2169</v>
      </c>
      <c r="M74" s="261" t="s">
        <v>403</v>
      </c>
      <c r="N74" s="316">
        <f>'DAP2'!E15</f>
        <v>0</v>
      </c>
      <c r="R74" s="268" t="s">
        <v>2169</v>
      </c>
      <c r="S74" s="268" t="s">
        <v>2169</v>
      </c>
      <c r="T74" s="268" t="s">
        <v>2169</v>
      </c>
      <c r="U74" s="268" t="s">
        <v>2169</v>
      </c>
    </row>
    <row r="75" spans="1:14" ht="14.25">
      <c r="A75" t="s">
        <v>2280</v>
      </c>
      <c r="B75">
        <f>'DAP3'!I21</f>
        <v>0</v>
      </c>
      <c r="E75" s="261" t="s">
        <v>508</v>
      </c>
      <c r="F75" s="316">
        <f>IF(OR(N57=2,N58="A"),"",'1Př2'!G12)</f>
        <v>0</v>
      </c>
      <c r="G75" t="s">
        <v>2169</v>
      </c>
      <c r="I75" s="261" t="s">
        <v>551</v>
      </c>
      <c r="J75" s="316">
        <f>'2Př'!G35</f>
        <v>0</v>
      </c>
      <c r="K75" s="268" t="s">
        <v>2169</v>
      </c>
      <c r="M75" s="261" t="s">
        <v>404</v>
      </c>
      <c r="N75" s="316">
        <f>'DAP2'!E10</f>
        <v>0</v>
      </c>
    </row>
    <row r="76" spans="1:14" ht="14.25">
      <c r="A76" s="261" t="s">
        <v>2281</v>
      </c>
      <c r="B76">
        <f>'DAP3'!K21</f>
        <v>0</v>
      </c>
      <c r="E76" s="261" t="s">
        <v>509</v>
      </c>
      <c r="F76" s="316">
        <f>IF(OR(N57=2,N58="A"),"",'1Př2'!G13)</f>
        <v>0</v>
      </c>
      <c r="G76" t="s">
        <v>2169</v>
      </c>
      <c r="I76" s="261" t="s">
        <v>552</v>
      </c>
      <c r="J76" s="316">
        <f>'2Př'!G34</f>
        <v>0</v>
      </c>
      <c r="K76" s="268" t="s">
        <v>2169</v>
      </c>
      <c r="M76" s="261" t="s">
        <v>2476</v>
      </c>
      <c r="N76" s="316">
        <f>'3Př'!F10</f>
        <v>0</v>
      </c>
    </row>
    <row r="77" spans="1:14" ht="14.25">
      <c r="A77" s="261" t="s">
        <v>2282</v>
      </c>
      <c r="B77" s="314" t="str">
        <f>IF('DAP2'!H45&lt;&gt;"",CONCATENATE(MID('DAP2'!H45,5,2),".",IF(VALUE(MID('DAP2'!H45,3,2))&lt;13,MID('DAP2'!H45,3,2),MID('DAP2'!H45,3,2)-50),".",IF(MID('DAP2'!H45,1,2)&lt;"5","20","19"),MID('DAP2'!H45,1,2)),"")</f>
        <v/>
      </c>
      <c r="E77" s="261" t="s">
        <v>510</v>
      </c>
      <c r="F77" s="316">
        <f>IF(OR(N57=2,N58="A"),"",'1Př2'!G14)</f>
        <v>0</v>
      </c>
      <c r="G77" t="s">
        <v>2169</v>
      </c>
      <c r="I77" s="261" t="s">
        <v>553</v>
      </c>
      <c r="J77" s="314" t="str">
        <f>IF('2Př'!D7&lt;&gt;"","A","N")</f>
        <v>N</v>
      </c>
      <c r="K77" s="268" t="s">
        <v>2169</v>
      </c>
      <c r="M77" s="261" t="s">
        <v>2477</v>
      </c>
      <c r="N77" s="317">
        <f>'3Př'!F30</f>
        <v>0</v>
      </c>
    </row>
    <row r="78" spans="1:14" ht="14.25">
      <c r="A78" s="261" t="s">
        <v>2366</v>
      </c>
      <c r="B78" t="str">
        <f>IF('DAP3'!E10&lt;&gt;"",'DAP3'!E10,"")</f>
        <v/>
      </c>
      <c r="I78" s="261" t="s">
        <v>2388</v>
      </c>
      <c r="J78" s="262" t="e">
        <f>IF('2Př'!#REF!&lt;&gt;"","A","N")</f>
        <v>#REF!</v>
      </c>
      <c r="M78" s="261" t="s">
        <v>2478</v>
      </c>
      <c r="N78" s="447">
        <f>'3Př'!F12</f>
        <v>0</v>
      </c>
    </row>
    <row r="79" spans="1:14" ht="14.25">
      <c r="A79" s="261" t="s">
        <v>313</v>
      </c>
      <c r="B79" s="316">
        <f>'DAP3'!D46</f>
        <v>0</v>
      </c>
      <c r="M79" s="261" t="s">
        <v>2479</v>
      </c>
      <c r="N79" s="317">
        <f>'3Př'!F13</f>
        <v>0</v>
      </c>
    </row>
    <row r="80" spans="1:21" ht="14.25">
      <c r="A80" s="261" t="s">
        <v>2470</v>
      </c>
      <c r="B80" s="316">
        <f>'4Př'!F21</f>
        <v>0</v>
      </c>
      <c r="M80" s="261"/>
      <c r="Q80" t="s">
        <v>528</v>
      </c>
      <c r="R80" s="460" t="s">
        <v>531</v>
      </c>
      <c r="S80" s="459" t="s">
        <v>532</v>
      </c>
      <c r="T80" s="264" t="s">
        <v>533</v>
      </c>
      <c r="U80" s="459" t="s">
        <v>534</v>
      </c>
    </row>
    <row r="81" spans="1:21" ht="14.25">
      <c r="A81" s="261" t="s">
        <v>2471</v>
      </c>
      <c r="B81" s="316">
        <f>'DAP3'!D25+'DAP3'!D26</f>
        <v>0</v>
      </c>
      <c r="M81" s="261"/>
      <c r="R81" s="314" t="str">
        <f>IF('1Př2'!F44&lt;&gt;"",MID('1Př2'!F44,3,LEN('1Př2'!F44)-2),"")</f>
        <v/>
      </c>
      <c r="S81" s="314" t="str">
        <f>IF('1Př2'!B44&lt;&gt;"",'1Př2'!B44,"")</f>
        <v/>
      </c>
      <c r="T81" t="str">
        <f>IF('1Př2'!G44&lt;&gt;"",'1Př2'!G44*100,"")</f>
        <v/>
      </c>
      <c r="U81" s="314" t="str">
        <f>IF('1Př2'!D44&lt;&gt;"",'1Př2'!D44,"")</f>
        <v/>
      </c>
    </row>
    <row r="82" spans="1:2" ht="14.25">
      <c r="A82" s="261" t="s">
        <v>2472</v>
      </c>
      <c r="B82" s="316">
        <f>'DAP3'!D30</f>
        <v>0</v>
      </c>
    </row>
    <row r="83" spans="1:21" ht="14.25">
      <c r="A83" s="261" t="s">
        <v>2473</v>
      </c>
      <c r="B83" s="316">
        <f>'DAP3'!D31</f>
        <v>0</v>
      </c>
      <c r="R83" s="268" t="s">
        <v>2169</v>
      </c>
      <c r="S83" s="268" t="s">
        <v>2169</v>
      </c>
      <c r="T83" s="268" t="s">
        <v>2169</v>
      </c>
      <c r="U83" s="268" t="s">
        <v>2169</v>
      </c>
    </row>
    <row r="88" spans="1:1" ht="12.75">
      <c r="A88" s="313" t="s">
        <v>586</v>
      </c>
    </row>
    <row r="89" spans="1:2" ht="14.25">
      <c r="A89" s="261" t="s">
        <v>587</v>
      </c>
      <c r="B89" s="262"/>
    </row>
    <row r="90" spans="1:19" ht="14.25">
      <c r="A90" s="261" t="s">
        <v>588</v>
      </c>
      <c r="B90" s="314" t="str">
        <f>IF('DAP4'!D55&lt;&gt;0,+CONCATENATE(ZAKL_DATA!B33),"")</f>
        <v/>
      </c>
      <c r="C90" s="268" t="s">
        <v>2180</v>
      </c>
      <c r="Q90" t="s">
        <v>529</v>
      </c>
      <c r="R90" s="460" t="s">
        <v>535</v>
      </c>
      <c r="S90" s="264" t="s">
        <v>536</v>
      </c>
    </row>
    <row r="91" spans="1:19" ht="14.25">
      <c r="A91" s="261" t="s">
        <v>589</v>
      </c>
      <c r="B91" s="262"/>
      <c r="R91" s="314" t="str">
        <f>IF('1Př2'!F47&lt;&gt;"",MID('1Př2'!F47,3,LEN('1Př2'!F47)-2),"")</f>
        <v/>
      </c>
      <c r="S91" t="str">
        <f>IF('1Př2'!G47&lt;&gt;"",'1Př2'!G47*100,"")</f>
        <v/>
      </c>
    </row>
    <row r="92" spans="1:2" ht="14.25">
      <c r="A92" s="261" t="s">
        <v>590</v>
      </c>
      <c r="B92" s="262"/>
    </row>
    <row r="93" spans="1:19" ht="14.25">
      <c r="A93" s="261" t="s">
        <v>591</v>
      </c>
      <c r="B93" t="str">
        <f>IF('DAP4'!D55&lt;&gt;0,'DAP4'!D55,"")</f>
        <v/>
      </c>
      <c r="C93" s="268" t="s">
        <v>2180</v>
      </c>
      <c r="R93" s="268" t="s">
        <v>2169</v>
      </c>
      <c r="S93" s="268" t="s">
        <v>2169</v>
      </c>
    </row>
    <row r="94" spans="1:2" ht="14.25">
      <c r="A94" s="261" t="s">
        <v>592</v>
      </c>
      <c r="B94" s="262"/>
    </row>
    <row r="95" spans="1:3" ht="14.25">
      <c r="A95" s="261" t="s">
        <v>593</v>
      </c>
      <c r="B95" s="314" t="str">
        <f>IF('DAP4'!D55&lt;&gt;0,ZAKL_DATA!B18,"")</f>
        <v/>
      </c>
      <c r="C95" s="268" t="s">
        <v>2180</v>
      </c>
    </row>
    <row r="96" spans="1:2" ht="14.25">
      <c r="A96" s="261" t="s">
        <v>594</v>
      </c>
      <c r="B96" s="262"/>
    </row>
    <row r="97" spans="1:3" ht="14.25">
      <c r="A97" s="261" t="s">
        <v>595</v>
      </c>
      <c r="B97" s="314" t="str">
        <f>IF('DAP4'!D55&lt;&gt;0,+CONCATENATE('DAP1'!B28," ",'DAP1'!J28),"")</f>
        <v/>
      </c>
      <c r="C97" s="268" t="s">
        <v>2180</v>
      </c>
    </row>
    <row r="98" spans="1:2" ht="14.25">
      <c r="A98" s="261" t="s">
        <v>596</v>
      </c>
      <c r="B98" s="262"/>
    </row>
    <row r="99" spans="1:3" ht="14.25">
      <c r="A99" s="261" t="s">
        <v>597</v>
      </c>
      <c r="B99" s="314" t="str">
        <f>IF('DAP4'!D55&lt;&gt;0,ZAKL_DATA!B19,"")</f>
        <v/>
      </c>
      <c r="C99" s="268" t="s">
        <v>2180</v>
      </c>
    </row>
    <row r="100" spans="1:23" ht="14.25">
      <c r="A100" s="261" t="s">
        <v>598</v>
      </c>
      <c r="B100" s="262"/>
      <c r="Q100" t="s">
        <v>554</v>
      </c>
      <c r="R100" s="460" t="s">
        <v>557</v>
      </c>
      <c r="S100" s="459" t="s">
        <v>558</v>
      </c>
      <c r="T100" s="459" t="s">
        <v>559</v>
      </c>
      <c r="U100" s="264" t="s">
        <v>560</v>
      </c>
      <c r="V100" s="264" t="s">
        <v>561</v>
      </c>
      <c r="W100" s="264" t="s">
        <v>562</v>
      </c>
    </row>
    <row r="101" spans="1:23" ht="14.25">
      <c r="A101" s="261" t="s">
        <v>599</v>
      </c>
      <c r="B101" s="314" t="str">
        <f>IF('DAP4'!D55&lt;&gt;0,ZAKL_DATA!B18,"")</f>
        <v/>
      </c>
      <c r="C101" s="268" t="s">
        <v>2180</v>
      </c>
      <c r="R101" s="314" t="str">
        <f>IF('2Př'!B24&lt;&gt;"",'2Př'!B24,"")</f>
        <v/>
      </c>
      <c r="S101" s="314" t="str">
        <f>IF('2Př'!J24&lt;&gt;"",'2Př'!J24,"")</f>
        <v/>
      </c>
      <c r="T101" s="314" t="str">
        <f>IF('2Př'!B24&lt;&gt;"",MID('2Př'!B24,1,1),"")</f>
        <v/>
      </c>
      <c r="U101" t="str">
        <f>IF(AND('2Př'!D24&lt;&gt;"",'2Př'!D24&lt;&gt;0),'2Př'!D24,"")</f>
        <v/>
      </c>
      <c r="V101">
        <f>IF('2Př'!H24&lt;&gt;"",'2Př'!H24,"")</f>
        <v>0</v>
      </c>
      <c r="W101" t="str">
        <f>IF(AND('2Př'!F24&lt;&gt;"",'2Př'!F24&lt;&gt;0),'2Př'!F24,"")</f>
        <v/>
      </c>
    </row>
    <row r="102" spans="1:23" ht="14.25">
      <c r="A102" s="261" t="s">
        <v>600</v>
      </c>
      <c r="B102" s="314" t="str">
        <f>IF('DAP4'!D55&lt;&gt;0,IF(ZAKL_DATA!B20&lt;&gt;"",VLOOKUP(ZAKL_DATA!B20,FU!J3:K253,2,FALSE),"CZ"),"")</f>
        <v/>
      </c>
      <c r="C102" s="268" t="s">
        <v>2180</v>
      </c>
      <c r="R102" s="262" t="str">
        <f>IF('2Př'!B25&lt;&gt;"",'2Př'!B25,"")</f>
        <v/>
      </c>
      <c r="S102" s="262" t="str">
        <f>IF('2Př'!J25&lt;&gt;"",'2Př'!J25,"")</f>
        <v/>
      </c>
      <c r="T102" s="262" t="str">
        <f>IF('2Př'!B25&lt;&gt;"",MID('2Př'!B25,1,1),"")</f>
        <v/>
      </c>
      <c r="U102" t="str">
        <f>IF(AND('2Př'!D25&lt;&gt;"",'2Př'!D25&lt;&gt;0),'2Př'!D25,"")</f>
        <v/>
      </c>
      <c r="V102">
        <f>IF('2Př'!H25&lt;&gt;"",'2Př'!H25,"")</f>
        <v>0</v>
      </c>
      <c r="W102" t="str">
        <f>IF(AND('2Př'!F25&lt;&gt;"",'2Př'!F25&lt;&gt;0),'2Př'!F25,"")</f>
        <v/>
      </c>
    </row>
    <row r="103" spans="1:23" ht="14.25">
      <c r="A103" s="261" t="s">
        <v>601</v>
      </c>
      <c r="B103" s="262"/>
      <c r="R103" s="262" t="str">
        <f>IF('2Př'!B26&lt;&gt;"",'2Př'!B26,"")</f>
        <v/>
      </c>
      <c r="S103" s="262" t="str">
        <f>IF('2Př'!J26&lt;&gt;"",'2Př'!J26,"")</f>
        <v/>
      </c>
      <c r="T103" s="262" t="str">
        <f>IF('2Př'!B26&lt;&gt;"",MID('2Př'!B26,1,1),"")</f>
        <v/>
      </c>
      <c r="U103" t="str">
        <f>IF(AND('2Př'!D26&lt;&gt;"",'2Př'!D26&lt;&gt;0),'2Př'!D26,"")</f>
        <v/>
      </c>
      <c r="V103">
        <f>IF('2Př'!H26&lt;&gt;"",'2Př'!H26,"")</f>
        <v>0</v>
      </c>
      <c r="W103" t="str">
        <f>IF(AND('2Př'!F26&lt;&gt;"",'2Př'!F26&lt;&gt;0),'2Př'!F26,"")</f>
        <v/>
      </c>
    </row>
    <row r="104" spans="1:23" ht="14.25">
      <c r="A104" s="261" t="s">
        <v>602</v>
      </c>
      <c r="B104" s="262"/>
      <c r="R104" s="262" t="str">
        <f>IF('2Př'!B27&lt;&gt;"",'2Př'!B27,"")</f>
        <v/>
      </c>
      <c r="S104" s="262" t="str">
        <f>IF('2Př'!J27&lt;&gt;"",'2Př'!J27,"")</f>
        <v/>
      </c>
      <c r="T104" s="262" t="str">
        <f>IF('2Př'!B27&lt;&gt;"",MID('2Př'!B27,1,1),"")</f>
        <v/>
      </c>
      <c r="U104" t="str">
        <f>IF(AND('2Př'!D27&lt;&gt;"",'2Př'!D27&lt;&gt;0),'2Př'!D27,"")</f>
        <v/>
      </c>
      <c r="V104">
        <f>IF('2Př'!H27&lt;&gt;"",'2Př'!H27,"")</f>
        <v>0</v>
      </c>
      <c r="W104" t="str">
        <f>IF(AND('2Př'!F27&lt;&gt;"",'2Př'!F27&lt;&gt;0),'2Př'!F27,"")</f>
        <v/>
      </c>
    </row>
    <row r="105" spans="1:3" ht="14.25">
      <c r="A105" s="261" t="s">
        <v>603</v>
      </c>
      <c r="B105" s="262" t="str">
        <f>IF('DAP4'!D55&lt;&gt;0,ZAKL_DATA!B16,"")</f>
        <v/>
      </c>
      <c r="C105" s="268" t="s">
        <v>2180</v>
      </c>
    </row>
    <row r="106" spans="1:20" ht="14.25">
      <c r="A106" s="261" t="s">
        <v>604</v>
      </c>
      <c r="B106" s="314" t="str">
        <f>IF('DAP4'!D55&lt;&gt;0,IF('DAP4'!G57&lt;&gt;"","U","A"),"")</f>
        <v/>
      </c>
      <c r="C106" s="268" t="s">
        <v>2180</v>
      </c>
      <c r="T106" s="268"/>
    </row>
    <row r="107" spans="1:3" ht="14.25">
      <c r="A107" s="261" t="s">
        <v>605</v>
      </c>
      <c r="B107" s="314" t="str">
        <f>IF('DAP4'!D55&lt;&gt;0,IF(ISNUMBER(FIND("-",ZAKL_DATA!B32)),MID(ZAKL_DATA!B32,(FIND("-",ZAKL_DATA!B32,1))+1,LEN(ZAKL_DATA!B32)),ZAKL_DATA!B32),"")</f>
        <v/>
      </c>
      <c r="C107" s="268" t="s">
        <v>2180</v>
      </c>
    </row>
    <row r="108" spans="1:3" ht="14.25">
      <c r="A108" s="261" t="s">
        <v>606</v>
      </c>
      <c r="C108" s="268" t="s">
        <v>2180</v>
      </c>
    </row>
    <row r="109" spans="1:3" ht="14.25">
      <c r="A109" s="261" t="s">
        <v>607</v>
      </c>
      <c r="B109" s="314" t="str">
        <f>IF('DAP4'!D55&lt;&gt;0,IF(ISNUMBER(FIND("/",ZAKL_DATA!B17)),MID(ZAKL_DATA!B17,(FIND("/",ZAKL_DATA!B17,1))+1,LEN(ZAKL_DATA!B17)),""),"")</f>
        <v/>
      </c>
      <c r="C109" s="268" t="s">
        <v>2180</v>
      </c>
    </row>
    <row r="110" spans="1:20" ht="14.25">
      <c r="A110" s="261" t="s">
        <v>608</v>
      </c>
      <c r="B110" t="str">
        <f>IF('DAP4'!D55&lt;&gt;0,IF(ISNUMBER(FIND("/",ZAKL_DATA!B17)),LEFT(ZAKL_DATA!B17,(FIND("/",ZAKL_DATA!B17,1))-1),ZAKL_DATA!B17),"")</f>
        <v/>
      </c>
      <c r="C110" s="268" t="s">
        <v>2180</v>
      </c>
      <c r="Q110" t="s">
        <v>556</v>
      </c>
      <c r="R110" s="460" t="s">
        <v>566</v>
      </c>
      <c r="S110" s="264" t="s">
        <v>567</v>
      </c>
      <c r="T110" s="459" t="s">
        <v>568</v>
      </c>
    </row>
    <row r="111" spans="1:20" ht="14.25">
      <c r="A111" s="261" t="s">
        <v>609</v>
      </c>
      <c r="B111" s="314" t="str">
        <f>IF('DAP4'!D55&lt;&gt;0,ZAKL_DATA!B4,"")</f>
        <v/>
      </c>
      <c r="C111" s="268" t="s">
        <v>2180</v>
      </c>
      <c r="R111" s="262"/>
      <c r="T111" s="262"/>
    </row>
    <row r="112" spans="1:3" ht="14.25">
      <c r="A112" s="261" t="s">
        <v>610</v>
      </c>
      <c r="B112" t="str">
        <f>IF('DAP4'!D55&lt;&gt;0,ZAKL_DATA!B33,"")</f>
        <v/>
      </c>
      <c r="C112" s="268" t="s">
        <v>2180</v>
      </c>
    </row>
    <row r="113" spans="1:20" ht="14.25">
      <c r="A113" s="261" t="s">
        <v>611</v>
      </c>
      <c r="B113" s="314" t="str">
        <f>IF('DAP4'!D55&lt;&gt;0,ZAKL_DATA!B34,"")</f>
        <v/>
      </c>
      <c r="C113" s="268" t="s">
        <v>2180</v>
      </c>
      <c r="Q113" s="268" t="s">
        <v>2178</v>
      </c>
      <c r="R113" s="319" t="s">
        <v>2174</v>
      </c>
      <c r="S113" s="315"/>
      <c r="T113" s="315"/>
    </row>
    <row r="114" spans="1:3" ht="14.25">
      <c r="A114" s="261" t="s">
        <v>612</v>
      </c>
      <c r="B114" s="314" t="str">
        <f>IF('DAP4'!D55&lt;&gt;0,ZAKL_DATA!B18,"")</f>
        <v/>
      </c>
      <c r="C114" s="268" t="s">
        <v>2180</v>
      </c>
    </row>
    <row r="115" spans="1:3" ht="14.25">
      <c r="A115" s="261" t="s">
        <v>613</v>
      </c>
      <c r="B115" t="str">
        <f>IF('DAP4'!D55&lt;&gt;0,IF(ISNUMBER(FIND("-",ZAKL_DATA!B32)),LEFT(ZAKL_DATA!B32,(FIND("-",ZAKL_DATA!B32,1))-1),""),"")</f>
        <v/>
      </c>
      <c r="C115" s="268" t="s">
        <v>2180</v>
      </c>
    </row>
    <row r="116" spans="1:3" ht="14.25">
      <c r="A116" s="261" t="s">
        <v>614</v>
      </c>
      <c r="B116" s="314" t="str">
        <f>IF('DAP4'!D55&lt;&gt;0,ZAKL_DATA!B5,"")</f>
        <v/>
      </c>
      <c r="C116" s="268" t="s">
        <v>2180</v>
      </c>
    </row>
    <row r="117" spans="1:3" ht="14.25">
      <c r="A117" s="261" t="s">
        <v>615</v>
      </c>
      <c r="B117" t="str">
        <f>IF('DAP4'!D55&lt;&gt;0,ZAKL_DATA!B19,"")</f>
        <v/>
      </c>
      <c r="C117" s="268" t="s">
        <v>2180</v>
      </c>
    </row>
    <row r="118" spans="1:3" ht="14.25">
      <c r="A118" s="261" t="s">
        <v>616</v>
      </c>
      <c r="B118" s="314" t="str">
        <f>IF('DAP4'!D55&lt;&gt;0,'DAP4'!H58,"")</f>
        <v/>
      </c>
      <c r="C118" s="268" t="s">
        <v>2180</v>
      </c>
    </row>
    <row r="119" spans="1:3" ht="14.25">
      <c r="A119" s="261" t="s">
        <v>617</v>
      </c>
      <c r="B119" s="314" t="str">
        <f>IF('DAP4'!D55&lt;&gt;0,ZAKL_DATA!B7,"")</f>
        <v/>
      </c>
      <c r="C119" s="268" t="s">
        <v>2180</v>
      </c>
    </row>
    <row r="120" spans="1:28" ht="14.25">
      <c r="A120" s="261" t="s">
        <v>618</v>
      </c>
      <c r="B120" s="314" t="str">
        <f>IF('DAP4'!D55&lt;&gt;0,ZAKL_DATA!B16,"")</f>
        <v/>
      </c>
      <c r="C120" s="268" t="s">
        <v>2180</v>
      </c>
      <c r="Q120" t="s">
        <v>569</v>
      </c>
      <c r="R120" s="261" t="s">
        <v>571</v>
      </c>
      <c r="S120" s="264" t="s">
        <v>572</v>
      </c>
      <c r="T120" s="264" t="s">
        <v>573</v>
      </c>
      <c r="U120" s="264" t="s">
        <v>574</v>
      </c>
      <c r="V120" s="264" t="s">
        <v>575</v>
      </c>
      <c r="W120" s="264" t="s">
        <v>576</v>
      </c>
      <c r="X120" s="264" t="s">
        <v>577</v>
      </c>
      <c r="Y120" s="459" t="s">
        <v>578</v>
      </c>
      <c r="Z120" s="264" t="s">
        <v>579</v>
      </c>
      <c r="AA120" s="264" t="s">
        <v>580</v>
      </c>
      <c r="AB120" s="458" t="s">
        <v>2539</v>
      </c>
    </row>
    <row r="121" spans="18:28" ht="12.75">
      <c r="R121" s="317">
        <f>'3Př_a'!F17</f>
        <v>0</v>
      </c>
      <c r="S121" s="316">
        <f>'3Př_a'!F14</f>
        <v>0</v>
      </c>
      <c r="T121" s="316">
        <f>'3Př_a'!F12</f>
        <v>0</v>
      </c>
      <c r="U121" s="316">
        <f>'3Př_a'!F13</f>
        <v>0</v>
      </c>
      <c r="V121" s="317">
        <f>'3Př_a'!F16</f>
        <v>0</v>
      </c>
      <c r="W121" s="316">
        <f>'3Př_a'!F12</f>
        <v>0</v>
      </c>
      <c r="X121" s="316">
        <f>'3Př_a'!F13</f>
        <v>0</v>
      </c>
      <c r="Y121" s="314" t="str">
        <f>IF('3Př_a'!C8&lt;&gt;"",'3Př_a'!C8,"")</f>
        <v/>
      </c>
      <c r="Z121">
        <f>'3Př_a'!F15*100</f>
        <v>0</v>
      </c>
      <c r="AA121" s="317">
        <f>'3Př_a'!F18</f>
        <v>0</v>
      </c>
      <c r="AB121" s="317">
        <f>'3Př_a'!F14</f>
        <v>0</v>
      </c>
    </row>
    <row r="123" spans="20:21" ht="12.75">
      <c r="T123" s="319" t="s">
        <v>2175</v>
      </c>
      <c r="U123" s="315"/>
    </row>
    <row r="124" spans="20:20" ht="12.75">
      <c r="T124" s="268" t="s">
        <v>2179</v>
      </c>
    </row>
    <row r="130" spans="17:22" ht="14.25">
      <c r="Q130" t="s">
        <v>570</v>
      </c>
      <c r="R130" s="460" t="s">
        <v>581</v>
      </c>
      <c r="S130" s="264" t="s">
        <v>582</v>
      </c>
      <c r="T130" s="264" t="s">
        <v>583</v>
      </c>
      <c r="U130" s="264" t="s">
        <v>584</v>
      </c>
      <c r="V130" s="264" t="s">
        <v>585</v>
      </c>
    </row>
    <row r="131" spans="18:24" ht="12.75">
      <c r="R131" s="314">
        <f>IF('6Př'!B12&lt;&gt;"",'6Př'!B12,"")</f>
        <v>2024</v>
      </c>
      <c r="S131">
        <f>IF('6Př'!C12&lt;&gt;"",'6Př'!C12,"")</f>
        <v>0</v>
      </c>
      <c r="T131">
        <f>IF('6Př'!D12&lt;&gt;"",'6Př'!D12,"")</f>
        <v>0</v>
      </c>
      <c r="U131">
        <f>IF('6Př'!E12&lt;&gt;"",'6Př'!E12,"")</f>
        <v>0</v>
      </c>
      <c r="V131">
        <f>IF('6Př'!F12&lt;&gt;"",'6Př'!F12,"")</f>
        <v>0</v>
      </c>
      <c r="X131" s="268" t="s">
        <v>2169</v>
      </c>
    </row>
    <row r="132" spans="18:22" ht="12.75">
      <c r="R132" s="262" t="str">
        <f>IF('6Př'!B13&lt;&gt;"",'6Př'!B13,"")</f>
        <v/>
      </c>
      <c r="S132" t="str">
        <f>IF('6Př'!C13&lt;&gt;"",'6Př'!C13,"")</f>
        <v/>
      </c>
      <c r="T132" t="str">
        <f>IF('6Př'!D13&lt;&gt;"",'6Př'!D13,"")</f>
        <v/>
      </c>
      <c r="U132" t="str">
        <f>IF('6Př'!E13&lt;&gt;"",'6Př'!E13,"")</f>
        <v/>
      </c>
      <c r="V132">
        <f>IF('6Př'!F13&lt;&gt;"",'6Př'!F13,"")</f>
        <v>0</v>
      </c>
    </row>
    <row r="133" spans="18:22" ht="12.75">
      <c r="R133" s="262" t="str">
        <f>IF('6Př'!B14&lt;&gt;"",'6Př'!B14,"")</f>
        <v/>
      </c>
      <c r="S133" t="str">
        <f>IF('6Př'!C14&lt;&gt;"",'6Př'!C14,"")</f>
        <v/>
      </c>
      <c r="T133" t="str">
        <f>IF('6Př'!D14&lt;&gt;"",'6Př'!D14,"")</f>
        <v/>
      </c>
      <c r="U133" t="str">
        <f>IF('6Př'!E14&lt;&gt;"",'6Př'!E14,"")</f>
        <v/>
      </c>
      <c r="V133">
        <f>IF('6Př'!F14&lt;&gt;"",'6Př'!F14,"")</f>
        <v>0</v>
      </c>
    </row>
    <row r="134" spans="18:22" ht="12.75">
      <c r="R134" s="262" t="str">
        <f>IF('6Př'!B15&lt;&gt;"",'6Př'!B15,"")</f>
        <v/>
      </c>
      <c r="S134" t="str">
        <f>IF('6Př'!C15&lt;&gt;"",'6Př'!C15,"")</f>
        <v/>
      </c>
      <c r="T134" t="str">
        <f>IF('6Př'!D15&lt;&gt;"",'6Př'!D15,"")</f>
        <v/>
      </c>
      <c r="U134" t="str">
        <f>IF('6Př'!E15&lt;&gt;"",'6Př'!E15,"")</f>
        <v/>
      </c>
      <c r="V134">
        <f>IF('6Př'!F15&lt;&gt;"",'6Př'!F15,"")</f>
        <v>0</v>
      </c>
    </row>
    <row r="135" spans="18:22" ht="12.75">
      <c r="R135" s="262" t="str">
        <f>IF('6Př'!B16&lt;&gt;"",'6Př'!B16,"")</f>
        <v/>
      </c>
      <c r="S135" t="str">
        <f>IF('6Př'!C16&lt;&gt;"",'6Př'!C16,"")</f>
        <v/>
      </c>
      <c r="T135" t="str">
        <f>IF('6Př'!D16&lt;&gt;"",'6Př'!D16,"")</f>
        <v/>
      </c>
      <c r="U135" t="str">
        <f>IF('6Př'!E16&lt;&gt;"",'6Př'!E16,"")</f>
        <v/>
      </c>
      <c r="V135">
        <f>IF('6Př'!F16&lt;&gt;"",'6Př'!F16,"")</f>
        <v>0</v>
      </c>
    </row>
    <row r="136" spans="18:22" ht="12.75">
      <c r="R136" s="262" t="str">
        <f>IF('6Př'!B17&lt;&gt;"",'6Př'!B17,"")</f>
        <v/>
      </c>
      <c r="S136" t="str">
        <f>IF('6Př'!C17&lt;&gt;"",'6Př'!C17,"")</f>
        <v/>
      </c>
      <c r="T136" t="str">
        <f>IF('6Př'!D17&lt;&gt;"",'6Př'!D17,"")</f>
        <v/>
      </c>
      <c r="U136" t="str">
        <f>IF('6Př'!E17&lt;&gt;"",'6Př'!E17,"")</f>
        <v/>
      </c>
      <c r="V136">
        <f>IF('6Př'!F17&lt;&gt;"",'6Př'!F17,"")</f>
        <v>0</v>
      </c>
    </row>
    <row r="137" spans="18:22" ht="12.75">
      <c r="R137" s="262" t="str">
        <f>IF('6Př'!B18&lt;&gt;"",'6Př'!B18,"")</f>
        <v/>
      </c>
      <c r="S137" t="str">
        <f>IF('6Př'!C18&lt;&gt;"",'6Př'!C18,"")</f>
        <v/>
      </c>
      <c r="T137" t="str">
        <f>IF('6Př'!D18&lt;&gt;"",'6Př'!D18,"")</f>
        <v/>
      </c>
      <c r="U137" t="str">
        <f>IF('6Př'!E18&lt;&gt;"",'6Př'!E18,"")</f>
        <v/>
      </c>
      <c r="V137">
        <f>IF('6Př'!F18&lt;&gt;"",'6Př'!F18,"")</f>
        <v>0</v>
      </c>
    </row>
    <row r="138" spans="18:22" ht="12.75">
      <c r="R138" s="262" t="str">
        <f>IF('6Př'!B19&lt;&gt;"",'6Př'!B19,"")</f>
        <v/>
      </c>
      <c r="S138" t="str">
        <f>IF('6Př'!C19&lt;&gt;"",'6Př'!C19,"")</f>
        <v/>
      </c>
      <c r="T138" t="str">
        <f>IF('6Př'!D19&lt;&gt;"",'6Př'!D19,"")</f>
        <v/>
      </c>
      <c r="U138" t="str">
        <f>IF('6Př'!E19&lt;&gt;"",'6Př'!E19,"")</f>
        <v/>
      </c>
      <c r="V138">
        <f>IF('6Př'!F19&lt;&gt;"",'6Př'!F19,"")</f>
        <v>0</v>
      </c>
    </row>
    <row r="140" spans="18:22" ht="12.75">
      <c r="R140" s="268" t="s">
        <v>2169</v>
      </c>
      <c r="S140" s="268" t="s">
        <v>2169</v>
      </c>
      <c r="T140" s="268" t="s">
        <v>2169</v>
      </c>
      <c r="U140" s="268" t="s">
        <v>2169</v>
      </c>
      <c r="V140" s="268" t="s">
        <v>2169</v>
      </c>
    </row>
    <row r="143" spans="17:55" ht="14.25">
      <c r="Q143" t="s">
        <v>619</v>
      </c>
      <c r="R143" s="261" t="s">
        <v>621</v>
      </c>
      <c r="S143" s="264" t="s">
        <v>622</v>
      </c>
      <c r="T143" s="264" t="s">
        <v>623</v>
      </c>
      <c r="U143" s="264" t="s">
        <v>624</v>
      </c>
      <c r="V143" s="264" t="s">
        <v>625</v>
      </c>
      <c r="W143" s="261" t="s">
        <v>2289</v>
      </c>
      <c r="AL143" s="261"/>
      <c r="AM143" s="261"/>
      <c r="AN143" s="261"/>
      <c r="AO143" s="261"/>
      <c r="AP143" s="261"/>
      <c r="AQ143" s="261"/>
      <c r="AR143" s="261"/>
      <c r="AS143" s="261"/>
      <c r="AT143" s="261"/>
      <c r="AU143" s="261"/>
      <c r="AV143" s="261"/>
      <c r="AW143" s="261"/>
      <c r="AX143" s="261"/>
      <c r="AY143" s="261"/>
      <c r="AZ143" s="261"/>
      <c r="BA143" s="261"/>
      <c r="BB143" s="261"/>
      <c r="BC143" s="261"/>
    </row>
    <row r="144" spans="18:18" ht="12.75">
      <c r="R144" s="316"/>
    </row>
    <row r="146" spans="18:22" ht="12.75">
      <c r="R146" s="319" t="s">
        <v>2176</v>
      </c>
      <c r="S146" s="315"/>
      <c r="T146" s="315"/>
      <c r="U146" s="315"/>
      <c r="V146" s="315"/>
    </row>
    <row r="153" spans="17:22" ht="14.25">
      <c r="Q153" t="s">
        <v>620</v>
      </c>
      <c r="R153" s="261" t="s">
        <v>626</v>
      </c>
      <c r="S153" s="459" t="s">
        <v>627</v>
      </c>
      <c r="T153" s="459" t="s">
        <v>628</v>
      </c>
      <c r="U153" s="264" t="s">
        <v>629</v>
      </c>
      <c r="V153" s="264" t="s">
        <v>630</v>
      </c>
    </row>
    <row r="154" spans="18:22" ht="12.75">
      <c r="R154" t="str">
        <f>IF(Př_b!E10&lt;&gt;"",Př_b!E10,"")</f>
        <v/>
      </c>
      <c r="S154" s="314" t="str">
        <f>IF(AND(Př_b!B10&lt;&gt;"",Př_b!B10&lt;&gt;0),Př_b!B10,"")</f>
        <v/>
      </c>
      <c r="T154" s="314" t="str">
        <f>IF(AND(Př_b!C10&lt;&gt;"",Př_b!C10&lt;&gt;0),VLOOKUP(Př_b!C10,FU!$J$3:$K$253,2,FALSE),"")</f>
        <v/>
      </c>
      <c r="U154" t="str">
        <f>IF(Př_b!F10&lt;&gt;"",Př_b!F10,"")</f>
        <v/>
      </c>
      <c r="V154" s="268" t="str">
        <f>IF(Př_b!D10&lt;&gt;"",Př_b!D10,"")</f>
        <v/>
      </c>
    </row>
    <row r="155" spans="18:22" ht="12.75">
      <c r="R155" t="str">
        <f>IF(Př_b!E11&lt;&gt;"",Př_b!E11,"")</f>
        <v/>
      </c>
      <c r="S155" s="262" t="str">
        <f>IF(AND(Př_b!B11&lt;&gt;"",Př_b!B11&lt;&gt;0),Př_b!B11,"")</f>
        <v/>
      </c>
      <c r="T155" s="262" t="str">
        <f>IF(AND(Př_b!C11&lt;&gt;"",Př_b!C11&lt;&gt;0),VLOOKUP(Př_b!C11,FU!$J$3:$K$253,2,FALSE),"")</f>
        <v/>
      </c>
      <c r="U155" t="str">
        <f>IF(Př_b!F11&lt;&gt;"",Př_b!F11,"")</f>
        <v/>
      </c>
      <c r="V155" t="str">
        <f>IF(Př_b!D11&lt;&gt;"",Př_b!D11,"")</f>
        <v/>
      </c>
    </row>
    <row r="156" spans="18:22" ht="12.75">
      <c r="R156" t="str">
        <f>IF(Př_b!E12&lt;&gt;"",Př_b!E12,"")</f>
        <v/>
      </c>
      <c r="S156" s="262" t="str">
        <f>IF(AND(Př_b!B12&lt;&gt;"",Př_b!B12&lt;&gt;0),Př_b!B12,"")</f>
        <v/>
      </c>
      <c r="T156" s="262" t="str">
        <f>IF(AND(Př_b!C12&lt;&gt;"",Př_b!C12&lt;&gt;0),VLOOKUP(Př_b!C12,FU!$J$3:$K$253,2,FALSE),"")</f>
        <v/>
      </c>
      <c r="U156" t="str">
        <f>IF(Př_b!F12&lt;&gt;"",Př_b!F12,"")</f>
        <v/>
      </c>
      <c r="V156" t="str">
        <f>IF(Př_b!D12&lt;&gt;"",Př_b!D12,"")</f>
        <v/>
      </c>
    </row>
    <row r="157" spans="18:22" ht="12.75">
      <c r="R157" t="str">
        <f>IF(Př_b!E13&lt;&gt;"",Př_b!E13,"")</f>
        <v/>
      </c>
      <c r="S157" s="262" t="str">
        <f>IF(AND(Př_b!B13&lt;&gt;"",Př_b!B13&lt;&gt;0),Př_b!B13,"")</f>
        <v/>
      </c>
      <c r="T157" s="262" t="str">
        <f>IF(AND(Př_b!C13&lt;&gt;"",Př_b!C13&lt;&gt;0),VLOOKUP(Př_b!C13,FU!$J$3:$K$253,2,FALSE),"")</f>
        <v/>
      </c>
      <c r="U157" t="str">
        <f>IF(Př_b!F13&lt;&gt;"",Př_b!F13,"")</f>
        <v/>
      </c>
      <c r="V157" t="str">
        <f>IF(Př_b!D13&lt;&gt;"",Př_b!D13,"")</f>
        <v/>
      </c>
    </row>
    <row r="158" spans="18:22" ht="12.75">
      <c r="R158" t="str">
        <f>IF(Př_b!E14&lt;&gt;"",Př_b!E14,"")</f>
        <v/>
      </c>
      <c r="S158" s="262" t="str">
        <f>IF(AND(Př_b!B14&lt;&gt;"",Př_b!B14&lt;&gt;0),Př_b!B14,"")</f>
        <v/>
      </c>
      <c r="T158" s="262" t="str">
        <f>IF(AND(Př_b!C14&lt;&gt;"",Př_b!C14&lt;&gt;0),VLOOKUP(Př_b!C14,FU!$J$3:$K$253,2,FALSE),"")</f>
        <v/>
      </c>
      <c r="U158" t="str">
        <f>IF(Př_b!F14&lt;&gt;"",Př_b!F14,"")</f>
        <v/>
      </c>
      <c r="V158" t="str">
        <f>IF(Př_b!D14&lt;&gt;"",Př_b!D14,"")</f>
        <v/>
      </c>
    </row>
    <row r="159" spans="18:22" ht="12.75">
      <c r="R159" t="str">
        <f>IF(Př_b!E15&lt;&gt;"",Př_b!E15,"")</f>
        <v/>
      </c>
      <c r="S159" s="262" t="str">
        <f>IF(AND(Př_b!B15&lt;&gt;"",Př_b!B15&lt;&gt;0),Př_b!B15,"")</f>
        <v/>
      </c>
      <c r="T159" s="262" t="str">
        <f>IF(AND(Př_b!C15&lt;&gt;"",Př_b!C15&lt;&gt;0),VLOOKUP(Př_b!C15,FU!$J$3:$K$253,2,FALSE),"")</f>
        <v/>
      </c>
      <c r="U159" t="str">
        <f>IF(Př_b!F15&lt;&gt;"",Př_b!F15,"")</f>
        <v/>
      </c>
      <c r="V159" t="str">
        <f>IF(Př_b!D15&lt;&gt;"",Př_b!D15,"")</f>
        <v/>
      </c>
    </row>
    <row r="160" spans="18:22" ht="12.75">
      <c r="R160" t="str">
        <f>IF(Př_b!E16&lt;&gt;"",Př_b!E16,"")</f>
        <v/>
      </c>
      <c r="S160" s="262" t="str">
        <f>IF(AND(Př_b!B16&lt;&gt;"",Př_b!B16&lt;&gt;0),Př_b!B16,"")</f>
        <v/>
      </c>
      <c r="T160" s="262" t="str">
        <f>IF(AND(Př_b!C16&lt;&gt;"",Př_b!C16&lt;&gt;0),VLOOKUP(Př_b!C16,FU!$J$3:$K$253,2,FALSE),"")</f>
        <v/>
      </c>
      <c r="U160" t="str">
        <f>IF(Př_b!F16&lt;&gt;"",Př_b!F16,"")</f>
        <v/>
      </c>
      <c r="V160" t="str">
        <f>IF(Př_b!D16&lt;&gt;"",Př_b!D16,"")</f>
        <v/>
      </c>
    </row>
    <row r="161" spans="18:22" ht="12.75">
      <c r="R161" t="str">
        <f>IF(Př_b!E17&lt;&gt;"",Př_b!E17,"")</f>
        <v/>
      </c>
      <c r="S161" s="262" t="str">
        <f>IF(AND(Př_b!B17&lt;&gt;"",Př_b!B17&lt;&gt;0),Př_b!B17,"")</f>
        <v/>
      </c>
      <c r="T161" s="262" t="str">
        <f>IF(AND(Př_b!C17&lt;&gt;"",Př_b!C17&lt;&gt;0),VLOOKUP(Př_b!C17,FU!$J$3:$K$253,2,FALSE),"")</f>
        <v/>
      </c>
      <c r="U161" t="str">
        <f>IF(Př_b!F17&lt;&gt;"",Př_b!F17,"")</f>
        <v/>
      </c>
      <c r="V161" t="str">
        <f>IF(Př_b!D17&lt;&gt;"",Př_b!D17,"")</f>
        <v/>
      </c>
    </row>
    <row r="162" spans="18:22" ht="12.75">
      <c r="R162" t="str">
        <f>IF(Př_b!E18&lt;&gt;"",Př_b!E18,"")</f>
        <v/>
      </c>
      <c r="S162" s="262" t="str">
        <f>IF(AND(Př_b!B18&lt;&gt;"",Př_b!B18&lt;&gt;0),Př_b!B18,"")</f>
        <v/>
      </c>
      <c r="T162" s="262" t="str">
        <f>IF(AND(Př_b!C18&lt;&gt;"",Př_b!C18&lt;&gt;0),VLOOKUP(Př_b!C18,FU!$J$3:$K$253,2,FALSE),"")</f>
        <v/>
      </c>
      <c r="U162" t="str">
        <f>IF(Př_b!F18&lt;&gt;"",Př_b!F18,"")</f>
        <v/>
      </c>
      <c r="V162" t="str">
        <f>IF(Př_b!D18&lt;&gt;"",Př_b!D18,"")</f>
        <v/>
      </c>
    </row>
    <row r="163" spans="18:22" ht="12.75">
      <c r="R163" t="str">
        <f>IF(Př_b!E19&lt;&gt;"",Př_b!E19,"")</f>
        <v/>
      </c>
      <c r="S163" s="262" t="str">
        <f>IF(AND(Př_b!B19&lt;&gt;"",Př_b!B19&lt;&gt;0),Př_b!B19,"")</f>
        <v/>
      </c>
      <c r="T163" s="262" t="str">
        <f>IF(AND(Př_b!C19&lt;&gt;"",Př_b!C19&lt;&gt;0),VLOOKUP(Př_b!C19,FU!$J$3:$K$253,2,FALSE),"")</f>
        <v/>
      </c>
      <c r="U163" t="str">
        <f>IF(Př_b!F19&lt;&gt;"",Př_b!F19,"")</f>
        <v/>
      </c>
      <c r="V163" t="str">
        <f>IF(Př_b!D19&lt;&gt;"",Př_b!D19,"")</f>
        <v/>
      </c>
    </row>
    <row r="164" spans="18:22" ht="12.75">
      <c r="R164" t="str">
        <f>IF(Př_b!E20&lt;&gt;"",Př_b!E20,"")</f>
        <v/>
      </c>
      <c r="S164" s="262" t="str">
        <f>IF(AND(Př_b!B20&lt;&gt;"",Př_b!B20&lt;&gt;0),Př_b!B20,"")</f>
        <v/>
      </c>
      <c r="T164" s="262" t="str">
        <f>IF(AND(Př_b!C20&lt;&gt;"",Př_b!C20&lt;&gt;0),VLOOKUP(Př_b!C20,FU!$J$3:$K$253,2,FALSE),"")</f>
        <v/>
      </c>
      <c r="U164" t="str">
        <f>IF(Př_b!F20&lt;&gt;"",Př_b!F20,"")</f>
        <v/>
      </c>
      <c r="V164" t="str">
        <f>IF(Př_b!D20&lt;&gt;"",Př_b!D20,"")</f>
        <v/>
      </c>
    </row>
    <row r="165" spans="18:22" ht="12.75">
      <c r="R165" t="str">
        <f>IF(Př_b!E21&lt;&gt;"",Př_b!E21,"")</f>
        <v/>
      </c>
      <c r="S165" s="262" t="str">
        <f>IF(AND(Př_b!B21&lt;&gt;"",Př_b!B21&lt;&gt;0),Př_b!B21,"")</f>
        <v/>
      </c>
      <c r="T165" s="262" t="str">
        <f>IF(AND(Př_b!C21&lt;&gt;"",Př_b!C21&lt;&gt;0),VLOOKUP(Př_b!C21,FU!$J$3:$K$253,2,FALSE),"")</f>
        <v/>
      </c>
      <c r="U165" t="str">
        <f>IF(Př_b!F21&lt;&gt;"",Př_b!F21,"")</f>
        <v/>
      </c>
      <c r="V165" t="str">
        <f>IF(Př_b!D21&lt;&gt;"",Př_b!D21,"")</f>
        <v/>
      </c>
    </row>
    <row r="166" spans="18:22" ht="12.75">
      <c r="R166" t="str">
        <f>IF(Př_b!E22&lt;&gt;"",Př_b!E22,"")</f>
        <v/>
      </c>
      <c r="S166" s="262" t="str">
        <f>IF(AND(Př_b!B22&lt;&gt;"",Př_b!B22&lt;&gt;0),Př_b!B22,"")</f>
        <v/>
      </c>
      <c r="T166" s="262" t="str">
        <f>IF(AND(Př_b!C22&lt;&gt;"",Př_b!C22&lt;&gt;0),VLOOKUP(Př_b!C22,FU!$J$3:$K$253,2,FALSE),"")</f>
        <v/>
      </c>
      <c r="U166" t="str">
        <f>IF(Př_b!F22&lt;&gt;"",Př_b!F22,"")</f>
        <v/>
      </c>
      <c r="V166" t="str">
        <f>IF(Př_b!D22&lt;&gt;"",Př_b!D22,"")</f>
        <v/>
      </c>
    </row>
    <row r="167" spans="18:22" ht="12.75">
      <c r="R167" t="str">
        <f>IF(Př_b!E23&lt;&gt;"",Př_b!E23,"")</f>
        <v/>
      </c>
      <c r="S167" s="262" t="str">
        <f>IF(AND(Př_b!B23&lt;&gt;"",Př_b!B23&lt;&gt;0),Př_b!B23,"")</f>
        <v/>
      </c>
      <c r="T167" s="262" t="str">
        <f>IF(AND(Př_b!C23&lt;&gt;"",Př_b!C23&lt;&gt;0),VLOOKUP(Př_b!C23,FU!$J$3:$K$253,2,FALSE),"")</f>
        <v/>
      </c>
      <c r="U167" t="str">
        <f>IF(Př_b!F23&lt;&gt;"",Př_b!F23,"")</f>
        <v/>
      </c>
      <c r="V167" t="str">
        <f>IF(Př_b!D23&lt;&gt;"",Př_b!D23,"")</f>
        <v/>
      </c>
    </row>
    <row r="168" spans="18:22" ht="12.75">
      <c r="R168" t="str">
        <f>IF(Př_b!E24&lt;&gt;"",Př_b!E24,"")</f>
        <v/>
      </c>
      <c r="S168" s="262" t="str">
        <f>IF(AND(Př_b!B24&lt;&gt;"",Př_b!B24&lt;&gt;0),Př_b!B24,"")</f>
        <v/>
      </c>
      <c r="T168" s="262" t="str">
        <f>IF(AND(Př_b!C24&lt;&gt;"",Př_b!C24&lt;&gt;0),VLOOKUP(Př_b!C24,FU!$J$3:$K$253,2,FALSE),"")</f>
        <v/>
      </c>
      <c r="U168" t="str">
        <f>IF(Př_b!F24&lt;&gt;"",Př_b!F24,"")</f>
        <v/>
      </c>
      <c r="V168" t="str">
        <f>IF(Př_b!D24&lt;&gt;"",Př_b!D24,"")</f>
        <v/>
      </c>
    </row>
    <row r="169" spans="18:22" ht="12.75">
      <c r="R169" t="str">
        <f>IF(Př_b!E25&lt;&gt;"",Př_b!E25,"")</f>
        <v/>
      </c>
      <c r="S169" s="262" t="str">
        <f>IF(AND(Př_b!B25&lt;&gt;"",Př_b!B25&lt;&gt;0),Př_b!B25,"")</f>
        <v/>
      </c>
      <c r="T169" s="262" t="str">
        <f>IF(AND(Př_b!C25&lt;&gt;"",Př_b!C25&lt;&gt;0),VLOOKUP(Př_b!C25,FU!$J$3:$K$253,2,FALSE),"")</f>
        <v/>
      </c>
      <c r="U169" t="str">
        <f>IF(Př_b!F25&lt;&gt;"",Př_b!F25,"")</f>
        <v/>
      </c>
      <c r="V169" t="str">
        <f>IF(Př_b!D25&lt;&gt;"",Př_b!D25,"")</f>
        <v/>
      </c>
    </row>
    <row r="171" spans="18:22" ht="12.75">
      <c r="R171" s="268" t="s">
        <v>2169</v>
      </c>
      <c r="S171" s="268" t="s">
        <v>2169</v>
      </c>
      <c r="T171" s="268" t="s">
        <v>2169</v>
      </c>
      <c r="U171" s="268" t="s">
        <v>2169</v>
      </c>
      <c r="V171" s="268" t="s">
        <v>2169</v>
      </c>
    </row>
    <row r="176" spans="28:28" ht="12.75">
      <c r="AB176">
        <v>1</v>
      </c>
    </row>
    <row r="177" spans="17:55" ht="14.25">
      <c r="Q177" t="s">
        <v>631</v>
      </c>
      <c r="R177" s="261" t="s">
        <v>633</v>
      </c>
      <c r="S177" s="264" t="s">
        <v>634</v>
      </c>
      <c r="T177" s="264" t="s">
        <v>635</v>
      </c>
      <c r="U177" s="264" t="s">
        <v>636</v>
      </c>
      <c r="V177" s="264" t="s">
        <v>637</v>
      </c>
      <c r="W177" s="264" t="s">
        <v>638</v>
      </c>
      <c r="Y177" s="268" t="s">
        <v>2369</v>
      </c>
      <c r="Z177" s="268" t="s">
        <v>2370</v>
      </c>
      <c r="AA177" s="268" t="s">
        <v>2371</v>
      </c>
      <c r="AB177" s="261" t="s">
        <v>633</v>
      </c>
      <c r="AC177" s="264" t="s">
        <v>634</v>
      </c>
      <c r="AD177" s="264" t="s">
        <v>639</v>
      </c>
      <c r="AE177" s="264" t="s">
        <v>640</v>
      </c>
      <c r="AI177" t="s">
        <v>632</v>
      </c>
      <c r="AJ177" s="261" t="s">
        <v>633</v>
      </c>
      <c r="AK177" s="264" t="s">
        <v>634</v>
      </c>
      <c r="AL177" s="264" t="s">
        <v>639</v>
      </c>
      <c r="AM177" s="264" t="s">
        <v>640</v>
      </c>
      <c r="AP177" t="s">
        <v>641</v>
      </c>
      <c r="AQ177" s="261" t="s">
        <v>633</v>
      </c>
      <c r="AR177" s="264" t="s">
        <v>634</v>
      </c>
      <c r="AS177" s="264" t="s">
        <v>639</v>
      </c>
      <c r="AT177" s="264" t="s">
        <v>640</v>
      </c>
      <c r="AV177" s="268" t="s">
        <v>2369</v>
      </c>
      <c r="AW177" s="268" t="s">
        <v>2370</v>
      </c>
      <c r="AX177" s="268" t="s">
        <v>2371</v>
      </c>
      <c r="AY177" t="s">
        <v>642</v>
      </c>
      <c r="AZ177" s="261" t="s">
        <v>633</v>
      </c>
      <c r="BA177" s="264" t="s">
        <v>634</v>
      </c>
      <c r="BB177" s="264" t="s">
        <v>639</v>
      </c>
      <c r="BC177" s="264" t="s">
        <v>640</v>
      </c>
    </row>
    <row r="178" spans="17:51" ht="12.75">
      <c r="Q178">
        <v>1</v>
      </c>
      <c r="R178">
        <f t="shared" si="1" ref="R178:R209">$Q$178</f>
        <v>1</v>
      </c>
      <c r="S178" s="318" t="e">
        <f t="shared" si="2" ref="S178:S241">IF($B$38="P",Y178,IF($B$38="Z",IF(Z178&lt;&gt;"",Z178,""),IF($B$38="M",IF(AA178&lt;&gt;"",AA178,""),Y178)))</f>
        <v>#REF!</v>
      </c>
      <c r="T178" s="392" t="e">
        <f>IF($B$38="P",IF(#REF!&lt;&gt;"",#REF!,""),IF($B$38="Z",IF(#REF!&lt;&gt;"",#REF!,""),IF($B$38="M",IF(#REF!&lt;&gt;"",#REF!,""),"")))</f>
        <v>#REF!</v>
      </c>
      <c r="U178" s="392" t="e">
        <f>IF($B$38="P",IF(#REF!&lt;&gt;"",ABS(#REF!),""),IF($B$38="Z",IF(#REF!&lt;&gt;"",ABS(#REF!),""),IF($B$38="M",IF(#REF!&lt;&gt;"",ABS(#REF!),""),"")))</f>
        <v>#REF!</v>
      </c>
      <c r="V178" s="392" t="e">
        <f>IF($B$38="P",IF(#REF!&lt;&gt;"",#REF!,""),IF($B$38="Z",IF(#REF!&lt;&gt;"",#REF!,""),IF($B$38="M",IF(#REF!&lt;&gt;"",#REF!,""),"")))</f>
        <v>#REF!</v>
      </c>
      <c r="W178" s="392" t="e">
        <f>IF($B$38="P",IF(#REF!&lt;&gt;"",#REF!,""),IF($B$38="Z",IF(#REF!&lt;&gt;"",#REF!,""),IF($B$38="M",IF(#REF!&lt;&gt;"",#REF!,""),"")))</f>
        <v>#REF!</v>
      </c>
      <c r="Y178">
        <v>1</v>
      </c>
      <c r="Z178">
        <v>1</v>
      </c>
      <c r="AA178">
        <v>1</v>
      </c>
      <c r="AB178">
        <f t="shared" si="3" ref="AB178:AB209">$AB$176</f>
        <v>1</v>
      </c>
      <c r="AC178" s="318" t="e">
        <f>IF($B$38="P",AG178,IF(AH178&lt;&gt;"",AH178,""))</f>
        <v>#REF!</v>
      </c>
      <c r="AD178" s="392" t="e">
        <f>IF($B$38="P",IF(#REF!&lt;&gt;"",#REF!,""),IF(#REF!&lt;&gt;"",#REF!,""))</f>
        <v>#REF!</v>
      </c>
      <c r="AE178" s="392" t="e">
        <f>IF($B$38="P",IF(#REF!&lt;&gt;"",#REF!,""),IF(#REF!&lt;&gt;"",#REF!,""))</f>
        <v>#REF!</v>
      </c>
      <c r="AG178">
        <v>1</v>
      </c>
      <c r="AH178">
        <v>1</v>
      </c>
      <c r="AI178">
        <v>1</v>
      </c>
      <c r="AP178">
        <v>1</v>
      </c>
      <c r="AQ178">
        <f t="shared" si="4" ref="AQ178:AQ209">$AP$178</f>
        <v>1</v>
      </c>
      <c r="AR178" s="318" t="e">
        <f t="shared" si="5" ref="AR178:AR241">IF($B$38="P",AV178,IF($B$38="Z",IF(AW178&lt;&gt;"",AW178,""),IF($B$38="M",IF(AX178&lt;&gt;"",AX178,""),AV178)))</f>
        <v>#REF!</v>
      </c>
      <c r="AS178" s="392" t="e">
        <f>IF($B$38="P",IF(#REF!&lt;&gt;"",#REF!,""),IF($B$38="Z",IF(#REF!&lt;&gt;"",#REF!,""),IF($B$38="M",IF(#REF!&lt;&gt;"",#REF!,""),"")))</f>
        <v>#REF!</v>
      </c>
      <c r="AT178" s="392" t="e">
        <f>IF($B$38="P",IF(#REF!&lt;&gt;"",#REF!,""),IF($B$38="Z",IF(#REF!&lt;&gt;"",#REF!,""),IF($B$38="M",IF(#REF!&lt;&gt;"",#REF!,""),"")))</f>
        <v>#REF!</v>
      </c>
      <c r="AV178">
        <v>1</v>
      </c>
      <c r="AW178">
        <v>1</v>
      </c>
      <c r="AX178">
        <v>1</v>
      </c>
      <c r="AY178">
        <v>1</v>
      </c>
    </row>
    <row r="179" spans="18:50" ht="12.75">
      <c r="R179">
        <f t="shared" si="1"/>
        <v>1</v>
      </c>
      <c r="S179" s="318" t="e">
        <f t="shared" si="2"/>
        <v>#REF!</v>
      </c>
      <c r="T179" s="392" t="e">
        <f>IF($B$38="P",IF(#REF!&lt;&gt;"",#REF!,""),IF($B$38="Z",IF(#REF!&lt;&gt;"",#REF!,""),IF($B$38="M",IF(#REF!&lt;&gt;"",#REF!,""),"")))</f>
        <v>#REF!</v>
      </c>
      <c r="U179" s="392" t="e">
        <f>IF($B$38="P",IF(#REF!&lt;&gt;"",ABS(#REF!),""),IF($B$38="Z",IF(#REF!&lt;&gt;"",ABS(#REF!),""),IF($B$38="M",IF(#REF!&lt;&gt;"",ABS(#REF!),""),"")))</f>
        <v>#REF!</v>
      </c>
      <c r="V179" s="392" t="e">
        <f>IF($B$38="P",IF(#REF!&lt;&gt;"",#REF!,""),IF($B$38="Z",IF(#REF!&lt;&gt;"",#REF!,""),IF($B$38="M",IF(#REF!&lt;&gt;"",#REF!,""),"")))</f>
        <v>#REF!</v>
      </c>
      <c r="W179" s="392" t="e">
        <f>IF($B$38="P",IF(#REF!&lt;&gt;"",#REF!,""),IF($B$38="Z",IF(#REF!&lt;&gt;"",#REF!,""),IF($B$38="M",IF(#REF!&lt;&gt;"",#REF!,""),"")))</f>
        <v>#REF!</v>
      </c>
      <c r="Y179">
        <v>2</v>
      </c>
      <c r="Z179">
        <v>2</v>
      </c>
      <c r="AA179">
        <v>2</v>
      </c>
      <c r="AB179">
        <f t="shared" si="3"/>
        <v>1</v>
      </c>
      <c r="AC179" s="318" t="e">
        <f t="shared" si="6" ref="AC179:AC233">IF($B$38="P",AG179,IF(AH179&lt;&gt;"",AH179,""))</f>
        <v>#REF!</v>
      </c>
      <c r="AD179" s="392" t="e">
        <f>IF($B$38="P",IF(#REF!&lt;&gt;"",#REF!,""),IF(#REF!&lt;&gt;"",#REF!,""))</f>
        <v>#REF!</v>
      </c>
      <c r="AE179" s="392" t="e">
        <f>IF($B$38="P",IF(#REF!&lt;&gt;"",#REF!,""),IF(#REF!&lt;&gt;"",#REF!,""))</f>
        <v>#REF!</v>
      </c>
      <c r="AG179">
        <v>2</v>
      </c>
      <c r="AH179">
        <v>2</v>
      </c>
      <c r="AQ179">
        <f t="shared" si="4"/>
        <v>1</v>
      </c>
      <c r="AR179" s="318" t="e">
        <f t="shared" si="5"/>
        <v>#REF!</v>
      </c>
      <c r="AS179" s="392" t="e">
        <f>IF($B$38="P",IF(#REF!&lt;&gt;"",#REF!,""),IF($B$38="Z",IF(#REF!&lt;&gt;"",#REF!,""),IF($B$38="M",IF(#REF!&lt;&gt;"",#REF!,""),"")))</f>
        <v>#REF!</v>
      </c>
      <c r="AT179" s="392" t="e">
        <f>IF($B$38="P",IF(#REF!&lt;&gt;"",#REF!,""),IF($B$38="Z",IF(#REF!&lt;&gt;"",#REF!,""),IF($B$38="M",IF(#REF!&lt;&gt;"",#REF!,""),"")))</f>
        <v>#REF!</v>
      </c>
      <c r="AV179">
        <v>2</v>
      </c>
      <c r="AW179">
        <v>2</v>
      </c>
      <c r="AX179">
        <v>2</v>
      </c>
    </row>
    <row r="180" spans="18:50" ht="12.75">
      <c r="R180" s="268">
        <f t="shared" si="1"/>
        <v>1</v>
      </c>
      <c r="S180" s="318" t="e">
        <f t="shared" si="2"/>
        <v>#REF!</v>
      </c>
      <c r="T180" s="392" t="e">
        <f>IF($B$38="P",IF(#REF!&lt;&gt;"",#REF!,""),IF($B$38="Z",IF(#REF!&lt;&gt;"",#REF!,""),IF($B$38="M",IF(#REF!&lt;&gt;"",#REF!,""),"")))</f>
        <v>#REF!</v>
      </c>
      <c r="U180" s="392" t="e">
        <f>IF($B$38="P",IF(#REF!&lt;&gt;"",ABS(#REF!),""),IF($B$38="Z",IF(#REF!&lt;&gt;"",ABS(#REF!),""),IF($B$38="M",IF(#REF!&lt;&gt;"",ABS(#REF!),""),"")))</f>
        <v>#REF!</v>
      </c>
      <c r="V180" s="392" t="e">
        <f>IF($B$38="P",IF(#REF!&lt;&gt;"",#REF!,""),IF($B$38="Z",IF(#REF!&lt;&gt;"",#REF!,""),IF($B$38="M",IF(#REF!&lt;&gt;"",#REF!,""),"")))</f>
        <v>#REF!</v>
      </c>
      <c r="W180" s="392" t="e">
        <f>IF($B$38="P",IF(#REF!&lt;&gt;"",#REF!,""),IF($B$38="Z",IF(#REF!&lt;&gt;"",#REF!,""),IF($B$38="M",IF(#REF!&lt;&gt;"",#REF!,""),"")))</f>
        <v>#REF!</v>
      </c>
      <c r="Y180">
        <v>3</v>
      </c>
      <c r="Z180">
        <v>3</v>
      </c>
      <c r="AA180">
        <v>3</v>
      </c>
      <c r="AB180">
        <f t="shared" si="3"/>
        <v>1</v>
      </c>
      <c r="AC180" s="318" t="e">
        <f t="shared" si="6"/>
        <v>#REF!</v>
      </c>
      <c r="AD180" s="392" t="e">
        <f>IF($B$38="P",IF(#REF!&lt;&gt;"",#REF!,""),IF(#REF!&lt;&gt;"",#REF!,""))</f>
        <v>#REF!</v>
      </c>
      <c r="AE180" s="392" t="e">
        <f>IF($B$38="P",IF(#REF!&lt;&gt;"",#REF!,""),IF(#REF!&lt;&gt;"",#REF!,""))</f>
        <v>#REF!</v>
      </c>
      <c r="AG180">
        <v>3</v>
      </c>
      <c r="AH180">
        <v>3</v>
      </c>
      <c r="AQ180">
        <f t="shared" si="4"/>
        <v>1</v>
      </c>
      <c r="AR180" s="318" t="e">
        <f t="shared" si="5"/>
        <v>#REF!</v>
      </c>
      <c r="AS180" s="392" t="e">
        <f>IF($B$38="P",IF(#REF!&lt;&gt;"",#REF!,""),IF($B$38="Z",IF(#REF!&lt;&gt;"",#REF!,""),IF($B$38="M",IF(#REF!&lt;&gt;"",#REF!,""),"")))</f>
        <v>#REF!</v>
      </c>
      <c r="AT180" s="392" t="e">
        <f>IF($B$38="P",IF(#REF!&lt;&gt;"",#REF!,""),IF($B$38="Z",IF(#REF!&lt;&gt;"",#REF!,""),IF($B$38="M",IF(#REF!&lt;&gt;"",#REF!,""),"")))</f>
        <v>#REF!</v>
      </c>
      <c r="AV180">
        <v>3</v>
      </c>
      <c r="AW180">
        <v>3</v>
      </c>
      <c r="AX180">
        <v>24</v>
      </c>
    </row>
    <row r="181" spans="18:50" ht="12.75">
      <c r="R181">
        <f t="shared" si="1"/>
        <v>1</v>
      </c>
      <c r="S181" s="318" t="e">
        <f t="shared" si="2"/>
        <v>#REF!</v>
      </c>
      <c r="T181" s="392" t="e">
        <f>IF($B$38="P",IF(#REF!&lt;&gt;"",#REF!,""),IF($B$38="Z",IF(#REF!&lt;&gt;"",#REF!,""),IF($B$38="M",IF(#REF!&lt;&gt;"",#REF!,""),"")))</f>
        <v>#REF!</v>
      </c>
      <c r="U181" s="392" t="e">
        <f>IF($B$38="P",IF(#REF!&lt;&gt;"",ABS(#REF!),""),IF($B$38="Z",IF(#REF!&lt;&gt;"",ABS(#REF!),""),IF($B$38="M",IF(#REF!&lt;&gt;"",ABS(#REF!),""),"")))</f>
        <v>#REF!</v>
      </c>
      <c r="V181" s="392" t="e">
        <f>IF($B$38="P",IF(#REF!&lt;&gt;"",#REF!,""),IF($B$38="Z",IF(#REF!&lt;&gt;"",#REF!,""),IF($B$38="M",IF(#REF!&lt;&gt;"",#REF!,""),"")))</f>
        <v>#REF!</v>
      </c>
      <c r="W181" s="392" t="e">
        <f>IF($B$38="P",IF(#REF!&lt;&gt;"",#REF!,""),IF($B$38="Z",IF(#REF!&lt;&gt;"",#REF!,""),IF($B$38="M",IF(#REF!&lt;&gt;"",#REF!,""),"")))</f>
        <v>#REF!</v>
      </c>
      <c r="Y181">
        <v>4</v>
      </c>
      <c r="Z181">
        <v>4</v>
      </c>
      <c r="AA181">
        <v>37</v>
      </c>
      <c r="AB181">
        <f t="shared" si="3"/>
        <v>1</v>
      </c>
      <c r="AC181" s="318" t="e">
        <f t="shared" si="6"/>
        <v>#REF!</v>
      </c>
      <c r="AD181" s="392" t="e">
        <f>IF($B$38="P",IF(#REF!&lt;&gt;"",#REF!,""),IF(#REF!&lt;&gt;"",#REF!,""))</f>
        <v>#REF!</v>
      </c>
      <c r="AE181" s="392" t="e">
        <f>IF($B$38="P",IF(#REF!&lt;&gt;"",#REF!,""),IF(#REF!&lt;&gt;"",#REF!,""))</f>
        <v>#REF!</v>
      </c>
      <c r="AG181">
        <v>4</v>
      </c>
      <c r="AH181">
        <v>7</v>
      </c>
      <c r="AQ181">
        <f t="shared" si="4"/>
        <v>1</v>
      </c>
      <c r="AR181" s="318" t="e">
        <f t="shared" si="5"/>
        <v>#REF!</v>
      </c>
      <c r="AS181" s="392" t="e">
        <f>IF($B$38="P",IF(#REF!&lt;&gt;"",#REF!,""),IF($B$38="Z",IF(#REF!&lt;&gt;"",#REF!,""),IF($B$38="M",IF(#REF!&lt;&gt;"",#REF!,""),"")))</f>
        <v>#REF!</v>
      </c>
      <c r="AT181" s="392" t="e">
        <f>IF($B$38="P",IF(#REF!&lt;&gt;"",#REF!,""),IF($B$38="Z",IF(#REF!&lt;&gt;"",#REF!,""),IF($B$38="M",IF(#REF!&lt;&gt;"",#REF!,""),"")))</f>
        <v>#REF!</v>
      </c>
      <c r="AV181">
        <v>4</v>
      </c>
      <c r="AW181">
        <v>7</v>
      </c>
      <c r="AX181">
        <v>25</v>
      </c>
    </row>
    <row r="182" spans="18:50" ht="12.75">
      <c r="R182">
        <f t="shared" si="1"/>
        <v>1</v>
      </c>
      <c r="S182" s="318" t="e">
        <f t="shared" si="2"/>
        <v>#REF!</v>
      </c>
      <c r="T182" s="392" t="e">
        <f>IF($B$38="P",IF(#REF!&lt;&gt;"",#REF!,""),IF($B$38="Z",IF(#REF!&lt;&gt;"",#REF!,""),IF($B$38="M",IF(#REF!&lt;&gt;"",#REF!,""),"")))</f>
        <v>#REF!</v>
      </c>
      <c r="U182" s="392" t="e">
        <f>IF($B$38="P",IF(#REF!&lt;&gt;"",ABS(#REF!),""),IF($B$38="Z",IF(#REF!&lt;&gt;"",ABS(#REF!),""),IF($B$38="M",IF(#REF!&lt;&gt;"",ABS(#REF!),""),"")))</f>
        <v>#REF!</v>
      </c>
      <c r="V182" s="392" t="e">
        <f>IF($B$38="P",IF(#REF!&lt;&gt;"",#REF!,""),IF($B$38="Z",IF(#REF!&lt;&gt;"",#REF!,""),IF($B$38="M",IF(#REF!&lt;&gt;"",#REF!,""),"")))</f>
        <v>#REF!</v>
      </c>
      <c r="W182" s="392" t="e">
        <f>IF($B$38="P",IF(#REF!&lt;&gt;"",#REF!,""),IF($B$38="Z",IF(#REF!&lt;&gt;"",#REF!,""),IF($B$38="M",IF(#REF!&lt;&gt;"",#REF!,""),"")))</f>
        <v>#REF!</v>
      </c>
      <c r="Y182">
        <v>5</v>
      </c>
      <c r="Z182">
        <v>14</v>
      </c>
      <c r="AA182">
        <v>74</v>
      </c>
      <c r="AB182">
        <f t="shared" si="3"/>
        <v>1</v>
      </c>
      <c r="AC182" s="318" t="e">
        <f t="shared" si="6"/>
        <v>#REF!</v>
      </c>
      <c r="AD182" s="392" t="e">
        <f>IF($B$38="P",IF(#REF!&lt;&gt;"",#REF!,""),IF(#REF!&lt;&gt;"",#REF!,""))</f>
        <v>#REF!</v>
      </c>
      <c r="AE182" s="392" t="e">
        <f>IF($B$38="P",IF(#REF!&lt;&gt;"",#REF!,""),IF(#REF!&lt;&gt;"",#REF!,""))</f>
        <v>#REF!</v>
      </c>
      <c r="AG182">
        <v>5</v>
      </c>
      <c r="AH182">
        <v>8</v>
      </c>
      <c r="AQ182">
        <f t="shared" si="4"/>
        <v>1</v>
      </c>
      <c r="AR182" s="318" t="e">
        <f t="shared" si="5"/>
        <v>#REF!</v>
      </c>
      <c r="AS182" s="392" t="e">
        <f>IF($B$38="P",IF(#REF!&lt;&gt;"",#REF!,""),IF($B$38="Z",IF(#REF!&lt;&gt;"",#REF!,""),IF($B$38="M",IF(#REF!&lt;&gt;"",#REF!,""),"")))</f>
        <v>#REF!</v>
      </c>
      <c r="AT182" s="392" t="e">
        <f>IF($B$38="P",IF(#REF!&lt;&gt;"",#REF!,""),IF($B$38="Z",IF(#REF!&lt;&gt;"",#REF!,""),IF($B$38="M",IF(#REF!&lt;&gt;"",#REF!,""),"")))</f>
        <v>#REF!</v>
      </c>
      <c r="AV182">
        <v>5</v>
      </c>
      <c r="AW182">
        <v>15</v>
      </c>
      <c r="AX182">
        <v>30</v>
      </c>
    </row>
    <row r="183" spans="18:50" ht="12.75">
      <c r="R183">
        <f t="shared" si="1"/>
        <v>1</v>
      </c>
      <c r="S183" s="318" t="e">
        <f t="shared" si="2"/>
        <v>#REF!</v>
      </c>
      <c r="T183" s="392" t="e">
        <f>IF($B$38="P",IF(#REF!&lt;&gt;"",#REF!,""),IF($B$38="Z",IF(#REF!&lt;&gt;"",#REF!,""),""))</f>
        <v>#REF!</v>
      </c>
      <c r="U183" s="392" t="e">
        <f>IF($B$38="P",IF(#REF!&lt;&gt;"",ABS(#REF!),""),IF($B$38="Z",IF(#REF!&lt;&gt;"",ABS(#REF!),""),""))</f>
        <v>#REF!</v>
      </c>
      <c r="V183" s="392" t="e">
        <f>IF($B$38="P",IF(#REF!&lt;&gt;"",#REF!,""),IF($B$38="Z",IF(#REF!&lt;&gt;"",#REF!,""),""))</f>
        <v>#REF!</v>
      </c>
      <c r="W183" s="392" t="e">
        <f>IF($B$38="P",IF(#REF!&lt;&gt;"",#REF!,""),IF($B$38="Z",IF(#REF!&lt;&gt;"",#REF!,""),""))</f>
        <v>#REF!</v>
      </c>
      <c r="Y183">
        <v>6</v>
      </c>
      <c r="Z183">
        <v>27</v>
      </c>
      <c r="AB183">
        <f t="shared" si="3"/>
        <v>1</v>
      </c>
      <c r="AC183" s="318" t="e">
        <f t="shared" si="6"/>
        <v>#REF!</v>
      </c>
      <c r="AD183" s="392" t="e">
        <f>IF($B$38="P",IF(#REF!&lt;&gt;"",#REF!,""),IF(#REF!&lt;&gt;"",#REF!,""))</f>
        <v>#REF!</v>
      </c>
      <c r="AE183" s="392" t="e">
        <f>IF($B$38="P",IF(#REF!&lt;&gt;"",#REF!,""),IF(#REF!&lt;&gt;"",#REF!,""))</f>
        <v>#REF!</v>
      </c>
      <c r="AG183">
        <v>6</v>
      </c>
      <c r="AH183">
        <v>9</v>
      </c>
      <c r="AQ183">
        <f t="shared" si="4"/>
        <v>1</v>
      </c>
      <c r="AR183" s="318" t="e">
        <f t="shared" si="5"/>
        <v>#REF!</v>
      </c>
      <c r="AS183" s="392" t="e">
        <f>IF($B$38="P",IF(#REF!&lt;&gt;"",#REF!,""),IF($B$38="Z",IF(#REF!&lt;&gt;"",#REF!,""),IF($B$38="M",IF(#REF!&lt;&gt;"",#REF!,""),"")))</f>
        <v>#REF!</v>
      </c>
      <c r="AT183" s="392" t="e">
        <f>IF($B$38="P",IF(#REF!&lt;&gt;"",#REF!,""),IF($B$38="Z",IF(#REF!&lt;&gt;"",#REF!,""),IF($B$38="M",IF(#REF!&lt;&gt;"",#REF!,""),"")))</f>
        <v>#REF!</v>
      </c>
      <c r="AV183">
        <v>6</v>
      </c>
      <c r="AW183">
        <v>18</v>
      </c>
      <c r="AX183">
        <v>64</v>
      </c>
    </row>
    <row r="184" spans="18:49" ht="12.75">
      <c r="R184">
        <f t="shared" si="1"/>
        <v>1</v>
      </c>
      <c r="S184" s="318" t="e">
        <f t="shared" si="2"/>
        <v>#REF!</v>
      </c>
      <c r="T184" s="392" t="e">
        <f>IF($B$38="P",IF(#REF!&lt;&gt;"",#REF!,""),IF($B$38="Z",IF(#REF!&lt;&gt;"",#REF!,""),""))</f>
        <v>#REF!</v>
      </c>
      <c r="U184" s="392" t="e">
        <f>IF($B$38="P",IF(#REF!&lt;&gt;"",ABS(#REF!),""),IF($B$38="Z",IF(#REF!&lt;&gt;"",ABS(#REF!),""),""))</f>
        <v>#REF!</v>
      </c>
      <c r="V184" s="392" t="e">
        <f>IF($B$38="P",IF(#REF!&lt;&gt;"",#REF!,""),IF($B$38="Z",IF(#REF!&lt;&gt;"",#REF!,""),""))</f>
        <v>#REF!</v>
      </c>
      <c r="W184" s="392" t="e">
        <f>IF($B$38="P",IF(#REF!&lt;&gt;"",#REF!,""),IF($B$38="Z",IF(#REF!&lt;&gt;"",#REF!,""),""))</f>
        <v>#REF!</v>
      </c>
      <c r="Y184">
        <v>7</v>
      </c>
      <c r="Z184">
        <v>37</v>
      </c>
      <c r="AB184">
        <f t="shared" si="3"/>
        <v>1</v>
      </c>
      <c r="AC184" s="318" t="e">
        <f t="shared" si="6"/>
        <v>#REF!</v>
      </c>
      <c r="AD184" s="392" t="e">
        <f>IF($B$38="P",IF(#REF!&lt;&gt;"",#REF!,""),IF(#REF!&lt;&gt;"",#REF!,""))</f>
        <v>#REF!</v>
      </c>
      <c r="AE184" s="392" t="e">
        <f>IF($B$38="P",IF(#REF!&lt;&gt;"",#REF!,""),IF(#REF!&lt;&gt;"",#REF!,""))</f>
        <v>#REF!</v>
      </c>
      <c r="AG184">
        <v>7</v>
      </c>
      <c r="AH184">
        <v>14</v>
      </c>
      <c r="AQ184">
        <f t="shared" si="4"/>
        <v>1</v>
      </c>
      <c r="AR184" s="318" t="e">
        <f t="shared" si="5"/>
        <v>#REF!</v>
      </c>
      <c r="AS184" s="392" t="e">
        <f>IF($B$38="P",IF(#REF!&lt;&gt;"",#REF!,""),IF($B$38="Z",IF(#REF!&lt;&gt;"",#REF!,""),""))</f>
        <v>#REF!</v>
      </c>
      <c r="AT184" s="392" t="e">
        <f>IF($B$38="P",IF(#REF!&lt;&gt;"",#REF!,""),IF($B$38="Z",IF(#REF!&lt;&gt;"",#REF!,""),""))</f>
        <v>#REF!</v>
      </c>
      <c r="AV184">
        <v>7</v>
      </c>
      <c r="AW184">
        <v>22</v>
      </c>
    </row>
    <row r="185" spans="18:49" ht="12.75">
      <c r="R185">
        <f t="shared" si="1"/>
        <v>1</v>
      </c>
      <c r="S185" s="318" t="e">
        <f t="shared" si="2"/>
        <v>#REF!</v>
      </c>
      <c r="T185" s="392" t="e">
        <f>IF($B$38="P",IF(#REF!&lt;&gt;"",#REF!,""),IF($B$38="Z",IF(#REF!&lt;&gt;"",#REF!,""),""))</f>
        <v>#REF!</v>
      </c>
      <c r="U185" s="392" t="e">
        <f>IF($B$38="P",IF(#REF!&lt;&gt;"",ABS(#REF!),""),IF($B$38="Z",IF(#REF!&lt;&gt;"",ABS(#REF!),""),""))</f>
        <v>#REF!</v>
      </c>
      <c r="V185" s="392" t="e">
        <f>IF($B$38="P",IF(#REF!&lt;&gt;"",#REF!,""),IF($B$38="Z",IF(#REF!&lt;&gt;"",#REF!,""),""))</f>
        <v>#REF!</v>
      </c>
      <c r="W185" s="392" t="e">
        <f>IF($B$38="P",IF(#REF!&lt;&gt;"",#REF!,""),IF($B$38="Z",IF(#REF!&lt;&gt;"",#REF!,""),""))</f>
        <v>#REF!</v>
      </c>
      <c r="Y185">
        <v>8</v>
      </c>
      <c r="Z185">
        <v>38</v>
      </c>
      <c r="AB185">
        <f t="shared" si="3"/>
        <v>1</v>
      </c>
      <c r="AC185" s="318" t="e">
        <f t="shared" si="6"/>
        <v>#REF!</v>
      </c>
      <c r="AD185" s="392" t="e">
        <f>IF($B$38="P",IF(#REF!&lt;&gt;"",#REF!,""),IF(#REF!&lt;&gt;"",#REF!,""))</f>
        <v>#REF!</v>
      </c>
      <c r="AE185" s="392" t="e">
        <f>IF($B$38="P",IF(#REF!&lt;&gt;"",#REF!,""),IF(#REF!&lt;&gt;"",#REF!,""))</f>
        <v>#REF!</v>
      </c>
      <c r="AG185">
        <v>8</v>
      </c>
      <c r="AH185">
        <v>20</v>
      </c>
      <c r="AQ185">
        <f t="shared" si="4"/>
        <v>1</v>
      </c>
      <c r="AR185" s="318" t="e">
        <f t="shared" si="5"/>
        <v>#REF!</v>
      </c>
      <c r="AS185" s="392" t="e">
        <f>IF($B$38="P",IF(#REF!&lt;&gt;"",#REF!,""),IF($B$38="Z",IF(#REF!&lt;&gt;"",#REF!,""),""))</f>
        <v>#REF!</v>
      </c>
      <c r="AT185" s="392" t="e">
        <f>IF($B$38="P",IF(#REF!&lt;&gt;"",#REF!,""),IF($B$38="Z",IF(#REF!&lt;&gt;"",#REF!,""),""))</f>
        <v>#REF!</v>
      </c>
      <c r="AV185">
        <v>8</v>
      </c>
      <c r="AW185">
        <v>23</v>
      </c>
    </row>
    <row r="186" spans="18:49" ht="12.75">
      <c r="R186">
        <f t="shared" si="1"/>
        <v>1</v>
      </c>
      <c r="S186" s="318" t="e">
        <f t="shared" si="2"/>
        <v>#REF!</v>
      </c>
      <c r="T186" s="392" t="e">
        <f>IF($B$38="P",IF(#REF!&lt;&gt;"",#REF!,""),IF($B$38="Z",IF(#REF!&lt;&gt;"",#REF!,""),""))</f>
        <v>#REF!</v>
      </c>
      <c r="U186" s="392" t="e">
        <f>IF($B$38="P",IF(#REF!&lt;&gt;"",ABS(#REF!),""),IF($B$38="Z",IF(#REF!&lt;&gt;"",ABS(#REF!),""),""))</f>
        <v>#REF!</v>
      </c>
      <c r="V186" s="392" t="e">
        <f>IF($B$38="P",IF(#REF!&lt;&gt;"",#REF!,""),IF($B$38="Z",IF(#REF!&lt;&gt;"",#REF!,""),""))</f>
        <v>#REF!</v>
      </c>
      <c r="W186" s="392" t="e">
        <f>IF($B$38="P",IF(#REF!&lt;&gt;"",#REF!,""),IF($B$38="Z",IF(#REF!&lt;&gt;"",#REF!,""),""))</f>
        <v>#REF!</v>
      </c>
      <c r="Y186">
        <v>9</v>
      </c>
      <c r="Z186">
        <v>46</v>
      </c>
      <c r="AB186">
        <f t="shared" si="3"/>
        <v>1</v>
      </c>
      <c r="AC186" s="318" t="e">
        <f t="shared" si="6"/>
        <v>#REF!</v>
      </c>
      <c r="AD186" s="392" t="e">
        <f>IF($B$38="P",IF(#REF!&lt;&gt;"",#REF!,""),IF(#REF!&lt;&gt;"",#REF!,""))</f>
        <v>#REF!</v>
      </c>
      <c r="AE186" s="392" t="e">
        <f>IF($B$38="P",IF(#REF!&lt;&gt;"",#REF!,""),IF(#REF!&lt;&gt;"",#REF!,""))</f>
        <v>#REF!</v>
      </c>
      <c r="AG186">
        <v>9</v>
      </c>
      <c r="AH186">
        <v>24</v>
      </c>
      <c r="AQ186">
        <f t="shared" si="4"/>
        <v>1</v>
      </c>
      <c r="AR186" s="318" t="e">
        <f t="shared" si="5"/>
        <v>#REF!</v>
      </c>
      <c r="AS186" s="392" t="e">
        <f>IF($B$38="P",IF(#REF!&lt;&gt;"",#REF!,""),IF($B$38="Z",IF(#REF!&lt;&gt;"",#REF!,""),""))</f>
        <v>#REF!</v>
      </c>
      <c r="AT186" s="392" t="e">
        <f>IF($B$38="P",IF(#REF!&lt;&gt;"",#REF!,""),IF($B$38="Z",IF(#REF!&lt;&gt;"",#REF!,""),""))</f>
        <v>#REF!</v>
      </c>
      <c r="AV186">
        <v>9</v>
      </c>
      <c r="AW186">
        <v>24</v>
      </c>
    </row>
    <row r="187" spans="18:49" ht="12.75">
      <c r="R187">
        <f t="shared" si="1"/>
        <v>1</v>
      </c>
      <c r="S187" s="318" t="e">
        <f t="shared" si="2"/>
        <v>#REF!</v>
      </c>
      <c r="T187" s="392" t="e">
        <f>IF($B$38="P",IF(#REF!&lt;&gt;"",#REF!,""),IF($B$38="Z",IF(#REF!&lt;&gt;"",#REF!,""),""))</f>
        <v>#REF!</v>
      </c>
      <c r="U187" s="392" t="e">
        <f>IF($B$38="P",IF(#REF!&lt;&gt;"",ABS(#REF!),""),IF($B$38="Z",IF(#REF!&lt;&gt;"",ABS(#REF!),""),""))</f>
        <v>#REF!</v>
      </c>
      <c r="V187" s="392" t="e">
        <f>IF($B$38="P",IF(#REF!&lt;&gt;"",#REF!,""),IF($B$38="Z",IF(#REF!&lt;&gt;"",#REF!,""),""))</f>
        <v>#REF!</v>
      </c>
      <c r="W187" s="392" t="e">
        <f>IF($B$38="P",IF(#REF!&lt;&gt;"",#REF!,""),IF($B$38="Z",IF(#REF!&lt;&gt;"",#REF!,""),""))</f>
        <v>#REF!</v>
      </c>
      <c r="Y187">
        <v>10</v>
      </c>
      <c r="Z187">
        <v>47</v>
      </c>
      <c r="AB187">
        <f t="shared" si="3"/>
        <v>1</v>
      </c>
      <c r="AC187" s="318" t="e">
        <f t="shared" si="6"/>
        <v>#REF!</v>
      </c>
      <c r="AD187" s="392" t="e">
        <f>IF($B$38="P",IF(#REF!&lt;&gt;"",#REF!,""),IF(#REF!&lt;&gt;"",#REF!,""))</f>
        <v>#REF!</v>
      </c>
      <c r="AE187" s="392" t="e">
        <f>IF($B$38="P",IF(#REF!&lt;&gt;"",#REF!,""),IF(#REF!&lt;&gt;"",#REF!,""))</f>
        <v>#REF!</v>
      </c>
      <c r="AG187">
        <v>10</v>
      </c>
      <c r="AH187">
        <v>30</v>
      </c>
      <c r="AQ187">
        <f t="shared" si="4"/>
        <v>1</v>
      </c>
      <c r="AR187" s="318" t="e">
        <f t="shared" si="5"/>
        <v>#REF!</v>
      </c>
      <c r="AS187" s="392" t="e">
        <f>IF($B$38="P",IF(#REF!&lt;&gt;"",#REF!,""),IF($B$38="Z",IF(#REF!&lt;&gt;"",#REF!,""),""))</f>
        <v>#REF!</v>
      </c>
      <c r="AT187" s="392" t="e">
        <f>IF($B$38="P",IF(#REF!&lt;&gt;"",#REF!,""),IF($B$38="Z",IF(#REF!&lt;&gt;"",#REF!,""),""))</f>
        <v>#REF!</v>
      </c>
      <c r="AV187">
        <v>10</v>
      </c>
      <c r="AW187">
        <v>25</v>
      </c>
    </row>
    <row r="188" spans="18:49" ht="12.75">
      <c r="R188">
        <f t="shared" si="1"/>
        <v>1</v>
      </c>
      <c r="S188" s="318" t="e">
        <f t="shared" si="2"/>
        <v>#REF!</v>
      </c>
      <c r="T188" s="392" t="e">
        <f>IF($B$38="P",IF(#REF!&lt;&gt;"",#REF!,""),IF($B$38="Z",IF(#REF!&lt;&gt;"",#REF!,""),""))</f>
        <v>#REF!</v>
      </c>
      <c r="U188" s="392" t="e">
        <f>IF($B$38="P",IF(#REF!&lt;&gt;"",ABS(#REF!),""),IF($B$38="Z",IF(#REF!&lt;&gt;"",ABS(#REF!),""),""))</f>
        <v>#REF!</v>
      </c>
      <c r="V188" s="392" t="e">
        <f>IF($B$38="P",IF(#REF!&lt;&gt;"",#REF!,""),IF($B$38="Z",IF(#REF!&lt;&gt;"",#REF!,""),""))</f>
        <v>#REF!</v>
      </c>
      <c r="W188" s="392" t="e">
        <f>IF($B$38="P",IF(#REF!&lt;&gt;"",#REF!,""),IF($B$38="Z",IF(#REF!&lt;&gt;"",#REF!,""),""))</f>
        <v>#REF!</v>
      </c>
      <c r="Y188">
        <v>11</v>
      </c>
      <c r="Z188">
        <v>57</v>
      </c>
      <c r="AB188">
        <f t="shared" si="3"/>
        <v>1</v>
      </c>
      <c r="AC188" s="318" t="e">
        <f t="shared" si="6"/>
        <v>#REF!</v>
      </c>
      <c r="AD188" s="392" t="e">
        <f>IF($B$38="P",IF(#REF!&lt;&gt;"",#REF!,""),IF(#REF!&lt;&gt;"",#REF!,""))</f>
        <v>#REF!</v>
      </c>
      <c r="AE188" s="392" t="e">
        <f>IF($B$38="P",IF(#REF!&lt;&gt;"",#REF!,""),IF(#REF!&lt;&gt;"",#REF!,""))</f>
        <v>#REF!</v>
      </c>
      <c r="AG188">
        <v>11</v>
      </c>
      <c r="AH188">
        <v>31</v>
      </c>
      <c r="AQ188">
        <f t="shared" si="4"/>
        <v>1</v>
      </c>
      <c r="AR188" s="318" t="e">
        <f t="shared" si="5"/>
        <v>#REF!</v>
      </c>
      <c r="AS188" s="392" t="e">
        <f>IF($B$38="P",IF(#REF!&lt;&gt;"",#REF!,""),IF($B$38="Z",IF(#REF!&lt;&gt;"",#REF!,""),""))</f>
        <v>#REF!</v>
      </c>
      <c r="AT188" s="392" t="e">
        <f>IF($B$38="P",IF(#REF!&lt;&gt;"",#REF!,""),IF($B$38="Z",IF(#REF!&lt;&gt;"",#REF!,""),""))</f>
        <v>#REF!</v>
      </c>
      <c r="AV188">
        <v>11</v>
      </c>
      <c r="AW188">
        <v>30</v>
      </c>
    </row>
    <row r="189" spans="18:49" ht="12.75">
      <c r="R189">
        <f t="shared" si="1"/>
        <v>1</v>
      </c>
      <c r="S189" s="318" t="e">
        <f t="shared" si="2"/>
        <v>#REF!</v>
      </c>
      <c r="T189" s="392" t="e">
        <f>IF($B$38="P",IF(#REF!&lt;&gt;"",#REF!,""),IF($B$38="Z",IF(#REF!&lt;&gt;"",#REF!,""),""))</f>
        <v>#REF!</v>
      </c>
      <c r="U189" s="392" t="e">
        <f>IF($B$38="P",IF(#REF!&lt;&gt;"",ABS(#REF!),""),IF($B$38="Z",IF(#REF!&lt;&gt;"",ABS(#REF!),""),""))</f>
        <v>#REF!</v>
      </c>
      <c r="V189" s="392" t="e">
        <f>IF($B$38="P",IF(#REF!&lt;&gt;"",#REF!,""),IF($B$38="Z",IF(#REF!&lt;&gt;"",#REF!,""),""))</f>
        <v>#REF!</v>
      </c>
      <c r="W189" s="392" t="e">
        <f>IF($B$38="P",IF(#REF!&lt;&gt;"",#REF!,""),IF($B$38="Z",IF(#REF!&lt;&gt;"",#REF!,""),""))</f>
        <v>#REF!</v>
      </c>
      <c r="Y189">
        <v>12</v>
      </c>
      <c r="Z189">
        <v>68</v>
      </c>
      <c r="AB189">
        <f t="shared" si="3"/>
        <v>1</v>
      </c>
      <c r="AC189" s="318" t="e">
        <f t="shared" si="6"/>
        <v>#REF!</v>
      </c>
      <c r="AD189" s="392" t="e">
        <f>IF($B$38="P",IF(#REF!&lt;&gt;"",#REF!,""),IF(#REF!&lt;&gt;"",#REF!,""))</f>
        <v>#REF!</v>
      </c>
      <c r="AE189" s="392" t="e">
        <f>IF($B$38="P",IF(#REF!&lt;&gt;"",#REF!,""),IF(#REF!&lt;&gt;"",#REF!,""))</f>
        <v>#REF!</v>
      </c>
      <c r="AG189">
        <v>12</v>
      </c>
      <c r="AH189">
        <v>34</v>
      </c>
      <c r="AQ189">
        <f t="shared" si="4"/>
        <v>1</v>
      </c>
      <c r="AR189" s="318" t="e">
        <f t="shared" si="5"/>
        <v>#REF!</v>
      </c>
      <c r="AS189" s="392" t="e">
        <f>IF($B$38="P",IF(#REF!&lt;&gt;"",#REF!,""),IF($B$38="Z",IF(#REF!&lt;&gt;"",#REF!,""),""))</f>
        <v>#REF!</v>
      </c>
      <c r="AT189" s="392" t="e">
        <f>IF($B$38="P",IF(#REF!&lt;&gt;"",#REF!,""),IF($B$38="Z",IF(#REF!&lt;&gt;"",#REF!,""),""))</f>
        <v>#REF!</v>
      </c>
      <c r="AV189">
        <v>12</v>
      </c>
      <c r="AW189">
        <v>31</v>
      </c>
    </row>
    <row r="190" spans="18:49" ht="12.75">
      <c r="R190">
        <f t="shared" si="1"/>
        <v>1</v>
      </c>
      <c r="S190" s="318" t="e">
        <f t="shared" si="2"/>
        <v>#REF!</v>
      </c>
      <c r="T190" s="392" t="e">
        <f>IF($B$38="P",IF(#REF!&lt;&gt;"",#REF!,""),IF($B$38="Z",IF(#REF!&lt;&gt;"",#REF!,""),""))</f>
        <v>#REF!</v>
      </c>
      <c r="U190" s="392" t="e">
        <f>IF($B$38="P",IF(#REF!&lt;&gt;"",ABS(#REF!),""),IF($B$38="Z",IF(#REF!&lt;&gt;"",ABS(#REF!),""),""))</f>
        <v>#REF!</v>
      </c>
      <c r="V190" s="392" t="e">
        <f>IF($B$38="P",IF(#REF!&lt;&gt;"",#REF!,""),IF($B$38="Z",IF(#REF!&lt;&gt;"",#REF!,""),""))</f>
        <v>#REF!</v>
      </c>
      <c r="W190" s="392" t="e">
        <f>IF($B$38="P",IF(#REF!&lt;&gt;"",#REF!,""),IF($B$38="Z",IF(#REF!&lt;&gt;"",#REF!,""),""))</f>
        <v>#REF!</v>
      </c>
      <c r="Y190">
        <v>13</v>
      </c>
      <c r="Z190">
        <v>71</v>
      </c>
      <c r="AB190">
        <f t="shared" si="3"/>
        <v>1</v>
      </c>
      <c r="AC190" s="318" t="e">
        <f t="shared" si="6"/>
        <v>#REF!</v>
      </c>
      <c r="AD190" s="392" t="e">
        <f>IF($B$38="P",IF(#REF!&lt;&gt;"",#REF!,""),IF(#REF!&lt;&gt;"",#REF!,""))</f>
        <v>#REF!</v>
      </c>
      <c r="AE190" s="392" t="e">
        <f>IF($B$38="P",IF(#REF!&lt;&gt;"",#REF!,""),IF(#REF!&lt;&gt;"",#REF!,""))</f>
        <v>#REF!</v>
      </c>
      <c r="AG190">
        <v>13</v>
      </c>
      <c r="AH190">
        <v>35</v>
      </c>
      <c r="AQ190">
        <f t="shared" si="4"/>
        <v>1</v>
      </c>
      <c r="AR190" s="318" t="e">
        <f t="shared" si="5"/>
        <v>#REF!</v>
      </c>
      <c r="AS190" s="392" t="e">
        <f>IF($B$38="P",IF(#REF!&lt;&gt;"",#REF!,""),IF($B$38="Z",IF(#REF!&lt;&gt;"",#REF!,""),""))</f>
        <v>#REF!</v>
      </c>
      <c r="AT190" s="392" t="e">
        <f>IF($B$38="P",IF(#REF!&lt;&gt;"",#REF!,""),IF($B$38="Z",IF(#REF!&lt;&gt;"",#REF!,""),""))</f>
        <v>#REF!</v>
      </c>
      <c r="AV190">
        <v>13</v>
      </c>
      <c r="AW190">
        <v>46</v>
      </c>
    </row>
    <row r="191" spans="18:49" ht="12.75">
      <c r="R191">
        <f t="shared" si="1"/>
        <v>1</v>
      </c>
      <c r="S191" s="318" t="e">
        <f t="shared" si="2"/>
        <v>#REF!</v>
      </c>
      <c r="T191" s="392" t="e">
        <f>IF($B$38="P",IF(#REF!&lt;&gt;"",#REF!,""),IF($B$38="Z",IF(#REF!&lt;&gt;"",#REF!,""),""))</f>
        <v>#REF!</v>
      </c>
      <c r="U191" s="392" t="e">
        <f>IF($B$38="P",IF(#REF!&lt;&gt;"",ABS(#REF!),""),IF($B$38="Z",IF(#REF!&lt;&gt;"",ABS(#REF!),""),""))</f>
        <v>#REF!</v>
      </c>
      <c r="V191" s="392" t="e">
        <f>IF($B$38="P",IF(#REF!&lt;&gt;"",#REF!,""),IF($B$38="Z",IF(#REF!&lt;&gt;"",#REF!,""),""))</f>
        <v>#REF!</v>
      </c>
      <c r="W191" s="392" t="e">
        <f>IF($B$38="P",IF(#REF!&lt;&gt;"",#REF!,""),IF($B$38="Z",IF(#REF!&lt;&gt;"",#REF!,""),""))</f>
        <v>#REF!</v>
      </c>
      <c r="Y191">
        <v>14</v>
      </c>
      <c r="Z191">
        <v>74</v>
      </c>
      <c r="AB191">
        <f t="shared" si="3"/>
        <v>1</v>
      </c>
      <c r="AC191" s="318" t="e">
        <f t="shared" si="6"/>
        <v>#REF!</v>
      </c>
      <c r="AD191" s="392" t="e">
        <f>IF($B$38="P",IF(#REF!&lt;&gt;"",#REF!,""),IF(#REF!&lt;&gt;"",#REF!,""))</f>
        <v>#REF!</v>
      </c>
      <c r="AE191" s="392" t="e">
        <f>IF($B$38="P",IF(#REF!&lt;&gt;"",#REF!,""),IF(#REF!&lt;&gt;"",#REF!,""))</f>
        <v>#REF!</v>
      </c>
      <c r="AG191">
        <v>14</v>
      </c>
      <c r="AH191">
        <v>38</v>
      </c>
      <c r="AQ191">
        <f t="shared" si="4"/>
        <v>1</v>
      </c>
      <c r="AR191" s="318" t="e">
        <f t="shared" si="5"/>
        <v>#REF!</v>
      </c>
      <c r="AS191" s="392" t="e">
        <f>IF($B$38="P",IF(#REF!&lt;&gt;"",#REF!,""),IF($B$38="Z",IF(#REF!&lt;&gt;"",#REF!,""),""))</f>
        <v>#REF!</v>
      </c>
      <c r="AT191" s="392" t="e">
        <f>IF($B$38="P",IF(#REF!&lt;&gt;"",#REF!,""),IF($B$38="Z",IF(#REF!&lt;&gt;"",#REF!,""),""))</f>
        <v>#REF!</v>
      </c>
      <c r="AV191">
        <v>14</v>
      </c>
      <c r="AW191">
        <v>64</v>
      </c>
    </row>
    <row r="192" spans="18:49" ht="12.75">
      <c r="R192">
        <f t="shared" si="1"/>
        <v>1</v>
      </c>
      <c r="S192" s="318" t="e">
        <f t="shared" si="2"/>
        <v>#REF!</v>
      </c>
      <c r="T192" s="392" t="e">
        <f>IF($B$38="P",IF(#REF!&lt;&gt;"",#REF!,""),"")</f>
        <v>#REF!</v>
      </c>
      <c r="U192" s="392" t="e">
        <f>IF($B$38="P",IF(#REF!&lt;&gt;"",ABS(#REF!),""),"")</f>
        <v>#REF!</v>
      </c>
      <c r="V192" s="392" t="e">
        <f>IF($B$38="P",IF(#REF!&lt;&gt;"",#REF!,""),"")</f>
        <v>#REF!</v>
      </c>
      <c r="W192" s="392" t="e">
        <f>IF($B$38="P",IF(#REF!&lt;&gt;"",#REF!,""),"")</f>
        <v>#REF!</v>
      </c>
      <c r="Y192">
        <v>15</v>
      </c>
      <c r="AB192">
        <f t="shared" si="3"/>
        <v>1</v>
      </c>
      <c r="AC192" s="318" t="e">
        <f t="shared" si="6"/>
        <v>#REF!</v>
      </c>
      <c r="AD192" s="392" t="e">
        <f>IF($B$38="P",IF(#REF!&lt;&gt;"",#REF!,""),IF(#REF!&lt;&gt;"",#REF!,""))</f>
        <v>#REF!</v>
      </c>
      <c r="AE192" s="392" t="e">
        <f>IF($B$38="P",IF(#REF!&lt;&gt;"",#REF!,""),IF(#REF!&lt;&gt;"",#REF!,""))</f>
        <v>#REF!</v>
      </c>
      <c r="AG192">
        <v>15</v>
      </c>
      <c r="AH192">
        <v>39</v>
      </c>
      <c r="AQ192">
        <f t="shared" si="4"/>
        <v>1</v>
      </c>
      <c r="AR192" s="318" t="e">
        <f t="shared" si="5"/>
        <v>#REF!</v>
      </c>
      <c r="AS192" s="392" t="e">
        <f>IF($B$38="P",IF(#REF!&lt;&gt;"",#REF!,""),"")</f>
        <v>#REF!</v>
      </c>
      <c r="AT192" s="392" t="e">
        <f>IF($B$38="P",IF(#REF!&lt;&gt;"",#REF!,""),"")</f>
        <v>#REF!</v>
      </c>
      <c r="AV192">
        <v>15</v>
      </c>
      <c r="AW192" s="321"/>
    </row>
    <row r="193" spans="18:49" ht="12.75">
      <c r="R193">
        <f t="shared" si="1"/>
        <v>1</v>
      </c>
      <c r="S193" s="318" t="e">
        <f t="shared" si="2"/>
        <v>#REF!</v>
      </c>
      <c r="T193" s="392" t="e">
        <f>IF($B$38="P",IF(#REF!&lt;&gt;"",#REF!,""),"")</f>
        <v>#REF!</v>
      </c>
      <c r="U193" s="392" t="e">
        <f>IF($B$38="P",IF(#REF!&lt;&gt;"",ABS(#REF!),""),"")</f>
        <v>#REF!</v>
      </c>
      <c r="V193" s="392" t="e">
        <f>IF($B$38="P",IF(#REF!&lt;&gt;"",#REF!,""),"")</f>
        <v>#REF!</v>
      </c>
      <c r="W193" s="392" t="e">
        <f>IF($B$38="P",IF(#REF!&lt;&gt;"",#REF!,""),"")</f>
        <v>#REF!</v>
      </c>
      <c r="Y193">
        <v>16</v>
      </c>
      <c r="AB193">
        <f t="shared" si="3"/>
        <v>1</v>
      </c>
      <c r="AC193" s="318" t="e">
        <f t="shared" si="6"/>
        <v>#REF!</v>
      </c>
      <c r="AD193" s="392" t="e">
        <f>IF($B$38="P",IF(#REF!&lt;&gt;"",#REF!,""),IF(#REF!&lt;&gt;"",#REF!,""))</f>
        <v>#REF!</v>
      </c>
      <c r="AE193" s="392" t="e">
        <f>IF($B$38="P",IF(#REF!&lt;&gt;"",#REF!,""),IF(#REF!&lt;&gt;"",#REF!,""))</f>
        <v>#REF!</v>
      </c>
      <c r="AG193">
        <v>16</v>
      </c>
      <c r="AH193">
        <v>42</v>
      </c>
      <c r="AQ193">
        <f t="shared" si="4"/>
        <v>1</v>
      </c>
      <c r="AR193" s="318" t="e">
        <f t="shared" si="5"/>
        <v>#REF!</v>
      </c>
      <c r="AS193" s="392" t="e">
        <f>IF($B$38="P",IF(#REF!&lt;&gt;"",#REF!,""),"")</f>
        <v>#REF!</v>
      </c>
      <c r="AT193" s="392" t="e">
        <f>IF($B$38="P",IF(#REF!&lt;&gt;"",#REF!,""),"")</f>
        <v>#REF!</v>
      </c>
      <c r="AV193">
        <v>16</v>
      </c>
      <c r="AW193" s="321"/>
    </row>
    <row r="194" spans="18:49" ht="12.75">
      <c r="R194">
        <f t="shared" si="1"/>
        <v>1</v>
      </c>
      <c r="S194" s="318" t="e">
        <f t="shared" si="2"/>
        <v>#REF!</v>
      </c>
      <c r="T194" s="392" t="e">
        <f>IF($B$38="P",IF(#REF!&lt;&gt;"",#REF!,""),"")</f>
        <v>#REF!</v>
      </c>
      <c r="U194" s="392" t="e">
        <f>IF($B$38="P",IF(#REF!&lt;&gt;"",ABS(#REF!),""),"")</f>
        <v>#REF!</v>
      </c>
      <c r="V194" s="392" t="e">
        <f>IF($B$38="P",IF(#REF!&lt;&gt;"",#REF!,""),"")</f>
        <v>#REF!</v>
      </c>
      <c r="W194" s="392" t="e">
        <f>IF($B$38="P",IF(#REF!&lt;&gt;"",#REF!,""),"")</f>
        <v>#REF!</v>
      </c>
      <c r="Y194">
        <v>17</v>
      </c>
      <c r="AB194">
        <f t="shared" si="3"/>
        <v>1</v>
      </c>
      <c r="AC194" s="318" t="e">
        <f t="shared" si="6"/>
        <v>#REF!</v>
      </c>
      <c r="AD194" s="392" t="e">
        <f>IF($B$38="P",IF(#REF!&lt;&gt;"",#REF!,""),IF(#REF!&lt;&gt;"",#REF!,""))</f>
        <v>#REF!</v>
      </c>
      <c r="AE194" s="392" t="e">
        <f>IF($B$38="P",IF(#REF!&lt;&gt;"",#REF!,""),IF(#REF!&lt;&gt;"",#REF!,""))</f>
        <v>#REF!</v>
      </c>
      <c r="AG194">
        <v>17</v>
      </c>
      <c r="AH194">
        <v>43</v>
      </c>
      <c r="AQ194">
        <f t="shared" si="4"/>
        <v>1</v>
      </c>
      <c r="AR194" s="318" t="e">
        <f t="shared" si="5"/>
        <v>#REF!</v>
      </c>
      <c r="AS194" s="392" t="e">
        <f>IF($B$38="P",IF(#REF!&lt;&gt;"",#REF!,""),"")</f>
        <v>#REF!</v>
      </c>
      <c r="AT194" s="392" t="e">
        <f>IF($B$38="P",IF(#REF!&lt;&gt;"",#REF!,""),"")</f>
        <v>#REF!</v>
      </c>
      <c r="AV194">
        <v>17</v>
      </c>
      <c r="AW194" s="321"/>
    </row>
    <row r="195" spans="18:49" ht="12.75">
      <c r="R195">
        <f t="shared" si="1"/>
        <v>1</v>
      </c>
      <c r="S195" s="318" t="e">
        <f t="shared" si="2"/>
        <v>#REF!</v>
      </c>
      <c r="T195" s="392" t="e">
        <f>IF($B$38="P",IF(#REF!&lt;&gt;"",#REF!,""),"")</f>
        <v>#REF!</v>
      </c>
      <c r="U195" s="392" t="e">
        <f>IF($B$38="P",IF(#REF!&lt;&gt;"",ABS(#REF!),""),"")</f>
        <v>#REF!</v>
      </c>
      <c r="V195" s="392" t="e">
        <f>IF($B$38="P",IF(#REF!&lt;&gt;"",#REF!,""),"")</f>
        <v>#REF!</v>
      </c>
      <c r="W195" s="392" t="e">
        <f>IF($B$38="P",IF(#REF!&lt;&gt;"",#REF!,""),"")</f>
        <v>#REF!</v>
      </c>
      <c r="Y195">
        <v>18</v>
      </c>
      <c r="AB195">
        <f t="shared" si="3"/>
        <v>1</v>
      </c>
      <c r="AC195" s="318" t="e">
        <f t="shared" si="6"/>
        <v>#REF!</v>
      </c>
      <c r="AD195" s="392" t="e">
        <f>IF($B$38="P",IF(#REF!&lt;&gt;"",#REF!,""),IF(#REF!&lt;&gt;"",#REF!,""))</f>
        <v>#REF!</v>
      </c>
      <c r="AE195" s="392" t="e">
        <f>IF($B$38="P",IF(#REF!&lt;&gt;"",#REF!,""),IF(#REF!&lt;&gt;"",#REF!,""))</f>
        <v>#REF!</v>
      </c>
      <c r="AG195">
        <v>18</v>
      </c>
      <c r="AH195">
        <v>46</v>
      </c>
      <c r="AQ195">
        <f t="shared" si="4"/>
        <v>1</v>
      </c>
      <c r="AR195" s="318" t="e">
        <f t="shared" si="5"/>
        <v>#REF!</v>
      </c>
      <c r="AS195" s="392" t="e">
        <f>IF($B$38="P",IF(#REF!&lt;&gt;"",#REF!,""),"")</f>
        <v>#REF!</v>
      </c>
      <c r="AT195" s="392" t="e">
        <f>IF($B$38="P",IF(#REF!&lt;&gt;"",#REF!,""),"")</f>
        <v>#REF!</v>
      </c>
      <c r="AV195">
        <v>18</v>
      </c>
      <c r="AW195" s="321"/>
    </row>
    <row r="196" spans="18:49" ht="12.75">
      <c r="R196">
        <f t="shared" si="1"/>
        <v>1</v>
      </c>
      <c r="S196" s="318" t="e">
        <f t="shared" si="2"/>
        <v>#REF!</v>
      </c>
      <c r="T196" s="392" t="e">
        <f>IF($B$38="P",IF(#REF!&lt;&gt;"",#REF!,""),"")</f>
        <v>#REF!</v>
      </c>
      <c r="U196" s="392" t="e">
        <f>IF($B$38="P",IF(#REF!&lt;&gt;"",ABS(#REF!),""),"")</f>
        <v>#REF!</v>
      </c>
      <c r="V196" s="392" t="e">
        <f>IF($B$38="P",IF(#REF!&lt;&gt;"",#REF!,""),"")</f>
        <v>#REF!</v>
      </c>
      <c r="W196" s="392" t="e">
        <f>IF($B$38="P",IF(#REF!&lt;&gt;"",#REF!,""),"")</f>
        <v>#REF!</v>
      </c>
      <c r="Y196">
        <v>19</v>
      </c>
      <c r="AB196">
        <f t="shared" si="3"/>
        <v>1</v>
      </c>
      <c r="AC196" s="318" t="e">
        <f t="shared" si="6"/>
        <v>#REF!</v>
      </c>
      <c r="AD196" s="392" t="e">
        <f>IF($B$38="P",IF(#REF!&lt;&gt;"",#REF!,""),IF(#REF!&lt;&gt;"",#REF!,""))</f>
        <v>#REF!</v>
      </c>
      <c r="AE196" s="392" t="e">
        <f>IF($B$38="P",IF(#REF!&lt;&gt;"",#REF!,""),IF(#REF!&lt;&gt;"",#REF!,""))</f>
        <v>#REF!</v>
      </c>
      <c r="AG196">
        <v>19</v>
      </c>
      <c r="AH196">
        <v>47</v>
      </c>
      <c r="AQ196">
        <f t="shared" si="4"/>
        <v>1</v>
      </c>
      <c r="AR196" s="318" t="e">
        <f t="shared" si="5"/>
        <v>#REF!</v>
      </c>
      <c r="AS196" s="392" t="e">
        <f>IF($B$38="P",IF(#REF!&lt;&gt;"",#REF!,""),"")</f>
        <v>#REF!</v>
      </c>
      <c r="AT196" s="392" t="e">
        <f>IF($B$38="P",IF(#REF!&lt;&gt;"",#REF!,""),"")</f>
        <v>#REF!</v>
      </c>
      <c r="AV196">
        <v>19</v>
      </c>
      <c r="AW196" s="321"/>
    </row>
    <row r="197" spans="18:49" ht="12.75">
      <c r="R197">
        <f t="shared" si="1"/>
        <v>1</v>
      </c>
      <c r="S197" s="318" t="e">
        <f t="shared" si="2"/>
        <v>#REF!</v>
      </c>
      <c r="T197" s="392" t="e">
        <f>IF($B$38="P",IF(#REF!&lt;&gt;"",#REF!,""),"")</f>
        <v>#REF!</v>
      </c>
      <c r="U197" s="392" t="e">
        <f>IF($B$38="P",IF(#REF!&lt;&gt;"",ABS(#REF!),""),"")</f>
        <v>#REF!</v>
      </c>
      <c r="V197" s="392" t="e">
        <f>IF($B$38="P",IF(#REF!&lt;&gt;"",#REF!,""),"")</f>
        <v>#REF!</v>
      </c>
      <c r="W197" s="392" t="e">
        <f>IF($B$38="P",IF(#REF!&lt;&gt;"",#REF!,""),"")</f>
        <v>#REF!</v>
      </c>
      <c r="Y197">
        <v>20</v>
      </c>
      <c r="AB197">
        <f t="shared" si="3"/>
        <v>1</v>
      </c>
      <c r="AC197" s="318" t="e">
        <f t="shared" si="6"/>
        <v>#REF!</v>
      </c>
      <c r="AD197" s="392" t="e">
        <f>IF($B$38="P",IF(#REF!&lt;&gt;"",#REF!,""),IF(#REF!&lt;&gt;"",#REF!,""))</f>
        <v>#REF!</v>
      </c>
      <c r="AE197" s="392" t="e">
        <f>IF($B$38="P",IF(#REF!&lt;&gt;"",#REF!,""),IF(#REF!&lt;&gt;"",#REF!,""))</f>
        <v>#REF!</v>
      </c>
      <c r="AG197">
        <v>20</v>
      </c>
      <c r="AH197">
        <v>48</v>
      </c>
      <c r="AQ197">
        <f t="shared" si="4"/>
        <v>1</v>
      </c>
      <c r="AR197" s="318" t="e">
        <f t="shared" si="5"/>
        <v>#REF!</v>
      </c>
      <c r="AS197" s="392" t="e">
        <f>IF($B$38="P",IF(#REF!&lt;&gt;"",#REF!,""),"")</f>
        <v>#REF!</v>
      </c>
      <c r="AT197" s="392" t="e">
        <f>IF($B$38="P",IF(#REF!&lt;&gt;"",#REF!,""),"")</f>
        <v>#REF!</v>
      </c>
      <c r="AV197">
        <v>20</v>
      </c>
      <c r="AW197" s="321"/>
    </row>
    <row r="198" spans="18:49" ht="12.75">
      <c r="R198">
        <f t="shared" si="1"/>
        <v>1</v>
      </c>
      <c r="S198" s="318" t="e">
        <f t="shared" si="2"/>
        <v>#REF!</v>
      </c>
      <c r="T198" s="392" t="e">
        <f>IF($B$38="P",IF(#REF!&lt;&gt;"",#REF!,""),"")</f>
        <v>#REF!</v>
      </c>
      <c r="U198" s="392" t="e">
        <f>IF($B$38="P",IF(#REF!&lt;&gt;"",ABS(#REF!),""),"")</f>
        <v>#REF!</v>
      </c>
      <c r="V198" s="392" t="e">
        <f>IF($B$38="P",IF(#REF!&lt;&gt;"",#REF!,""),"")</f>
        <v>#REF!</v>
      </c>
      <c r="W198" s="392" t="e">
        <f>IF($B$38="P",IF(#REF!&lt;&gt;"",#REF!,""),"")</f>
        <v>#REF!</v>
      </c>
      <c r="Y198">
        <v>21</v>
      </c>
      <c r="AB198">
        <f t="shared" si="3"/>
        <v>1</v>
      </c>
      <c r="AC198" s="318" t="e">
        <f t="shared" si="6"/>
        <v>#REF!</v>
      </c>
      <c r="AD198" s="392" t="e">
        <f>IF($B$38="P",IF(#REF!&lt;&gt;"",#REF!,""),IF(#REF!&lt;&gt;"",#REF!,""))</f>
        <v>#REF!</v>
      </c>
      <c r="AE198" s="392" t="e">
        <f>IF($B$38="P",IF(#REF!&lt;&gt;"",#REF!,""),IF(#REF!&lt;&gt;"",#REF!,""))</f>
        <v>#REF!</v>
      </c>
      <c r="AG198">
        <v>21</v>
      </c>
      <c r="AH198">
        <v>49</v>
      </c>
      <c r="AQ198">
        <f t="shared" si="4"/>
        <v>1</v>
      </c>
      <c r="AR198" s="318" t="e">
        <f t="shared" si="5"/>
        <v>#REF!</v>
      </c>
      <c r="AS198" s="392" t="e">
        <f>IF($B$38="P",IF(#REF!&lt;&gt;"",#REF!,""),"")</f>
        <v>#REF!</v>
      </c>
      <c r="AT198" s="392" t="e">
        <f>IF($B$38="P",IF(#REF!&lt;&gt;"",#REF!,""),"")</f>
        <v>#REF!</v>
      </c>
      <c r="AV198">
        <v>21</v>
      </c>
      <c r="AW198" s="321"/>
    </row>
    <row r="199" spans="18:49" ht="12.75">
      <c r="R199">
        <f t="shared" si="1"/>
        <v>1</v>
      </c>
      <c r="S199" s="318" t="e">
        <f t="shared" si="2"/>
        <v>#REF!</v>
      </c>
      <c r="T199" s="392" t="e">
        <f>IF($B$38="P",IF(#REF!&lt;&gt;"",#REF!,""),"")</f>
        <v>#REF!</v>
      </c>
      <c r="U199" s="392" t="e">
        <f>IF($B$38="P",IF(#REF!&lt;&gt;"",ABS(#REF!),""),"")</f>
        <v>#REF!</v>
      </c>
      <c r="V199" s="392" t="e">
        <f>IF($B$38="P",IF(#REF!&lt;&gt;"",#REF!,""),"")</f>
        <v>#REF!</v>
      </c>
      <c r="W199" s="392" t="e">
        <f>IF($B$38="P",IF(#REF!&lt;&gt;"",#REF!,""),"")</f>
        <v>#REF!</v>
      </c>
      <c r="Y199">
        <v>22</v>
      </c>
      <c r="AB199">
        <f t="shared" si="3"/>
        <v>1</v>
      </c>
      <c r="AC199" s="318" t="e">
        <f t="shared" si="6"/>
        <v>#REF!</v>
      </c>
      <c r="AD199" s="392" t="e">
        <f>IF($B$38="P",IF(#REF!&lt;&gt;"",#REF!,""),IF(#REF!&lt;&gt;"",#REF!,""))</f>
        <v>#REF!</v>
      </c>
      <c r="AE199" s="392" t="e">
        <f>IF($B$38="P",IF(#REF!&lt;&gt;"",#REF!,""),IF(#REF!&lt;&gt;"",#REF!,""))</f>
        <v>#REF!</v>
      </c>
      <c r="AG199">
        <v>22</v>
      </c>
      <c r="AH199">
        <v>50</v>
      </c>
      <c r="AQ199">
        <f t="shared" si="4"/>
        <v>1</v>
      </c>
      <c r="AR199" s="318" t="e">
        <f t="shared" si="5"/>
        <v>#REF!</v>
      </c>
      <c r="AS199" s="392" t="e">
        <f>IF($B$38="P",IF(#REF!&lt;&gt;"",#REF!,""),"")</f>
        <v>#REF!</v>
      </c>
      <c r="AT199" s="392" t="e">
        <f>IF($B$38="P",IF(#REF!&lt;&gt;"",#REF!,""),"")</f>
        <v>#REF!</v>
      </c>
      <c r="AV199">
        <v>22</v>
      </c>
      <c r="AW199" s="321"/>
    </row>
    <row r="200" spans="18:49" ht="12.75">
      <c r="R200">
        <f t="shared" si="1"/>
        <v>1</v>
      </c>
      <c r="S200" s="318" t="e">
        <f t="shared" si="2"/>
        <v>#REF!</v>
      </c>
      <c r="T200" s="392" t="e">
        <f>IF($B$38="P",IF(#REF!&lt;&gt;"",#REF!,""),"")</f>
        <v>#REF!</v>
      </c>
      <c r="U200" s="392" t="e">
        <f>IF($B$38="P",IF(#REF!&lt;&gt;"",ABS(#REF!),""),"")</f>
        <v>#REF!</v>
      </c>
      <c r="V200" s="392" t="e">
        <f>IF($B$38="P",IF(#REF!&lt;&gt;"",#REF!,""),"")</f>
        <v>#REF!</v>
      </c>
      <c r="W200" s="392" t="e">
        <f>IF($B$38="P",IF(#REF!&lt;&gt;"",#REF!,""),"")</f>
        <v>#REF!</v>
      </c>
      <c r="Y200">
        <v>23</v>
      </c>
      <c r="AB200">
        <f t="shared" si="3"/>
        <v>1</v>
      </c>
      <c r="AC200" s="318" t="e">
        <f t="shared" si="6"/>
        <v>#REF!</v>
      </c>
      <c r="AD200" s="392" t="e">
        <f>IF($B$38="P",IF(#REF!&lt;&gt;"",#REF!,""),IF(#REF!&lt;&gt;"",#REF!,""))</f>
        <v>#REF!</v>
      </c>
      <c r="AE200" s="392" t="e">
        <f>IF($B$38="P",IF(#REF!&lt;&gt;"",#REF!,""),IF(#REF!&lt;&gt;"",#REF!,""))</f>
        <v>#REF!</v>
      </c>
      <c r="AG200">
        <v>23</v>
      </c>
      <c r="AH200">
        <v>53</v>
      </c>
      <c r="AQ200">
        <f t="shared" si="4"/>
        <v>1</v>
      </c>
      <c r="AR200" s="318" t="e">
        <f t="shared" si="5"/>
        <v>#REF!</v>
      </c>
      <c r="AS200" s="392" t="e">
        <f>IF($B$38="P",IF(#REF!&lt;&gt;"",#REF!,""),"")</f>
        <v>#REF!</v>
      </c>
      <c r="AT200" s="392" t="e">
        <f>IF($B$38="P",IF(#REF!&lt;&gt;"",#REF!,""),"")</f>
        <v>#REF!</v>
      </c>
      <c r="AV200">
        <v>23</v>
      </c>
      <c r="AW200" s="321"/>
    </row>
    <row r="201" spans="18:49" ht="12.75">
      <c r="R201">
        <f t="shared" si="1"/>
        <v>1</v>
      </c>
      <c r="S201" s="318" t="e">
        <f t="shared" si="2"/>
        <v>#REF!</v>
      </c>
      <c r="T201" s="392" t="e">
        <f>IF($B$38="P",IF(#REF!&lt;&gt;"",#REF!,""),"")</f>
        <v>#REF!</v>
      </c>
      <c r="U201" s="392" t="e">
        <f>IF($B$38="P",IF(#REF!&lt;&gt;"",ABS(#REF!),""),"")</f>
        <v>#REF!</v>
      </c>
      <c r="V201" s="392" t="e">
        <f>IF($B$38="P",IF(#REF!&lt;&gt;"",#REF!,""),"")</f>
        <v>#REF!</v>
      </c>
      <c r="W201" s="392" t="e">
        <f>IF($B$38="P",IF(#REF!&lt;&gt;"",#REF!,""),"")</f>
        <v>#REF!</v>
      </c>
      <c r="Y201">
        <v>24</v>
      </c>
      <c r="AB201">
        <f t="shared" si="3"/>
        <v>1</v>
      </c>
      <c r="AC201" s="318" t="e">
        <f t="shared" si="6"/>
        <v>#REF!</v>
      </c>
      <c r="AD201" s="392" t="e">
        <f>IF($B$38="P",IF(#REF!&lt;&gt;"",#REF!,""),IF(#REF!&lt;&gt;"",#REF!,""))</f>
        <v>#REF!</v>
      </c>
      <c r="AE201" s="392" t="e">
        <f>IF($B$38="P",IF(#REF!&lt;&gt;"",#REF!,""),IF(#REF!&lt;&gt;"",#REF!,""))</f>
        <v>#REF!</v>
      </c>
      <c r="AG201">
        <v>24</v>
      </c>
      <c r="AH201">
        <v>54</v>
      </c>
      <c r="AQ201">
        <f t="shared" si="4"/>
        <v>1</v>
      </c>
      <c r="AR201" s="318" t="e">
        <f t="shared" si="5"/>
        <v>#REF!</v>
      </c>
      <c r="AS201" s="392" t="e">
        <f>IF($B$38="P",IF(#REF!&lt;&gt;"",#REF!,""),"")</f>
        <v>#REF!</v>
      </c>
      <c r="AT201" s="392" t="e">
        <f>IF($B$38="P",IF(#REF!&lt;&gt;"",#REF!,""),"")</f>
        <v>#REF!</v>
      </c>
      <c r="AV201">
        <v>24</v>
      </c>
      <c r="AW201" s="321"/>
    </row>
    <row r="202" spans="18:49" ht="12.75">
      <c r="R202">
        <f t="shared" si="1"/>
        <v>1</v>
      </c>
      <c r="S202" s="318" t="e">
        <f t="shared" si="2"/>
        <v>#REF!</v>
      </c>
      <c r="T202" s="392" t="e">
        <f>IF($B$38="P",IF(#REF!&lt;&gt;"",#REF!,""),"")</f>
        <v>#REF!</v>
      </c>
      <c r="U202" s="392" t="e">
        <f>IF($B$38="P",IF(#REF!&lt;&gt;"",ABS(#REF!),""),"")</f>
        <v>#REF!</v>
      </c>
      <c r="V202" s="392" t="e">
        <f>IF($B$38="P",IF(#REF!&lt;&gt;"",#REF!,""),"")</f>
        <v>#REF!</v>
      </c>
      <c r="W202" s="392" t="e">
        <f>IF($B$38="P",IF(#REF!&lt;&gt;"",#REF!,""),"")</f>
        <v>#REF!</v>
      </c>
      <c r="Y202">
        <v>25</v>
      </c>
      <c r="AB202">
        <f t="shared" si="3"/>
        <v>1</v>
      </c>
      <c r="AC202" s="318" t="e">
        <f t="shared" si="6"/>
        <v>#REF!</v>
      </c>
      <c r="AD202" s="392" t="e">
        <f>IF($B$38="P",IF(#REF!&lt;&gt;"",#REF!,""),IF(#REF!&lt;&gt;"",#REF!,""))</f>
        <v>#REF!</v>
      </c>
      <c r="AE202" s="392" t="e">
        <f>IF($B$38="P",IF(#REF!&lt;&gt;"",#REF!,""),IF(#REF!&lt;&gt;"",#REF!,""))</f>
        <v>#REF!</v>
      </c>
      <c r="AG202">
        <v>25</v>
      </c>
      <c r="AH202">
        <v>55</v>
      </c>
      <c r="AQ202">
        <f t="shared" si="4"/>
        <v>1</v>
      </c>
      <c r="AR202" s="318" t="e">
        <f t="shared" si="5"/>
        <v>#REF!</v>
      </c>
      <c r="AS202" s="392" t="e">
        <f>IF($B$38="P",IF(#REF!&lt;&gt;"",#REF!,""),"")</f>
        <v>#REF!</v>
      </c>
      <c r="AT202" s="392" t="e">
        <f>IF($B$38="P",IF(#REF!&lt;&gt;"",#REF!,""),"")</f>
        <v>#REF!</v>
      </c>
      <c r="AV202">
        <v>25</v>
      </c>
      <c r="AW202" s="321"/>
    </row>
    <row r="203" spans="18:49" ht="12.75">
      <c r="R203">
        <f t="shared" si="1"/>
        <v>1</v>
      </c>
      <c r="S203" s="318" t="e">
        <f t="shared" si="2"/>
        <v>#REF!</v>
      </c>
      <c r="T203" s="392" t="e">
        <f>IF($B$38="P",IF(#REF!&lt;&gt;"",#REF!,""),"")</f>
        <v>#REF!</v>
      </c>
      <c r="U203" s="392" t="e">
        <f>IF($B$38="P",IF(#REF!&lt;&gt;"",ABS(#REF!),""),"")</f>
        <v>#REF!</v>
      </c>
      <c r="V203" s="392" t="e">
        <f>IF($B$38="P",IF(#REF!&lt;&gt;"",#REF!,""),"")</f>
        <v>#REF!</v>
      </c>
      <c r="W203" s="392" t="e">
        <f>IF($B$38="P",IF(#REF!&lt;&gt;"",#REF!,""),"")</f>
        <v>#REF!</v>
      </c>
      <c r="Y203">
        <v>26</v>
      </c>
      <c r="AB203">
        <f t="shared" si="3"/>
        <v>1</v>
      </c>
      <c r="AC203" s="318" t="e">
        <f t="shared" si="6"/>
        <v>#REF!</v>
      </c>
      <c r="AD203" s="392" t="e">
        <f>IF($B$38="P",IF(#REF!&lt;&gt;"",#REF!,""),IF(#REF!&lt;&gt;"",#REF!,""))</f>
        <v>#REF!</v>
      </c>
      <c r="AE203" s="392" t="e">
        <f>IF($B$38="P",IF(#REF!&lt;&gt;"",#REF!,""),IF(#REF!&lt;&gt;"",#REF!,""))</f>
        <v>#REF!</v>
      </c>
      <c r="AG203">
        <v>26</v>
      </c>
      <c r="AH203">
        <v>56</v>
      </c>
      <c r="AQ203">
        <f t="shared" si="4"/>
        <v>1</v>
      </c>
      <c r="AR203" s="318" t="e">
        <f t="shared" si="5"/>
        <v>#REF!</v>
      </c>
      <c r="AS203" s="392" t="e">
        <f>IF($B$38="P",IF(#REF!&lt;&gt;"",#REF!,""),"")</f>
        <v>#REF!</v>
      </c>
      <c r="AT203" s="392" t="e">
        <f>IF($B$38="P",IF(#REF!&lt;&gt;"",#REF!,""),"")</f>
        <v>#REF!</v>
      </c>
      <c r="AV203">
        <v>26</v>
      </c>
      <c r="AW203" s="321"/>
    </row>
    <row r="204" spans="18:49" ht="12.75">
      <c r="R204">
        <f t="shared" si="1"/>
        <v>1</v>
      </c>
      <c r="S204" s="318" t="e">
        <f t="shared" si="2"/>
        <v>#REF!</v>
      </c>
      <c r="T204" s="392" t="e">
        <f>IF($B$38="P",IF(#REF!&lt;&gt;"",#REF!,""),"")</f>
        <v>#REF!</v>
      </c>
      <c r="U204" s="392" t="e">
        <f>IF($B$38="P",IF(#REF!&lt;&gt;"",ABS(#REF!),""),"")</f>
        <v>#REF!</v>
      </c>
      <c r="V204" s="392" t="e">
        <f>IF($B$38="P",IF(#REF!&lt;&gt;"",#REF!,""),"")</f>
        <v>#REF!</v>
      </c>
      <c r="W204" s="392" t="e">
        <f>IF($B$38="P",IF(#REF!&lt;&gt;"",#REF!,""),"")</f>
        <v>#REF!</v>
      </c>
      <c r="Y204">
        <v>27</v>
      </c>
      <c r="AB204">
        <f t="shared" si="3"/>
        <v>1</v>
      </c>
      <c r="AC204" s="318" t="e">
        <f t="shared" si="6"/>
        <v>#REF!</v>
      </c>
      <c r="AD204" s="392" t="e">
        <f>IF($B$38="P",IF(#REF!&lt;&gt;"",#REF!,""),"")</f>
        <v>#REF!</v>
      </c>
      <c r="AE204" s="392" t="e">
        <f>IF($B$38="P",IF(#REF!&lt;&gt;"",#REF!,""),"")</f>
        <v>#REF!</v>
      </c>
      <c r="AG204">
        <v>27</v>
      </c>
      <c r="AQ204">
        <f t="shared" si="4"/>
        <v>1</v>
      </c>
      <c r="AR204" s="318" t="e">
        <f t="shared" si="5"/>
        <v>#REF!</v>
      </c>
      <c r="AS204" s="392" t="e">
        <f>IF($B$38="P",IF(#REF!&lt;&gt;"",#REF!,""),"")</f>
        <v>#REF!</v>
      </c>
      <c r="AT204" s="392" t="e">
        <f>IF($B$38="P",IF(#REF!&lt;&gt;"",#REF!,""),"")</f>
        <v>#REF!</v>
      </c>
      <c r="AV204">
        <v>27</v>
      </c>
      <c r="AW204" s="321"/>
    </row>
    <row r="205" spans="18:49" ht="12.75">
      <c r="R205">
        <f t="shared" si="1"/>
        <v>1</v>
      </c>
      <c r="S205" s="318" t="e">
        <f t="shared" si="2"/>
        <v>#REF!</v>
      </c>
      <c r="T205" s="392" t="e">
        <f>IF($B$38="P",IF(#REF!&lt;&gt;"",#REF!,""),"")</f>
        <v>#REF!</v>
      </c>
      <c r="U205" s="392" t="e">
        <f>IF($B$38="P",IF(#REF!&lt;&gt;"",ABS(#REF!),""),"")</f>
        <v>#REF!</v>
      </c>
      <c r="V205" s="392" t="e">
        <f>IF($B$38="P",IF(#REF!&lt;&gt;"",#REF!,""),"")</f>
        <v>#REF!</v>
      </c>
      <c r="W205" s="392" t="e">
        <f>IF($B$38="P",IF(#REF!&lt;&gt;"",#REF!,""),"")</f>
        <v>#REF!</v>
      </c>
      <c r="Y205">
        <v>28</v>
      </c>
      <c r="AB205">
        <f t="shared" si="3"/>
        <v>1</v>
      </c>
      <c r="AC205" s="318" t="e">
        <f t="shared" si="6"/>
        <v>#REF!</v>
      </c>
      <c r="AD205" s="392" t="e">
        <f>IF($B$38="P",IF(#REF!&lt;&gt;"",#REF!,""),"")</f>
        <v>#REF!</v>
      </c>
      <c r="AE205" s="392" t="e">
        <f>IF($B$38="P",IF(#REF!&lt;&gt;"",#REF!,""),"")</f>
        <v>#REF!</v>
      </c>
      <c r="AG205">
        <v>28</v>
      </c>
      <c r="AQ205">
        <f t="shared" si="4"/>
        <v>1</v>
      </c>
      <c r="AR205" s="318" t="e">
        <f t="shared" si="5"/>
        <v>#REF!</v>
      </c>
      <c r="AS205" s="392" t="e">
        <f>IF($B$38="P",IF(#REF!&lt;&gt;"",#REF!,""),"")</f>
        <v>#REF!</v>
      </c>
      <c r="AT205" s="392" t="e">
        <f>IF($B$38="P",IF(#REF!&lt;&gt;"",#REF!,""),"")</f>
        <v>#REF!</v>
      </c>
      <c r="AV205">
        <v>28</v>
      </c>
      <c r="AW205" s="321"/>
    </row>
    <row r="206" spans="18:49" ht="12.75">
      <c r="R206">
        <f t="shared" si="1"/>
        <v>1</v>
      </c>
      <c r="S206" s="318" t="e">
        <f t="shared" si="2"/>
        <v>#REF!</v>
      </c>
      <c r="T206" s="392" t="e">
        <f>IF($B$38="P",IF(#REF!&lt;&gt;"",#REF!,""),"")</f>
        <v>#REF!</v>
      </c>
      <c r="U206" s="392" t="e">
        <f>IF($B$38="P",IF(#REF!&lt;&gt;"",ABS(#REF!),""),"")</f>
        <v>#REF!</v>
      </c>
      <c r="V206" s="392" t="e">
        <f>IF($B$38="P",IF(#REF!&lt;&gt;"",#REF!,""),"")</f>
        <v>#REF!</v>
      </c>
      <c r="W206" s="392" t="e">
        <f>IF($B$38="P",IF(#REF!&lt;&gt;"",#REF!,""),"")</f>
        <v>#REF!</v>
      </c>
      <c r="Y206">
        <v>29</v>
      </c>
      <c r="AB206">
        <f t="shared" si="3"/>
        <v>1</v>
      </c>
      <c r="AC206" s="318" t="e">
        <f t="shared" si="6"/>
        <v>#REF!</v>
      </c>
      <c r="AD206" s="392" t="e">
        <f>IF($B$38="P",IF(#REF!&lt;&gt;"",#REF!,""),"")</f>
        <v>#REF!</v>
      </c>
      <c r="AE206" s="392" t="e">
        <f>IF($B$38="P",IF(#REF!&lt;&gt;"",#REF!,""),"")</f>
        <v>#REF!</v>
      </c>
      <c r="AG206">
        <v>29</v>
      </c>
      <c r="AQ206">
        <f t="shared" si="4"/>
        <v>1</v>
      </c>
      <c r="AR206" s="318" t="e">
        <f t="shared" si="5"/>
        <v>#REF!</v>
      </c>
      <c r="AS206" s="392" t="e">
        <f>IF($B$38="P",IF(#REF!&lt;&gt;"",#REF!,""),"")</f>
        <v>#REF!</v>
      </c>
      <c r="AT206" s="392" t="e">
        <f>IF($B$38="P",IF(#REF!&lt;&gt;"",#REF!,""),"")</f>
        <v>#REF!</v>
      </c>
      <c r="AV206">
        <v>29</v>
      </c>
      <c r="AW206" s="321"/>
    </row>
    <row r="207" spans="18:49" ht="12.75">
      <c r="R207">
        <f t="shared" si="1"/>
        <v>1</v>
      </c>
      <c r="S207" s="318" t="e">
        <f t="shared" si="2"/>
        <v>#REF!</v>
      </c>
      <c r="T207" s="392" t="e">
        <f>IF($B$38="P",IF(#REF!&lt;&gt;"",#REF!,""),"")</f>
        <v>#REF!</v>
      </c>
      <c r="U207" s="392" t="e">
        <f>IF($B$38="P",IF(#REF!&lt;&gt;"",ABS(#REF!),""),"")</f>
        <v>#REF!</v>
      </c>
      <c r="V207" s="392" t="e">
        <f>IF($B$38="P",IF(#REF!&lt;&gt;"",#REF!,""),"")</f>
        <v>#REF!</v>
      </c>
      <c r="W207" s="392" t="e">
        <f>IF($B$38="P",IF(#REF!&lt;&gt;"",#REF!,""),"")</f>
        <v>#REF!</v>
      </c>
      <c r="Y207">
        <v>30</v>
      </c>
      <c r="AB207">
        <f t="shared" si="3"/>
        <v>1</v>
      </c>
      <c r="AC207" s="318" t="e">
        <f t="shared" si="6"/>
        <v>#REF!</v>
      </c>
      <c r="AD207" s="392" t="e">
        <f>IF($B$38="P",IF(#REF!&lt;&gt;"",#REF!,""),"")</f>
        <v>#REF!</v>
      </c>
      <c r="AE207" s="392" t="e">
        <f>IF($B$38="P",IF(#REF!&lt;&gt;"",#REF!,""),"")</f>
        <v>#REF!</v>
      </c>
      <c r="AG207">
        <v>30</v>
      </c>
      <c r="AQ207">
        <f t="shared" si="4"/>
        <v>1</v>
      </c>
      <c r="AR207" s="318" t="e">
        <f t="shared" si="5"/>
        <v>#REF!</v>
      </c>
      <c r="AS207" s="392" t="e">
        <f>IF($B$38="P",IF(#REF!&lt;&gt;"",#REF!,""),"")</f>
        <v>#REF!</v>
      </c>
      <c r="AT207" s="392" t="e">
        <f>IF($B$38="P",IF(#REF!&lt;&gt;"",#REF!,""),"")</f>
        <v>#REF!</v>
      </c>
      <c r="AV207">
        <v>30</v>
      </c>
      <c r="AW207" s="321"/>
    </row>
    <row r="208" spans="18:49" ht="12.75">
      <c r="R208">
        <f t="shared" si="1"/>
        <v>1</v>
      </c>
      <c r="S208" s="318" t="e">
        <f t="shared" si="2"/>
        <v>#REF!</v>
      </c>
      <c r="T208" s="392" t="e">
        <f>IF($B$38="P",IF(#REF!&lt;&gt;"",#REF!,""),"")</f>
        <v>#REF!</v>
      </c>
      <c r="U208" s="392" t="e">
        <f>IF($B$38="P",IF(#REF!&lt;&gt;"",ABS(#REF!),""),"")</f>
        <v>#REF!</v>
      </c>
      <c r="V208" s="392" t="e">
        <f>IF($B$38="P",IF(#REF!&lt;&gt;"",#REF!,""),"")</f>
        <v>#REF!</v>
      </c>
      <c r="W208" s="392" t="e">
        <f>IF($B$38="P",IF(#REF!&lt;&gt;"",#REF!,""),"")</f>
        <v>#REF!</v>
      </c>
      <c r="Y208">
        <v>31</v>
      </c>
      <c r="AB208">
        <f t="shared" si="3"/>
        <v>1</v>
      </c>
      <c r="AC208" s="318" t="e">
        <f t="shared" si="6"/>
        <v>#REF!</v>
      </c>
      <c r="AD208" s="392" t="e">
        <f>IF($B$38="P",IF(#REF!&lt;&gt;"",#REF!,""),"")</f>
        <v>#REF!</v>
      </c>
      <c r="AE208" s="392" t="e">
        <f>IF($B$38="P",IF(#REF!&lt;&gt;"",#REF!,""),"")</f>
        <v>#REF!</v>
      </c>
      <c r="AG208">
        <v>31</v>
      </c>
      <c r="AQ208">
        <f t="shared" si="4"/>
        <v>1</v>
      </c>
      <c r="AR208" s="318" t="e">
        <f t="shared" si="5"/>
        <v>#REF!</v>
      </c>
      <c r="AS208" s="392" t="e">
        <f>IF($B$38="P",IF(#REF!&lt;&gt;"",#REF!,""),"")</f>
        <v>#REF!</v>
      </c>
      <c r="AT208" s="392" t="e">
        <f>IF($B$38="P",IF(#REF!&lt;&gt;"",#REF!,""),"")</f>
        <v>#REF!</v>
      </c>
      <c r="AV208">
        <v>31</v>
      </c>
      <c r="AW208" s="321"/>
    </row>
    <row r="209" spans="18:49" ht="12.75">
      <c r="R209">
        <f t="shared" si="1"/>
        <v>1</v>
      </c>
      <c r="S209" s="318" t="e">
        <f t="shared" si="2"/>
        <v>#REF!</v>
      </c>
      <c r="T209" s="392" t="e">
        <f>IF($B$38="P",IF(#REF!&lt;&gt;"",#REF!,""),"")</f>
        <v>#REF!</v>
      </c>
      <c r="U209" s="392" t="e">
        <f>IF($B$38="P",IF(#REF!&lt;&gt;"",ABS(#REF!),""),"")</f>
        <v>#REF!</v>
      </c>
      <c r="V209" s="392" t="e">
        <f>IF($B$38="P",IF(#REF!&lt;&gt;"",#REF!,""),"")</f>
        <v>#REF!</v>
      </c>
      <c r="W209" s="392" t="e">
        <f>IF($B$38="P",IF(#REF!&lt;&gt;"",#REF!,""),"")</f>
        <v>#REF!</v>
      </c>
      <c r="Y209">
        <v>32</v>
      </c>
      <c r="AB209">
        <f t="shared" si="3"/>
        <v>1</v>
      </c>
      <c r="AC209" s="318" t="e">
        <f t="shared" si="6"/>
        <v>#REF!</v>
      </c>
      <c r="AD209" s="392" t="e">
        <f>IF($B$38="P",IF(#REF!&lt;&gt;"",#REF!,""),"")</f>
        <v>#REF!</v>
      </c>
      <c r="AE209" s="392" t="e">
        <f>IF($B$38="P",IF(#REF!&lt;&gt;"",#REF!,""),"")</f>
        <v>#REF!</v>
      </c>
      <c r="AG209">
        <v>32</v>
      </c>
      <c r="AQ209">
        <f t="shared" si="4"/>
        <v>1</v>
      </c>
      <c r="AR209" s="318" t="e">
        <f t="shared" si="5"/>
        <v>#REF!</v>
      </c>
      <c r="AS209" s="392" t="e">
        <f>IF($B$38="P",IF(#REF!&lt;&gt;"",#REF!,""),"")</f>
        <v>#REF!</v>
      </c>
      <c r="AT209" s="392" t="e">
        <f>IF($B$38="P",IF(#REF!&lt;&gt;"",#REF!,""),"")</f>
        <v>#REF!</v>
      </c>
      <c r="AV209">
        <v>32</v>
      </c>
      <c r="AW209" s="321"/>
    </row>
    <row r="210" spans="18:49" ht="12.75">
      <c r="R210">
        <f t="shared" si="7" ref="R210:R243">$Q$178</f>
        <v>1</v>
      </c>
      <c r="S210" s="318" t="e">
        <f t="shared" si="2"/>
        <v>#REF!</v>
      </c>
      <c r="T210" s="392" t="e">
        <f>IF($B$38="P",IF(#REF!&lt;&gt;"",#REF!,""),"")</f>
        <v>#REF!</v>
      </c>
      <c r="U210" s="392" t="e">
        <f>IF($B$38="P",IF(#REF!&lt;&gt;"",ABS(#REF!),""),"")</f>
        <v>#REF!</v>
      </c>
      <c r="V210" s="392" t="e">
        <f>IF($B$38="P",IF(#REF!&lt;&gt;"",#REF!,""),"")</f>
        <v>#REF!</v>
      </c>
      <c r="W210" s="392" t="e">
        <f>IF($B$38="P",IF(#REF!&lt;&gt;"",#REF!,""),"")</f>
        <v>#REF!</v>
      </c>
      <c r="Y210">
        <v>33</v>
      </c>
      <c r="AB210">
        <f t="shared" si="8" ref="AB210:AB233">$AB$176</f>
        <v>1</v>
      </c>
      <c r="AC210" s="318" t="e">
        <f t="shared" si="6"/>
        <v>#REF!</v>
      </c>
      <c r="AD210" s="392" t="e">
        <f>IF($B$38="P",IF(#REF!&lt;&gt;"",#REF!,""),"")</f>
        <v>#REF!</v>
      </c>
      <c r="AE210" s="392" t="e">
        <f>IF($B$38="P",IF(#REF!&lt;&gt;"",#REF!,""),"")</f>
        <v>#REF!</v>
      </c>
      <c r="AG210">
        <v>33</v>
      </c>
      <c r="AQ210">
        <f t="shared" si="9" ref="AQ210:AQ235">$AP$178</f>
        <v>1</v>
      </c>
      <c r="AR210" s="318" t="e">
        <f t="shared" si="5"/>
        <v>#REF!</v>
      </c>
      <c r="AS210" s="392" t="e">
        <f>IF($B$38="P",IF(#REF!&lt;&gt;"",#REF!,""),"")</f>
        <v>#REF!</v>
      </c>
      <c r="AT210" s="392" t="e">
        <f>IF($B$38="P",IF(#REF!&lt;&gt;"",#REF!,""),"")</f>
        <v>#REF!</v>
      </c>
      <c r="AV210">
        <v>33</v>
      </c>
      <c r="AW210" s="321"/>
    </row>
    <row r="211" spans="18:49" ht="12.75">
      <c r="R211">
        <f t="shared" si="7"/>
        <v>1</v>
      </c>
      <c r="S211" s="318" t="e">
        <f t="shared" si="2"/>
        <v>#REF!</v>
      </c>
      <c r="T211" s="392" t="e">
        <f>IF($B$38="P",IF(#REF!&lt;&gt;"",#REF!,""),"")</f>
        <v>#REF!</v>
      </c>
      <c r="U211" s="392" t="e">
        <f>IF($B$38="P",IF(#REF!&lt;&gt;"",ABS(#REF!),""),"")</f>
        <v>#REF!</v>
      </c>
      <c r="V211" s="392" t="e">
        <f>IF($B$38="P",IF(#REF!&lt;&gt;"",#REF!,""),"")</f>
        <v>#REF!</v>
      </c>
      <c r="W211" s="392" t="e">
        <f>IF($B$38="P",IF(#REF!&lt;&gt;"",#REF!,""),"")</f>
        <v>#REF!</v>
      </c>
      <c r="Y211">
        <v>34</v>
      </c>
      <c r="AB211">
        <f t="shared" si="8"/>
        <v>1</v>
      </c>
      <c r="AC211" s="318" t="e">
        <f t="shared" si="6"/>
        <v>#REF!</v>
      </c>
      <c r="AD211" s="392" t="e">
        <f>IF($B$38="P",IF(#REF!&lt;&gt;"",#REF!,""),"")</f>
        <v>#REF!</v>
      </c>
      <c r="AE211" s="392" t="e">
        <f>IF($B$38="P",IF(#REF!&lt;&gt;"",#REF!,""),"")</f>
        <v>#REF!</v>
      </c>
      <c r="AG211">
        <v>34</v>
      </c>
      <c r="AQ211">
        <f t="shared" si="9"/>
        <v>1</v>
      </c>
      <c r="AR211" s="318" t="e">
        <f t="shared" si="5"/>
        <v>#REF!</v>
      </c>
      <c r="AS211" s="392" t="e">
        <f>IF($B$38="P",IF(#REF!&lt;&gt;"",#REF!,""),"")</f>
        <v>#REF!</v>
      </c>
      <c r="AT211" s="392" t="e">
        <f>IF($B$38="P",IF(#REF!&lt;&gt;"",#REF!,""),"")</f>
        <v>#REF!</v>
      </c>
      <c r="AV211">
        <v>34</v>
      </c>
      <c r="AW211" s="321"/>
    </row>
    <row r="212" spans="18:49" ht="12.75">
      <c r="R212">
        <f t="shared" si="7"/>
        <v>1</v>
      </c>
      <c r="S212" s="318" t="e">
        <f t="shared" si="2"/>
        <v>#REF!</v>
      </c>
      <c r="T212" s="392" t="e">
        <f>IF($B$38="P",IF(#REF!&lt;&gt;"",#REF!,""),"")</f>
        <v>#REF!</v>
      </c>
      <c r="U212" s="392" t="e">
        <f>IF($B$38="P",IF(#REF!&lt;&gt;"",ABS(#REF!),""),"")</f>
        <v>#REF!</v>
      </c>
      <c r="V212" s="392" t="e">
        <f>IF($B$38="P",IF(#REF!&lt;&gt;"",#REF!,""),"")</f>
        <v>#REF!</v>
      </c>
      <c r="W212" s="392" t="e">
        <f>IF($B$38="P",IF(#REF!&lt;&gt;"",#REF!,""),"")</f>
        <v>#REF!</v>
      </c>
      <c r="Y212">
        <v>35</v>
      </c>
      <c r="AB212">
        <f t="shared" si="8"/>
        <v>1</v>
      </c>
      <c r="AC212" s="318" t="e">
        <f t="shared" si="6"/>
        <v>#REF!</v>
      </c>
      <c r="AD212" s="392" t="e">
        <f>IF($B$38="P",IF(#REF!&lt;&gt;"",#REF!,""),"")</f>
        <v>#REF!</v>
      </c>
      <c r="AE212" s="392" t="e">
        <f>IF($B$38="P",IF(#REF!&lt;&gt;"",#REF!,""),"")</f>
        <v>#REF!</v>
      </c>
      <c r="AG212">
        <v>35</v>
      </c>
      <c r="AQ212">
        <f t="shared" si="9"/>
        <v>1</v>
      </c>
      <c r="AR212" s="318" t="e">
        <f t="shared" si="5"/>
        <v>#REF!</v>
      </c>
      <c r="AS212" s="392" t="e">
        <f>IF($B$38="P",IF(#REF!&lt;&gt;"",#REF!,""),"")</f>
        <v>#REF!</v>
      </c>
      <c r="AT212" s="392" t="e">
        <f>IF($B$38="P",IF(#REF!&lt;&gt;"",#REF!,""),"")</f>
        <v>#REF!</v>
      </c>
      <c r="AV212">
        <v>35</v>
      </c>
      <c r="AW212" s="321"/>
    </row>
    <row r="213" spans="18:49" ht="12.75">
      <c r="R213">
        <f t="shared" si="7"/>
        <v>1</v>
      </c>
      <c r="S213" s="318" t="e">
        <f t="shared" si="2"/>
        <v>#REF!</v>
      </c>
      <c r="T213" s="392" t="e">
        <f>IF($B$38="P",IF(#REF!&lt;&gt;"",#REF!,""),"")</f>
        <v>#REF!</v>
      </c>
      <c r="U213" s="392" t="e">
        <f>IF($B$38="P",IF(#REF!&lt;&gt;"",ABS(#REF!),""),"")</f>
        <v>#REF!</v>
      </c>
      <c r="V213" s="392" t="e">
        <f>IF($B$38="P",IF(#REF!&lt;&gt;"",#REF!,""),"")</f>
        <v>#REF!</v>
      </c>
      <c r="W213" s="392" t="e">
        <f>IF($B$38="P",IF(#REF!&lt;&gt;"",#REF!,""),"")</f>
        <v>#REF!</v>
      </c>
      <c r="Y213">
        <v>36</v>
      </c>
      <c r="AB213">
        <f t="shared" si="8"/>
        <v>1</v>
      </c>
      <c r="AC213" s="318" t="e">
        <f t="shared" si="6"/>
        <v>#REF!</v>
      </c>
      <c r="AD213" s="392" t="e">
        <f>IF($B$38="P",IF(#REF!&lt;&gt;"",#REF!,""),"")</f>
        <v>#REF!</v>
      </c>
      <c r="AE213" s="392" t="e">
        <f>IF($B$38="P",IF(#REF!&lt;&gt;"",#REF!,""),"")</f>
        <v>#REF!</v>
      </c>
      <c r="AG213">
        <v>36</v>
      </c>
      <c r="AQ213">
        <f t="shared" si="9"/>
        <v>1</v>
      </c>
      <c r="AR213" s="318" t="e">
        <f t="shared" si="5"/>
        <v>#REF!</v>
      </c>
      <c r="AS213" s="392" t="e">
        <f>IF($B$38="P",IF(#REF!&lt;&gt;"",#REF!,""),"")</f>
        <v>#REF!</v>
      </c>
      <c r="AT213" s="392" t="e">
        <f>IF($B$38="P",IF(#REF!&lt;&gt;"",#REF!,""),"")</f>
        <v>#REF!</v>
      </c>
      <c r="AV213">
        <v>36</v>
      </c>
      <c r="AW213" s="321"/>
    </row>
    <row r="214" spans="18:49" ht="12.75">
      <c r="R214">
        <f t="shared" si="7"/>
        <v>1</v>
      </c>
      <c r="S214" s="318" t="e">
        <f t="shared" si="2"/>
        <v>#REF!</v>
      </c>
      <c r="T214" s="392" t="e">
        <f>IF($B$38="P",IF(#REF!&lt;&gt;"",#REF!,""),"")</f>
        <v>#REF!</v>
      </c>
      <c r="U214" s="392" t="e">
        <f>IF($B$38="P",IF(#REF!&lt;&gt;"",ABS(#REF!),""),"")</f>
        <v>#REF!</v>
      </c>
      <c r="V214" s="392" t="e">
        <f>IF($B$38="P",IF(#REF!&lt;&gt;"",#REF!,""),"")</f>
        <v>#REF!</v>
      </c>
      <c r="W214" s="392" t="e">
        <f>IF($B$38="P",IF(#REF!&lt;&gt;"",#REF!,""),"")</f>
        <v>#REF!</v>
      </c>
      <c r="Y214">
        <v>37</v>
      </c>
      <c r="AB214">
        <f t="shared" si="8"/>
        <v>1</v>
      </c>
      <c r="AC214" s="318" t="e">
        <f t="shared" si="6"/>
        <v>#REF!</v>
      </c>
      <c r="AD214" s="392" t="e">
        <f>IF($B$38="P",IF(#REF!&lt;&gt;"",#REF!,""),"")</f>
        <v>#REF!</v>
      </c>
      <c r="AE214" s="392" t="e">
        <f>IF($B$38="P",IF(#REF!&lt;&gt;"",#REF!,""),"")</f>
        <v>#REF!</v>
      </c>
      <c r="AG214">
        <v>37</v>
      </c>
      <c r="AQ214">
        <f t="shared" si="9"/>
        <v>1</v>
      </c>
      <c r="AR214" s="318" t="e">
        <f t="shared" si="5"/>
        <v>#REF!</v>
      </c>
      <c r="AS214" s="392" t="e">
        <f>IF($B$38="P",IF(#REF!&lt;&gt;"",#REF!,""),"")</f>
        <v>#REF!</v>
      </c>
      <c r="AT214" s="392" t="e">
        <f>IF($B$38="P",IF(#REF!&lt;&gt;"",#REF!,""),"")</f>
        <v>#REF!</v>
      </c>
      <c r="AV214">
        <v>37</v>
      </c>
      <c r="AW214" s="321"/>
    </row>
    <row r="215" spans="18:49" ht="12.75">
      <c r="R215">
        <f t="shared" si="7"/>
        <v>1</v>
      </c>
      <c r="S215" s="318" t="e">
        <f t="shared" si="2"/>
        <v>#REF!</v>
      </c>
      <c r="T215" s="392" t="e">
        <f>IF($B$38="P",IF(#REF!&lt;&gt;"",#REF!,""),"")</f>
        <v>#REF!</v>
      </c>
      <c r="U215" s="392" t="e">
        <f>IF($B$38="P",IF(#REF!&lt;&gt;"",ABS(#REF!),""),"")</f>
        <v>#REF!</v>
      </c>
      <c r="V215" s="392" t="e">
        <f>IF($B$38="P",IF(#REF!&lt;&gt;"",#REF!,""),"")</f>
        <v>#REF!</v>
      </c>
      <c r="W215" s="392" t="e">
        <f>IF($B$38="P",IF(#REF!&lt;&gt;"",#REF!,""),"")</f>
        <v>#REF!</v>
      </c>
      <c r="Y215">
        <v>38</v>
      </c>
      <c r="AB215">
        <f t="shared" si="8"/>
        <v>1</v>
      </c>
      <c r="AC215" s="318" t="e">
        <f t="shared" si="6"/>
        <v>#REF!</v>
      </c>
      <c r="AD215" s="392" t="e">
        <f>IF($B$38="P",IF(#REF!&lt;&gt;"",#REF!,""),"")</f>
        <v>#REF!</v>
      </c>
      <c r="AE215" s="392" t="e">
        <f>IF($B$38="P",IF(#REF!&lt;&gt;"",#REF!,""),"")</f>
        <v>#REF!</v>
      </c>
      <c r="AG215">
        <v>38</v>
      </c>
      <c r="AQ215">
        <f t="shared" si="9"/>
        <v>1</v>
      </c>
      <c r="AR215" s="318" t="e">
        <f t="shared" si="5"/>
        <v>#REF!</v>
      </c>
      <c r="AS215" s="392" t="e">
        <f>IF($B$38="P",IF(#REF!&lt;&gt;"",#REF!,""),"")</f>
        <v>#REF!</v>
      </c>
      <c r="AT215" s="392" t="e">
        <f>IF($B$38="P",IF(#REF!&lt;&gt;"",#REF!,""),"")</f>
        <v>#REF!</v>
      </c>
      <c r="AV215">
        <v>38</v>
      </c>
      <c r="AW215" s="321"/>
    </row>
    <row r="216" spans="18:49" ht="12.75">
      <c r="R216">
        <f t="shared" si="7"/>
        <v>1</v>
      </c>
      <c r="S216" s="318" t="e">
        <f t="shared" si="2"/>
        <v>#REF!</v>
      </c>
      <c r="T216" s="392" t="e">
        <f>IF($B$38="P",IF(#REF!&lt;&gt;"",#REF!,""),"")</f>
        <v>#REF!</v>
      </c>
      <c r="U216" s="392" t="e">
        <f>IF($B$38="P",IF(#REF!&lt;&gt;"",ABS(#REF!),""),"")</f>
        <v>#REF!</v>
      </c>
      <c r="V216" s="392" t="e">
        <f>IF($B$38="P",IF(#REF!&lt;&gt;"",#REF!,""),"")</f>
        <v>#REF!</v>
      </c>
      <c r="W216" s="392" t="e">
        <f>IF($B$38="P",IF(#REF!&lt;&gt;"",#REF!,""),"")</f>
        <v>#REF!</v>
      </c>
      <c r="Y216">
        <v>39</v>
      </c>
      <c r="AB216">
        <f t="shared" si="8"/>
        <v>1</v>
      </c>
      <c r="AC216" s="318" t="e">
        <f t="shared" si="6"/>
        <v>#REF!</v>
      </c>
      <c r="AD216" s="392" t="e">
        <f>IF($B$38="P",IF(#REF!&lt;&gt;"",#REF!,""),"")</f>
        <v>#REF!</v>
      </c>
      <c r="AE216" s="392" t="e">
        <f>IF($B$38="P",IF(#REF!&lt;&gt;"",#REF!,""),"")</f>
        <v>#REF!</v>
      </c>
      <c r="AG216">
        <v>39</v>
      </c>
      <c r="AQ216">
        <f t="shared" si="9"/>
        <v>1</v>
      </c>
      <c r="AR216" s="318" t="e">
        <f t="shared" si="5"/>
        <v>#REF!</v>
      </c>
      <c r="AS216" s="392" t="e">
        <f>IF($B$38="P",IF(#REF!&lt;&gt;"",#REF!,""),"")</f>
        <v>#REF!</v>
      </c>
      <c r="AT216" s="392" t="e">
        <f>IF($B$38="P",IF(#REF!&lt;&gt;"",#REF!,""),"")</f>
        <v>#REF!</v>
      </c>
      <c r="AV216">
        <v>39</v>
      </c>
      <c r="AW216" s="321"/>
    </row>
    <row r="217" spans="18:49" ht="12.75">
      <c r="R217">
        <f t="shared" si="7"/>
        <v>1</v>
      </c>
      <c r="S217" s="318" t="e">
        <f t="shared" si="2"/>
        <v>#REF!</v>
      </c>
      <c r="T217" s="392" t="e">
        <f>IF($B$38="P",IF(#REF!&lt;&gt;"",#REF!,""),"")</f>
        <v>#REF!</v>
      </c>
      <c r="U217" s="392" t="e">
        <f>IF($B$38="P",IF(#REF!&lt;&gt;"",ABS(#REF!),""),"")</f>
        <v>#REF!</v>
      </c>
      <c r="V217" s="392" t="e">
        <f>IF($B$38="P",IF(#REF!&lt;&gt;"",#REF!,""),"")</f>
        <v>#REF!</v>
      </c>
      <c r="W217" s="392" t="e">
        <f>IF($B$38="P",IF(#REF!&lt;&gt;"",#REF!,""),"")</f>
        <v>#REF!</v>
      </c>
      <c r="Y217">
        <v>40</v>
      </c>
      <c r="AB217">
        <f t="shared" si="8"/>
        <v>1</v>
      </c>
      <c r="AC217" s="318" t="e">
        <f t="shared" si="6"/>
        <v>#REF!</v>
      </c>
      <c r="AD217" s="392" t="e">
        <f>IF($B$38="P",IF(#REF!&lt;&gt;"",#REF!,""),"")</f>
        <v>#REF!</v>
      </c>
      <c r="AE217" s="392" t="e">
        <f>IF($B$38="P",IF(#REF!&lt;&gt;"",#REF!,""),"")</f>
        <v>#REF!</v>
      </c>
      <c r="AG217">
        <v>40</v>
      </c>
      <c r="AQ217">
        <f t="shared" si="9"/>
        <v>1</v>
      </c>
      <c r="AR217" s="318" t="e">
        <f t="shared" si="5"/>
        <v>#REF!</v>
      </c>
      <c r="AS217" s="392" t="e">
        <f>IF($B$38="P",IF(#REF!&lt;&gt;"",#REF!,""),"")</f>
        <v>#REF!</v>
      </c>
      <c r="AT217" s="392" t="e">
        <f>IF($B$38="P",IF(#REF!&lt;&gt;"",#REF!,""),"")</f>
        <v>#REF!</v>
      </c>
      <c r="AV217">
        <v>40</v>
      </c>
      <c r="AW217" s="321"/>
    </row>
    <row r="218" spans="18:49" ht="12.75">
      <c r="R218">
        <f t="shared" si="7"/>
        <v>1</v>
      </c>
      <c r="S218" s="318" t="e">
        <f t="shared" si="2"/>
        <v>#REF!</v>
      </c>
      <c r="T218" s="392" t="e">
        <f>IF($B$38="P",IF(#REF!&lt;&gt;"",#REF!,""),"")</f>
        <v>#REF!</v>
      </c>
      <c r="U218" s="392" t="e">
        <f>IF($B$38="P",IF(#REF!&lt;&gt;"",ABS(#REF!),""),"")</f>
        <v>#REF!</v>
      </c>
      <c r="V218" s="392" t="e">
        <f>IF($B$38="P",IF(#REF!&lt;&gt;"",#REF!,""),"")</f>
        <v>#REF!</v>
      </c>
      <c r="W218" s="392" t="e">
        <f>IF($B$38="P",IF(#REF!&lt;&gt;"",#REF!,""),"")</f>
        <v>#REF!</v>
      </c>
      <c r="Y218">
        <v>41</v>
      </c>
      <c r="AB218">
        <f t="shared" si="8"/>
        <v>1</v>
      </c>
      <c r="AC218" s="318" t="e">
        <f t="shared" si="6"/>
        <v>#REF!</v>
      </c>
      <c r="AD218" s="392" t="e">
        <f>IF($B$38="P",IF(#REF!&lt;&gt;"",#REF!,""),"")</f>
        <v>#REF!</v>
      </c>
      <c r="AE218" s="392" t="e">
        <f>IF($B$38="P",IF(#REF!&lt;&gt;"",#REF!,""),"")</f>
        <v>#REF!</v>
      </c>
      <c r="AF218" s="268"/>
      <c r="AG218">
        <v>41</v>
      </c>
      <c r="AQ218">
        <f t="shared" si="9"/>
        <v>1</v>
      </c>
      <c r="AR218" s="318" t="e">
        <f t="shared" si="5"/>
        <v>#REF!</v>
      </c>
      <c r="AS218" s="392" t="e">
        <f>IF($B$38="P",IF(#REF!&lt;&gt;"",#REF!,""),"")</f>
        <v>#REF!</v>
      </c>
      <c r="AT218" s="392" t="e">
        <f>IF($B$38="P",IF(#REF!&lt;&gt;"",#REF!,""),"")</f>
        <v>#REF!</v>
      </c>
      <c r="AV218">
        <v>41</v>
      </c>
      <c r="AW218" s="321"/>
    </row>
    <row r="219" spans="18:49" ht="12.75">
      <c r="R219">
        <f t="shared" si="7"/>
        <v>1</v>
      </c>
      <c r="S219" s="318" t="e">
        <f t="shared" si="2"/>
        <v>#REF!</v>
      </c>
      <c r="T219" s="392" t="e">
        <f>IF($B$38="P",IF(#REF!&lt;&gt;"",#REF!,""),"")</f>
        <v>#REF!</v>
      </c>
      <c r="U219" s="392" t="e">
        <f>IF($B$38="P",IF(#REF!&lt;&gt;"",ABS(#REF!),""),"")</f>
        <v>#REF!</v>
      </c>
      <c r="V219" s="392" t="e">
        <f>IF($B$38="P",IF(#REF!&lt;&gt;"",#REF!,""),"")</f>
        <v>#REF!</v>
      </c>
      <c r="W219" s="392" t="e">
        <f>IF($B$38="P",IF(#REF!&lt;&gt;"",#REF!,""),"")</f>
        <v>#REF!</v>
      </c>
      <c r="Y219">
        <v>42</v>
      </c>
      <c r="AB219">
        <f t="shared" si="8"/>
        <v>1</v>
      </c>
      <c r="AC219" s="318" t="e">
        <f t="shared" si="6"/>
        <v>#REF!</v>
      </c>
      <c r="AD219" s="392" t="e">
        <f>IF($B$38="P",IF(#REF!&lt;&gt;"",#REF!,""),"")</f>
        <v>#REF!</v>
      </c>
      <c r="AE219" s="392" t="e">
        <f>IF($B$38="P",IF(#REF!&lt;&gt;"",#REF!,""),"")</f>
        <v>#REF!</v>
      </c>
      <c r="AF219" s="321"/>
      <c r="AG219">
        <v>42</v>
      </c>
      <c r="AQ219">
        <f t="shared" si="9"/>
        <v>1</v>
      </c>
      <c r="AR219" s="318" t="e">
        <f t="shared" si="5"/>
        <v>#REF!</v>
      </c>
      <c r="AS219" s="392" t="e">
        <f>IF($B$38="P",IF(#REF!&lt;&gt;"",#REF!,""),"")</f>
        <v>#REF!</v>
      </c>
      <c r="AT219" s="392" t="e">
        <f>IF($B$38="P",IF(#REF!&lt;&gt;"",#REF!,""),"")</f>
        <v>#REF!</v>
      </c>
      <c r="AV219">
        <v>42</v>
      </c>
      <c r="AW219" s="321"/>
    </row>
    <row r="220" spans="18:49" ht="12.75">
      <c r="R220">
        <f t="shared" si="7"/>
        <v>1</v>
      </c>
      <c r="S220" s="318" t="e">
        <f t="shared" si="2"/>
        <v>#REF!</v>
      </c>
      <c r="T220" s="392" t="e">
        <f>IF($B$38="P",IF(#REF!&lt;&gt;"",#REF!,""),"")</f>
        <v>#REF!</v>
      </c>
      <c r="U220" s="392" t="e">
        <f>IF($B$38="P",IF(#REF!&lt;&gt;"",ABS(#REF!),""),"")</f>
        <v>#REF!</v>
      </c>
      <c r="V220" s="392" t="e">
        <f>IF($B$38="P",IF(#REF!&lt;&gt;"",#REF!,""),"")</f>
        <v>#REF!</v>
      </c>
      <c r="W220" s="392" t="e">
        <f>IF($B$38="P",IF(#REF!&lt;&gt;"",#REF!,""),"")</f>
        <v>#REF!</v>
      </c>
      <c r="Y220">
        <v>43</v>
      </c>
      <c r="AB220">
        <f t="shared" si="8"/>
        <v>1</v>
      </c>
      <c r="AC220" s="318" t="e">
        <f t="shared" si="6"/>
        <v>#REF!</v>
      </c>
      <c r="AD220" s="392" t="e">
        <f>IF($B$38="P",IF(#REF!&lt;&gt;"",#REF!,""),"")</f>
        <v>#REF!</v>
      </c>
      <c r="AE220" s="392" t="e">
        <f>IF($B$38="P",IF(#REF!&lt;&gt;"",#REF!,""),"")</f>
        <v>#REF!</v>
      </c>
      <c r="AF220" s="321"/>
      <c r="AG220">
        <v>43</v>
      </c>
      <c r="AQ220">
        <f t="shared" si="9"/>
        <v>1</v>
      </c>
      <c r="AR220" s="318" t="e">
        <f t="shared" si="5"/>
        <v>#REF!</v>
      </c>
      <c r="AS220" s="392" t="e">
        <f>IF($B$38="P",IF(#REF!&lt;&gt;"",#REF!,""),"")</f>
        <v>#REF!</v>
      </c>
      <c r="AT220" s="392" t="e">
        <f>IF($B$38="P",IF(#REF!&lt;&gt;"",#REF!,""),"")</f>
        <v>#REF!</v>
      </c>
      <c r="AV220">
        <v>43</v>
      </c>
      <c r="AW220" s="321"/>
    </row>
    <row r="221" spans="18:49" ht="12.75">
      <c r="R221">
        <f t="shared" si="7"/>
        <v>1</v>
      </c>
      <c r="S221" s="318" t="e">
        <f t="shared" si="2"/>
        <v>#REF!</v>
      </c>
      <c r="T221" s="392" t="e">
        <f>IF($B$38="P",IF(#REF!&lt;&gt;"",#REF!,""),"")</f>
        <v>#REF!</v>
      </c>
      <c r="U221" s="392" t="e">
        <f>IF($B$38="P",IF(#REF!&lt;&gt;"",ABS(#REF!),""),"")</f>
        <v>#REF!</v>
      </c>
      <c r="V221" s="392" t="e">
        <f>IF($B$38="P",IF(#REF!&lt;&gt;"",#REF!,""),"")</f>
        <v>#REF!</v>
      </c>
      <c r="W221" s="392" t="e">
        <f>IF($B$38="P",IF(#REF!&lt;&gt;"",#REF!,""),"")</f>
        <v>#REF!</v>
      </c>
      <c r="Y221">
        <v>44</v>
      </c>
      <c r="AB221">
        <f t="shared" si="8"/>
        <v>1</v>
      </c>
      <c r="AC221" s="318" t="e">
        <f t="shared" si="6"/>
        <v>#REF!</v>
      </c>
      <c r="AD221" s="392" t="e">
        <f>IF($B$38="P",IF(#REF!&lt;&gt;"",#REF!,""),"")</f>
        <v>#REF!</v>
      </c>
      <c r="AE221" s="392" t="e">
        <f>IF($B$38="P",IF(#REF!&lt;&gt;"",#REF!,""),"")</f>
        <v>#REF!</v>
      </c>
      <c r="AF221" s="321"/>
      <c r="AG221">
        <v>44</v>
      </c>
      <c r="AQ221">
        <f t="shared" si="9"/>
        <v>1</v>
      </c>
      <c r="AR221" s="318" t="e">
        <f t="shared" si="5"/>
        <v>#REF!</v>
      </c>
      <c r="AS221" s="392" t="e">
        <f>IF($B$38="P",IF(#REF!&lt;&gt;"",#REF!,""),"")</f>
        <v>#REF!</v>
      </c>
      <c r="AT221" s="392" t="e">
        <f>IF($B$38="P",IF(#REF!&lt;&gt;"",#REF!,""),"")</f>
        <v>#REF!</v>
      </c>
      <c r="AV221">
        <v>44</v>
      </c>
      <c r="AW221" s="321"/>
    </row>
    <row r="222" spans="18:49" ht="12.75">
      <c r="R222">
        <f t="shared" si="7"/>
        <v>1</v>
      </c>
      <c r="S222" s="318" t="e">
        <f t="shared" si="2"/>
        <v>#REF!</v>
      </c>
      <c r="T222" s="392" t="e">
        <f>IF($B$38="P",IF(#REF!&lt;&gt;"",#REF!,""),"")</f>
        <v>#REF!</v>
      </c>
      <c r="U222" s="392" t="e">
        <f>IF($B$38="P",IF(#REF!&lt;&gt;"",ABS(#REF!),""),"")</f>
        <v>#REF!</v>
      </c>
      <c r="V222" s="392" t="e">
        <f>IF($B$38="P",IF(#REF!&lt;&gt;"",#REF!,""),"")</f>
        <v>#REF!</v>
      </c>
      <c r="W222" s="392" t="e">
        <f>IF($B$38="P",IF(#REF!&lt;&gt;"",#REF!,""),"")</f>
        <v>#REF!</v>
      </c>
      <c r="Y222">
        <v>45</v>
      </c>
      <c r="AB222">
        <f t="shared" si="8"/>
        <v>1</v>
      </c>
      <c r="AC222" s="318" t="e">
        <f t="shared" si="6"/>
        <v>#REF!</v>
      </c>
      <c r="AD222" s="392" t="e">
        <f>IF($B$38="P",IF(#REF!&lt;&gt;"",#REF!,""),"")</f>
        <v>#REF!</v>
      </c>
      <c r="AE222" s="392" t="e">
        <f>IF($B$38="P",IF(#REF!&lt;&gt;"",#REF!,""),"")</f>
        <v>#REF!</v>
      </c>
      <c r="AF222" s="321"/>
      <c r="AG222">
        <v>45</v>
      </c>
      <c r="AQ222">
        <f t="shared" si="9"/>
        <v>1</v>
      </c>
      <c r="AR222" s="318" t="e">
        <f t="shared" si="5"/>
        <v>#REF!</v>
      </c>
      <c r="AS222" s="392" t="e">
        <f>IF($B$38="P",IF(#REF!&lt;&gt;"",#REF!,""),"")</f>
        <v>#REF!</v>
      </c>
      <c r="AT222" s="392" t="e">
        <f>IF($B$38="P",IF(#REF!&lt;&gt;"",#REF!,""),"")</f>
        <v>#REF!</v>
      </c>
      <c r="AV222">
        <v>45</v>
      </c>
      <c r="AW222" s="321"/>
    </row>
    <row r="223" spans="18:49" ht="12.75">
      <c r="R223">
        <f t="shared" si="7"/>
        <v>1</v>
      </c>
      <c r="S223" s="318" t="e">
        <f t="shared" si="2"/>
        <v>#REF!</v>
      </c>
      <c r="T223" s="392" t="e">
        <f>IF($B$38="P",IF(#REF!&lt;&gt;"",#REF!,""),"")</f>
        <v>#REF!</v>
      </c>
      <c r="U223" s="392" t="e">
        <f>IF($B$38="P",IF(#REF!&lt;&gt;"",ABS(#REF!),""),"")</f>
        <v>#REF!</v>
      </c>
      <c r="V223" s="392" t="e">
        <f>IF($B$38="P",IF(#REF!&lt;&gt;"",#REF!,""),"")</f>
        <v>#REF!</v>
      </c>
      <c r="W223" s="392" t="e">
        <f>IF($B$38="P",IF(#REF!&lt;&gt;"",#REF!,""),"")</f>
        <v>#REF!</v>
      </c>
      <c r="Y223">
        <v>46</v>
      </c>
      <c r="AB223">
        <f t="shared" si="8"/>
        <v>1</v>
      </c>
      <c r="AC223" s="318" t="e">
        <f t="shared" si="6"/>
        <v>#REF!</v>
      </c>
      <c r="AD223" s="392" t="e">
        <f>IF($B$38="P",IF(#REF!&lt;&gt;"",#REF!,""),"")</f>
        <v>#REF!</v>
      </c>
      <c r="AE223" s="392" t="e">
        <f>IF($B$38="P",IF(#REF!&lt;&gt;"",#REF!,""),"")</f>
        <v>#REF!</v>
      </c>
      <c r="AF223" s="321"/>
      <c r="AG223">
        <v>46</v>
      </c>
      <c r="AQ223">
        <f t="shared" si="9"/>
        <v>1</v>
      </c>
      <c r="AR223" s="318" t="e">
        <f t="shared" si="5"/>
        <v>#REF!</v>
      </c>
      <c r="AS223" s="392" t="e">
        <f>IF($B$38="P",IF(#REF!&lt;&gt;"",#REF!,""),"")</f>
        <v>#REF!</v>
      </c>
      <c r="AT223" s="392" t="e">
        <f>IF($B$38="P",IF(#REF!&lt;&gt;"",#REF!,""),"")</f>
        <v>#REF!</v>
      </c>
      <c r="AV223">
        <v>46</v>
      </c>
      <c r="AW223" s="321"/>
    </row>
    <row r="224" spans="18:49" ht="12.75">
      <c r="R224">
        <f t="shared" si="7"/>
        <v>1</v>
      </c>
      <c r="S224" s="318" t="e">
        <f t="shared" si="2"/>
        <v>#REF!</v>
      </c>
      <c r="T224" s="392" t="e">
        <f>IF($B$38="P",IF(#REF!&lt;&gt;"",#REF!,""),"")</f>
        <v>#REF!</v>
      </c>
      <c r="U224" s="392" t="e">
        <f>IF($B$38="P",IF(#REF!&lt;&gt;"",ABS(#REF!),""),"")</f>
        <v>#REF!</v>
      </c>
      <c r="V224" s="392" t="e">
        <f>IF($B$38="P",IF(#REF!&lt;&gt;"",#REF!,""),"")</f>
        <v>#REF!</v>
      </c>
      <c r="W224" s="392" t="e">
        <f>IF($B$38="P",IF(#REF!&lt;&gt;"",#REF!,""),"")</f>
        <v>#REF!</v>
      </c>
      <c r="Y224">
        <v>47</v>
      </c>
      <c r="AB224">
        <f t="shared" si="8"/>
        <v>1</v>
      </c>
      <c r="AC224" s="318" t="e">
        <f t="shared" si="6"/>
        <v>#REF!</v>
      </c>
      <c r="AD224" s="392" t="e">
        <f>IF($B$38="P",IF(#REF!&lt;&gt;"",#REF!,""),"")</f>
        <v>#REF!</v>
      </c>
      <c r="AE224" s="392" t="e">
        <f>IF($B$38="P",IF(#REF!&lt;&gt;"",#REF!,""),"")</f>
        <v>#REF!</v>
      </c>
      <c r="AF224" s="321"/>
      <c r="AG224">
        <v>47</v>
      </c>
      <c r="AQ224">
        <f t="shared" si="9"/>
        <v>1</v>
      </c>
      <c r="AR224" s="318" t="e">
        <f t="shared" si="5"/>
        <v>#REF!</v>
      </c>
      <c r="AS224" s="392" t="e">
        <f>IF($B$38="P",IF(#REF!&lt;&gt;"",#REF!,""),"")</f>
        <v>#REF!</v>
      </c>
      <c r="AT224" s="392" t="e">
        <f>IF($B$38="P",IF(#REF!&lt;&gt;"",#REF!,""),"")</f>
        <v>#REF!</v>
      </c>
      <c r="AV224">
        <v>47</v>
      </c>
      <c r="AW224" s="321"/>
    </row>
    <row r="225" spans="18:49" ht="12.75">
      <c r="R225">
        <f t="shared" si="7"/>
        <v>1</v>
      </c>
      <c r="S225" s="318" t="e">
        <f t="shared" si="2"/>
        <v>#REF!</v>
      </c>
      <c r="T225" s="392" t="e">
        <f>IF($B$38="P",IF(#REF!&lt;&gt;"",#REF!,""),"")</f>
        <v>#REF!</v>
      </c>
      <c r="U225" s="392" t="e">
        <f>IF($B$38="P",IF(#REF!&lt;&gt;"",ABS(#REF!),""),"")</f>
        <v>#REF!</v>
      </c>
      <c r="V225" s="392" t="e">
        <f>IF($B$38="P",IF(#REF!&lt;&gt;"",#REF!,""),"")</f>
        <v>#REF!</v>
      </c>
      <c r="W225" s="392" t="e">
        <f>IF($B$38="P",IF(#REF!&lt;&gt;"",#REF!,""),"")</f>
        <v>#REF!</v>
      </c>
      <c r="Y225">
        <v>48</v>
      </c>
      <c r="AB225">
        <f t="shared" si="8"/>
        <v>1</v>
      </c>
      <c r="AC225" s="318" t="e">
        <f t="shared" si="6"/>
        <v>#REF!</v>
      </c>
      <c r="AD225" s="392" t="e">
        <f>IF($B$38="P",IF(#REF!&lt;&gt;"",#REF!,""),"")</f>
        <v>#REF!</v>
      </c>
      <c r="AE225" s="392" t="e">
        <f>IF($B$38="P",IF(#REF!&lt;&gt;"",#REF!,""),"")</f>
        <v>#REF!</v>
      </c>
      <c r="AF225" s="321"/>
      <c r="AG225">
        <v>48</v>
      </c>
      <c r="AQ225">
        <f t="shared" si="9"/>
        <v>1</v>
      </c>
      <c r="AR225" s="318" t="e">
        <f t="shared" si="5"/>
        <v>#REF!</v>
      </c>
      <c r="AS225" s="392" t="e">
        <f>IF($B$38="P",IF(#REF!&lt;&gt;"",#REF!,""),"")</f>
        <v>#REF!</v>
      </c>
      <c r="AT225" s="392" t="e">
        <f>IF($B$38="P",IF(#REF!&lt;&gt;"",#REF!,""),"")</f>
        <v>#REF!</v>
      </c>
      <c r="AV225">
        <v>48</v>
      </c>
      <c r="AW225" s="321"/>
    </row>
    <row r="226" spans="18:49" ht="12.75">
      <c r="R226">
        <f t="shared" si="7"/>
        <v>1</v>
      </c>
      <c r="S226" s="318" t="e">
        <f t="shared" si="2"/>
        <v>#REF!</v>
      </c>
      <c r="T226" s="392" t="e">
        <f>IF($B$38="P",IF(#REF!&lt;&gt;"",#REF!,""),"")</f>
        <v>#REF!</v>
      </c>
      <c r="U226" s="392" t="e">
        <f>IF($B$38="P",IF(#REF!&lt;&gt;"",ABS(#REF!),""),"")</f>
        <v>#REF!</v>
      </c>
      <c r="V226" s="392" t="e">
        <f>IF($B$38="P",IF(#REF!&lt;&gt;"",#REF!,""),"")</f>
        <v>#REF!</v>
      </c>
      <c r="W226" s="392" t="e">
        <f>IF($B$38="P",IF(#REF!&lt;&gt;"",#REF!,""),"")</f>
        <v>#REF!</v>
      </c>
      <c r="Y226">
        <v>49</v>
      </c>
      <c r="AB226">
        <f t="shared" si="8"/>
        <v>1</v>
      </c>
      <c r="AC226" s="318" t="e">
        <f t="shared" si="6"/>
        <v>#REF!</v>
      </c>
      <c r="AD226" s="392" t="e">
        <f>IF($B$38="P",IF(#REF!&lt;&gt;"",#REF!,""),"")</f>
        <v>#REF!</v>
      </c>
      <c r="AE226" s="392" t="e">
        <f>IF($B$38="P",IF(#REF!&lt;&gt;"",#REF!,""),"")</f>
        <v>#REF!</v>
      </c>
      <c r="AF226" s="321"/>
      <c r="AG226">
        <v>49</v>
      </c>
      <c r="AQ226">
        <f t="shared" si="9"/>
        <v>1</v>
      </c>
      <c r="AR226" s="318" t="e">
        <f t="shared" si="5"/>
        <v>#REF!</v>
      </c>
      <c r="AS226" s="392" t="e">
        <f>IF($B$38="P",IF(#REF!&lt;&gt;"",#REF!,""),"")</f>
        <v>#REF!</v>
      </c>
      <c r="AT226" s="392" t="e">
        <f>IF($B$38="P",IF(#REF!&lt;&gt;"",#REF!,""),"")</f>
        <v>#REF!</v>
      </c>
      <c r="AV226">
        <v>49</v>
      </c>
      <c r="AW226" s="321"/>
    </row>
    <row r="227" spans="18:49" ht="12.75">
      <c r="R227">
        <f t="shared" si="7"/>
        <v>1</v>
      </c>
      <c r="S227" s="318" t="e">
        <f t="shared" si="2"/>
        <v>#REF!</v>
      </c>
      <c r="T227" s="392" t="e">
        <f>IF($B$38="P",IF(#REF!&lt;&gt;"",#REF!,""),"")</f>
        <v>#REF!</v>
      </c>
      <c r="U227" s="392" t="e">
        <f>IF($B$38="P",IF(#REF!&lt;&gt;"",ABS(#REF!),""),"")</f>
        <v>#REF!</v>
      </c>
      <c r="V227" s="392" t="e">
        <f>IF($B$38="P",IF(#REF!&lt;&gt;"",#REF!,""),"")</f>
        <v>#REF!</v>
      </c>
      <c r="W227" s="392" t="e">
        <f>IF($B$38="P",IF(#REF!&lt;&gt;"",#REF!,""),"")</f>
        <v>#REF!</v>
      </c>
      <c r="Y227">
        <v>50</v>
      </c>
      <c r="AB227">
        <f t="shared" si="8"/>
        <v>1</v>
      </c>
      <c r="AC227" s="318" t="e">
        <f t="shared" si="6"/>
        <v>#REF!</v>
      </c>
      <c r="AD227" s="392" t="e">
        <f>IF($B$38="P",IF(#REF!&lt;&gt;"",#REF!,""),"")</f>
        <v>#REF!</v>
      </c>
      <c r="AE227" s="392" t="e">
        <f>IF($B$38="P",IF(#REF!&lt;&gt;"",#REF!,""),"")</f>
        <v>#REF!</v>
      </c>
      <c r="AF227" s="321"/>
      <c r="AG227">
        <v>50</v>
      </c>
      <c r="AQ227">
        <f t="shared" si="9"/>
        <v>1</v>
      </c>
      <c r="AR227" s="318" t="e">
        <f t="shared" si="5"/>
        <v>#REF!</v>
      </c>
      <c r="AS227" s="392" t="e">
        <f>IF($B$38="P",IF(#REF!&lt;&gt;"",#REF!,""),"")</f>
        <v>#REF!</v>
      </c>
      <c r="AT227" s="392" t="e">
        <f>IF($B$38="P",IF(#REF!&lt;&gt;"",#REF!,""),"")</f>
        <v>#REF!</v>
      </c>
      <c r="AV227">
        <v>50</v>
      </c>
      <c r="AW227" s="321"/>
    </row>
    <row r="228" spans="18:49" ht="12.75">
      <c r="R228">
        <f t="shared" si="7"/>
        <v>1</v>
      </c>
      <c r="S228" s="318" t="e">
        <f t="shared" si="2"/>
        <v>#REF!</v>
      </c>
      <c r="T228" s="392" t="e">
        <f>IF($B$38="P",IF(#REF!&lt;&gt;"",#REF!,""),"")</f>
        <v>#REF!</v>
      </c>
      <c r="U228" s="392" t="e">
        <f>IF($B$38="P",IF(#REF!&lt;&gt;"",ABS(#REF!),""),"")</f>
        <v>#REF!</v>
      </c>
      <c r="V228" s="392" t="e">
        <f>IF($B$38="P",IF(#REF!&lt;&gt;"",#REF!,""),"")</f>
        <v>#REF!</v>
      </c>
      <c r="W228" s="392" t="e">
        <f>IF($B$38="P",IF(#REF!&lt;&gt;"",#REF!,""),"")</f>
        <v>#REF!</v>
      </c>
      <c r="Y228">
        <v>51</v>
      </c>
      <c r="AB228">
        <f t="shared" si="8"/>
        <v>1</v>
      </c>
      <c r="AC228" s="318" t="e">
        <f t="shared" si="6"/>
        <v>#REF!</v>
      </c>
      <c r="AD228" s="392" t="e">
        <f>IF($B$38="P",IF(#REF!&lt;&gt;"",#REF!,""),"")</f>
        <v>#REF!</v>
      </c>
      <c r="AE228" s="392" t="e">
        <f>IF($B$38="P",IF(#REF!&lt;&gt;"",#REF!,""),"")</f>
        <v>#REF!</v>
      </c>
      <c r="AF228" s="321"/>
      <c r="AG228">
        <v>51</v>
      </c>
      <c r="AQ228">
        <f t="shared" si="9"/>
        <v>1</v>
      </c>
      <c r="AR228" s="318" t="e">
        <f t="shared" si="5"/>
        <v>#REF!</v>
      </c>
      <c r="AS228" s="392" t="e">
        <f>IF($B$38="P",IF(#REF!&lt;&gt;"",#REF!,""),"")</f>
        <v>#REF!</v>
      </c>
      <c r="AT228" s="392" t="e">
        <f>IF($B$38="P",IF(#REF!&lt;&gt;"",#REF!,""),"")</f>
        <v>#REF!</v>
      </c>
      <c r="AV228">
        <v>51</v>
      </c>
      <c r="AW228" s="321"/>
    </row>
    <row r="229" spans="18:49" ht="12.75">
      <c r="R229">
        <f t="shared" si="7"/>
        <v>1</v>
      </c>
      <c r="S229" s="318" t="e">
        <f t="shared" si="2"/>
        <v>#REF!</v>
      </c>
      <c r="T229" s="392" t="e">
        <f>IF($B$38="P",IF(#REF!&lt;&gt;"",#REF!,""),"")</f>
        <v>#REF!</v>
      </c>
      <c r="U229" s="392" t="e">
        <f>IF($B$38="P",IF(#REF!&lt;&gt;"",ABS(#REF!),""),"")</f>
        <v>#REF!</v>
      </c>
      <c r="V229" s="392" t="e">
        <f>IF($B$38="P",IF(#REF!&lt;&gt;"",#REF!,""),"")</f>
        <v>#REF!</v>
      </c>
      <c r="W229" s="392" t="e">
        <f>IF($B$38="P",IF(#REF!&lt;&gt;"",#REF!,""),"")</f>
        <v>#REF!</v>
      </c>
      <c r="Y229">
        <v>52</v>
      </c>
      <c r="AB229">
        <f t="shared" si="8"/>
        <v>1</v>
      </c>
      <c r="AC229" s="318" t="e">
        <f t="shared" si="6"/>
        <v>#REF!</v>
      </c>
      <c r="AD229" s="392" t="e">
        <f>IF($B$38="P",IF(#REF!&lt;&gt;"",#REF!,""),"")</f>
        <v>#REF!</v>
      </c>
      <c r="AE229" s="392" t="e">
        <f>IF($B$38="P",IF(#REF!&lt;&gt;"",#REF!,""),"")</f>
        <v>#REF!</v>
      </c>
      <c r="AF229" s="321"/>
      <c r="AG229">
        <v>52</v>
      </c>
      <c r="AQ229">
        <f t="shared" si="9"/>
        <v>1</v>
      </c>
      <c r="AR229" s="318" t="e">
        <f t="shared" si="5"/>
        <v>#REF!</v>
      </c>
      <c r="AS229" s="392" t="e">
        <f>IF($B$38="P",IF(#REF!&lt;&gt;"",#REF!,""),"")</f>
        <v>#REF!</v>
      </c>
      <c r="AT229" s="392" t="e">
        <f>IF($B$38="P",IF(#REF!&lt;&gt;"",#REF!,""),"")</f>
        <v>#REF!</v>
      </c>
      <c r="AV229">
        <v>52</v>
      </c>
      <c r="AW229" s="321"/>
    </row>
    <row r="230" spans="18:49" ht="12.75">
      <c r="R230">
        <f t="shared" si="7"/>
        <v>1</v>
      </c>
      <c r="S230" s="318" t="e">
        <f t="shared" si="2"/>
        <v>#REF!</v>
      </c>
      <c r="T230" s="392" t="e">
        <f>IF($B$38="P",IF(#REF!&lt;&gt;"",#REF!,""),"")</f>
        <v>#REF!</v>
      </c>
      <c r="U230" s="392" t="e">
        <f>IF($B$38="P",IF(#REF!&lt;&gt;"",ABS(#REF!),""),"")</f>
        <v>#REF!</v>
      </c>
      <c r="V230" s="392" t="e">
        <f>IF($B$38="P",IF(#REF!&lt;&gt;"",#REF!,""),"")</f>
        <v>#REF!</v>
      </c>
      <c r="W230" s="392" t="e">
        <f>IF($B$38="P",IF(#REF!&lt;&gt;"",#REF!,""),"")</f>
        <v>#REF!</v>
      </c>
      <c r="Y230">
        <v>53</v>
      </c>
      <c r="AB230">
        <f t="shared" si="8"/>
        <v>1</v>
      </c>
      <c r="AC230" s="318" t="e">
        <f t="shared" si="6"/>
        <v>#REF!</v>
      </c>
      <c r="AD230" s="392" t="e">
        <f>IF($B$38="P",IF(#REF!&lt;&gt;"",#REF!,""),"")</f>
        <v>#REF!</v>
      </c>
      <c r="AE230" s="392" t="e">
        <f>IF($B$38="P",IF(#REF!&lt;&gt;"",#REF!,""),"")</f>
        <v>#REF!</v>
      </c>
      <c r="AF230" s="321"/>
      <c r="AG230">
        <v>53</v>
      </c>
      <c r="AQ230">
        <f t="shared" si="9"/>
        <v>1</v>
      </c>
      <c r="AR230" s="318" t="e">
        <f t="shared" si="5"/>
        <v>#REF!</v>
      </c>
      <c r="AS230" s="392" t="e">
        <f>IF($B$38="P",IF(#REF!&lt;&gt;"",#REF!,""),"")</f>
        <v>#REF!</v>
      </c>
      <c r="AT230" s="392" t="e">
        <f>IF($B$38="P",IF(#REF!&lt;&gt;"",#REF!,""),"")</f>
        <v>#REF!</v>
      </c>
      <c r="AV230">
        <v>53</v>
      </c>
      <c r="AW230" s="321"/>
    </row>
    <row r="231" spans="18:49" ht="12.75">
      <c r="R231">
        <f t="shared" si="7"/>
        <v>1</v>
      </c>
      <c r="S231" s="318" t="e">
        <f t="shared" si="2"/>
        <v>#REF!</v>
      </c>
      <c r="T231" s="392" t="e">
        <f>IF($B$38="P",IF(#REF!&lt;&gt;"",#REF!,""),"")</f>
        <v>#REF!</v>
      </c>
      <c r="U231" s="392" t="e">
        <f>IF($B$38="P",IF(#REF!&lt;&gt;"",ABS(#REF!),""),"")</f>
        <v>#REF!</v>
      </c>
      <c r="V231" s="392" t="e">
        <f>IF($B$38="P",IF(#REF!&lt;&gt;"",#REF!,""),"")</f>
        <v>#REF!</v>
      </c>
      <c r="W231" s="392" t="e">
        <f>IF($B$38="P",IF(#REF!&lt;&gt;"",#REF!,""),"")</f>
        <v>#REF!</v>
      </c>
      <c r="Y231">
        <v>54</v>
      </c>
      <c r="AB231">
        <f t="shared" si="8"/>
        <v>1</v>
      </c>
      <c r="AC231" s="318" t="e">
        <f t="shared" si="6"/>
        <v>#REF!</v>
      </c>
      <c r="AD231" s="392" t="e">
        <f>IF($B$38="P",IF(#REF!&lt;&gt;"",#REF!,""),"")</f>
        <v>#REF!</v>
      </c>
      <c r="AE231" s="392" t="e">
        <f>IF($B$38="P",IF(#REF!&lt;&gt;"",#REF!,""),"")</f>
        <v>#REF!</v>
      </c>
      <c r="AF231" s="321"/>
      <c r="AG231">
        <v>54</v>
      </c>
      <c r="AQ231">
        <f t="shared" si="9"/>
        <v>1</v>
      </c>
      <c r="AR231" s="318" t="e">
        <f t="shared" si="5"/>
        <v>#REF!</v>
      </c>
      <c r="AS231" s="392" t="e">
        <f>IF($B$38="P",IF(#REF!&lt;&gt;"",#REF!,""),"")</f>
        <v>#REF!</v>
      </c>
      <c r="AT231" s="392" t="e">
        <f>IF($B$38="P",IF(#REF!&lt;&gt;"",#REF!,""),"")</f>
        <v>#REF!</v>
      </c>
      <c r="AV231">
        <v>54</v>
      </c>
      <c r="AW231" s="321"/>
    </row>
    <row r="232" spans="18:49" ht="12.75">
      <c r="R232">
        <f t="shared" si="7"/>
        <v>1</v>
      </c>
      <c r="S232" s="318" t="e">
        <f t="shared" si="2"/>
        <v>#REF!</v>
      </c>
      <c r="T232" s="392" t="e">
        <f>IF($B$38="P",IF(#REF!&lt;&gt;"",#REF!,""),"")</f>
        <v>#REF!</v>
      </c>
      <c r="U232" s="392" t="e">
        <f>IF($B$38="P",IF(#REF!&lt;&gt;"",ABS(#REF!),""),"")</f>
        <v>#REF!</v>
      </c>
      <c r="V232" s="392" t="e">
        <f>IF($B$38="P",IF(#REF!&lt;&gt;"",#REF!,""),"")</f>
        <v>#REF!</v>
      </c>
      <c r="W232" s="392" t="e">
        <f>IF($B$38="P",IF(#REF!&lt;&gt;"",#REF!,""),"")</f>
        <v>#REF!</v>
      </c>
      <c r="Y232">
        <v>55</v>
      </c>
      <c r="AB232">
        <f t="shared" si="8"/>
        <v>1</v>
      </c>
      <c r="AC232" s="318" t="e">
        <f t="shared" si="6"/>
        <v>#REF!</v>
      </c>
      <c r="AD232" s="392" t="e">
        <f>IF($B$38="P",IF(#REF!&lt;&gt;"",#REF!,""),"")</f>
        <v>#REF!</v>
      </c>
      <c r="AE232" s="392" t="e">
        <f>IF($B$38="P",IF(#REF!&lt;&gt;"",#REF!,""),"")</f>
        <v>#REF!</v>
      </c>
      <c r="AF232" s="321"/>
      <c r="AG232">
        <v>55</v>
      </c>
      <c r="AQ232">
        <f t="shared" si="9"/>
        <v>1</v>
      </c>
      <c r="AR232" s="318" t="e">
        <f t="shared" si="5"/>
        <v>#REF!</v>
      </c>
      <c r="AS232" s="392" t="e">
        <f>IF($B$38="P",IF(#REF!&lt;&gt;"",#REF!,""),"")</f>
        <v>#REF!</v>
      </c>
      <c r="AT232" s="392" t="e">
        <f>IF($B$38="P",IF(#REF!&lt;&gt;"",#REF!,""),"")</f>
        <v>#REF!</v>
      </c>
      <c r="AV232">
        <v>55</v>
      </c>
      <c r="AW232" s="321"/>
    </row>
    <row r="233" spans="18:49" ht="12.75">
      <c r="R233">
        <f t="shared" si="7"/>
        <v>1</v>
      </c>
      <c r="S233" s="318" t="e">
        <f t="shared" si="2"/>
        <v>#REF!</v>
      </c>
      <c r="T233" s="392" t="e">
        <f>IF($B$38="P",IF(#REF!&lt;&gt;"",#REF!,""),"")</f>
        <v>#REF!</v>
      </c>
      <c r="U233" s="392" t="e">
        <f>IF($B$38="P",IF(#REF!&lt;&gt;"",ABS(#REF!),""),"")</f>
        <v>#REF!</v>
      </c>
      <c r="V233" s="392" t="e">
        <f>IF($B$38="P",IF(#REF!&lt;&gt;"",#REF!,""),"")</f>
        <v>#REF!</v>
      </c>
      <c r="W233" s="392" t="e">
        <f>IF($B$38="P",IF(#REF!&lt;&gt;"",#REF!,""),"")</f>
        <v>#REF!</v>
      </c>
      <c r="Y233">
        <v>56</v>
      </c>
      <c r="AB233">
        <f t="shared" si="8"/>
        <v>1</v>
      </c>
      <c r="AC233" s="318" t="e">
        <f t="shared" si="6"/>
        <v>#REF!</v>
      </c>
      <c r="AD233" s="392" t="e">
        <f>IF($B$38="P",IF(#REF!&lt;&gt;"",#REF!,""),"")</f>
        <v>#REF!</v>
      </c>
      <c r="AE233" s="392" t="e">
        <f>IF($B$38="P",IF(#REF!&lt;&gt;"",#REF!,""),"")</f>
        <v>#REF!</v>
      </c>
      <c r="AF233" s="321"/>
      <c r="AG233">
        <v>56</v>
      </c>
      <c r="AQ233">
        <f t="shared" si="9"/>
        <v>1</v>
      </c>
      <c r="AR233" s="318" t="e">
        <f t="shared" si="5"/>
        <v>#REF!</v>
      </c>
      <c r="AS233" s="392" t="e">
        <f>IF($B$38="P",IF(#REF!&lt;&gt;"",#REF!,""),"")</f>
        <v>#REF!</v>
      </c>
      <c r="AT233" s="392" t="e">
        <f>IF($B$38="P",IF(#REF!&lt;&gt;"",#REF!,""),"")</f>
        <v>#REF!</v>
      </c>
      <c r="AV233">
        <v>56</v>
      </c>
      <c r="AW233" s="321"/>
    </row>
    <row r="234" spans="18:49" ht="12.75">
      <c r="R234">
        <f t="shared" si="7"/>
        <v>1</v>
      </c>
      <c r="S234" s="318" t="e">
        <f t="shared" si="2"/>
        <v>#REF!</v>
      </c>
      <c r="T234" s="392" t="e">
        <f>IF($B$38="P",IF(#REF!&lt;&gt;"",#REF!,""),"")</f>
        <v>#REF!</v>
      </c>
      <c r="U234" s="392" t="e">
        <f>IF($B$38="P",IF(#REF!&lt;&gt;"",ABS(#REF!),""),"")</f>
        <v>#REF!</v>
      </c>
      <c r="V234" s="392" t="e">
        <f>IF($B$38="P",IF(#REF!&lt;&gt;"",#REF!,""),"")</f>
        <v>#REF!</v>
      </c>
      <c r="W234" s="392" t="e">
        <f>IF($B$38="P",IF(#REF!&lt;&gt;"",#REF!,""),"")</f>
        <v>#REF!</v>
      </c>
      <c r="Y234">
        <v>57</v>
      </c>
      <c r="AD234" s="316"/>
      <c r="AE234" s="316"/>
      <c r="AF234" s="321"/>
      <c r="AG234" s="321"/>
      <c r="AH234" s="321"/>
      <c r="AQ234">
        <f t="shared" si="9"/>
        <v>1</v>
      </c>
      <c r="AR234" s="318" t="e">
        <f t="shared" si="5"/>
        <v>#REF!</v>
      </c>
      <c r="AS234" s="392" t="e">
        <f>IF($B$38="P",IF(#REF!&lt;&gt;"",#REF!,""),"")</f>
        <v>#REF!</v>
      </c>
      <c r="AT234" s="392" t="e">
        <f>IF($B$38="P",IF(#REF!&lt;&gt;"",#REF!,""),"")</f>
        <v>#REF!</v>
      </c>
      <c r="AV234">
        <v>57</v>
      </c>
      <c r="AW234" s="321"/>
    </row>
    <row r="235" spans="18:49" ht="12.75">
      <c r="R235">
        <f t="shared" si="7"/>
        <v>1</v>
      </c>
      <c r="S235" s="318" t="e">
        <f t="shared" si="2"/>
        <v>#REF!</v>
      </c>
      <c r="T235" s="392" t="e">
        <f>IF($B$38="P",IF(#REF!&lt;&gt;"",#REF!,""),"")</f>
        <v>#REF!</v>
      </c>
      <c r="U235" s="392" t="e">
        <f>IF($B$38="P",IF(#REF!&lt;&gt;"",ABS(#REF!),""),"")</f>
        <v>#REF!</v>
      </c>
      <c r="V235" s="392" t="e">
        <f>IF($B$38="P",IF(#REF!&lt;&gt;"",#REF!,""),"")</f>
        <v>#REF!</v>
      </c>
      <c r="W235" s="392" t="e">
        <f>IF($B$38="P",IF(#REF!&lt;&gt;"",#REF!,""),"")</f>
        <v>#REF!</v>
      </c>
      <c r="Y235">
        <v>58</v>
      </c>
      <c r="AD235" s="316"/>
      <c r="AE235" s="316"/>
      <c r="AF235" s="321"/>
      <c r="AG235" s="321"/>
      <c r="AH235" s="321"/>
      <c r="AQ235">
        <f t="shared" si="9"/>
        <v>1</v>
      </c>
      <c r="AR235" s="318" t="e">
        <f t="shared" si="5"/>
        <v>#REF!</v>
      </c>
      <c r="AS235" s="392" t="e">
        <f>IF($B$38="P",IF(#REF!&lt;&gt;"",#REF!,""),"")</f>
        <v>#REF!</v>
      </c>
      <c r="AT235" s="392" t="e">
        <f>IF($B$38="P",IF(#REF!&lt;&gt;"",#REF!,""),"")</f>
        <v>#REF!</v>
      </c>
      <c r="AV235">
        <v>58</v>
      </c>
      <c r="AW235" s="321"/>
    </row>
    <row r="236" spans="18:49" ht="12.75">
      <c r="R236">
        <f t="shared" si="7"/>
        <v>1</v>
      </c>
      <c r="S236" s="318" t="e">
        <f t="shared" si="2"/>
        <v>#REF!</v>
      </c>
      <c r="T236" s="392" t="e">
        <f>IF($B$38="P",IF(#REF!&lt;&gt;"",#REF!,""),"")</f>
        <v>#REF!</v>
      </c>
      <c r="U236" s="392" t="e">
        <f>IF($B$38="P",IF(#REF!&lt;&gt;"",ABS(#REF!),""),"")</f>
        <v>#REF!</v>
      </c>
      <c r="V236" s="392" t="e">
        <f>IF($B$38="P",IF(#REF!&lt;&gt;"",#REF!,""),"")</f>
        <v>#REF!</v>
      </c>
      <c r="W236" s="392" t="e">
        <f>IF($B$38="P",IF(#REF!&lt;&gt;"",#REF!,""),"")</f>
        <v>#REF!</v>
      </c>
      <c r="Y236">
        <v>59</v>
      </c>
      <c r="AD236" s="316"/>
      <c r="AE236" s="316"/>
      <c r="AF236" s="321"/>
      <c r="AG236" s="321"/>
      <c r="AH236" s="321"/>
      <c r="AQ236" s="316">
        <f t="shared" si="10" ref="AQ236:AQ243">$AP$178</f>
        <v>1</v>
      </c>
      <c r="AR236" s="318" t="e">
        <f t="shared" si="5"/>
        <v>#REF!</v>
      </c>
      <c r="AS236" s="392" t="e">
        <f>IF($B$38="P",IF(#REF!&lt;&gt;"",#REF!,""),"")</f>
        <v>#REF!</v>
      </c>
      <c r="AT236" s="392" t="e">
        <f>IF($B$38="P",IF(#REF!&lt;&gt;"",#REF!,""),"")</f>
        <v>#REF!</v>
      </c>
      <c r="AV236">
        <v>59</v>
      </c>
      <c r="AW236" s="321"/>
    </row>
    <row r="237" spans="18:49" ht="12.75">
      <c r="R237">
        <f t="shared" si="7"/>
        <v>1</v>
      </c>
      <c r="S237" s="318" t="e">
        <f t="shared" si="2"/>
        <v>#REF!</v>
      </c>
      <c r="T237" s="392" t="e">
        <f>IF($B$38="P",IF(#REF!&lt;&gt;"",#REF!,""),"")</f>
        <v>#REF!</v>
      </c>
      <c r="U237" s="392" t="e">
        <f>IF($B$38="P",IF(#REF!&lt;&gt;"",ABS(#REF!),""),"")</f>
        <v>#REF!</v>
      </c>
      <c r="V237" s="392" t="e">
        <f>IF($B$38="P",IF(#REF!&lt;&gt;"",#REF!,""),"")</f>
        <v>#REF!</v>
      </c>
      <c r="W237" s="392" t="e">
        <f>IF($B$38="P",IF(#REF!&lt;&gt;"",#REF!,""),"")</f>
        <v>#REF!</v>
      </c>
      <c r="Y237">
        <v>60</v>
      </c>
      <c r="AD237" s="316"/>
      <c r="AE237" s="316"/>
      <c r="AF237" s="321"/>
      <c r="AG237" s="321"/>
      <c r="AH237" s="321"/>
      <c r="AQ237" s="316">
        <f t="shared" si="10"/>
        <v>1</v>
      </c>
      <c r="AR237" s="318" t="e">
        <f t="shared" si="5"/>
        <v>#REF!</v>
      </c>
      <c r="AS237" s="392" t="e">
        <f>IF($B$38="P",IF(#REF!&lt;&gt;"",#REF!,""),"")</f>
        <v>#REF!</v>
      </c>
      <c r="AT237" s="392" t="e">
        <f>IF($B$38="P",IF(#REF!&lt;&gt;"",#REF!,""),"")</f>
        <v>#REF!</v>
      </c>
      <c r="AV237">
        <v>60</v>
      </c>
      <c r="AW237" s="321"/>
    </row>
    <row r="238" spans="18:49" ht="12.75">
      <c r="R238">
        <f t="shared" si="7"/>
        <v>1</v>
      </c>
      <c r="S238" s="318" t="e">
        <f t="shared" si="2"/>
        <v>#REF!</v>
      </c>
      <c r="T238" s="392" t="e">
        <f>IF($B$38="P",IF(#REF!&lt;&gt;"",#REF!,""),"")</f>
        <v>#REF!</v>
      </c>
      <c r="U238" s="392" t="e">
        <f>IF($B$38="P",IF(#REF!&lt;&gt;"",ABS(#REF!),""),"")</f>
        <v>#REF!</v>
      </c>
      <c r="V238" s="392" t="e">
        <f>IF($B$38="P",IF(#REF!&lt;&gt;"",#REF!,""),"")</f>
        <v>#REF!</v>
      </c>
      <c r="W238" s="392" t="e">
        <f>IF($B$38="P",IF(#REF!&lt;&gt;"",#REF!,""),"")</f>
        <v>#REF!</v>
      </c>
      <c r="Y238">
        <v>61</v>
      </c>
      <c r="AD238" s="316"/>
      <c r="AE238" s="316"/>
      <c r="AF238" s="321"/>
      <c r="AG238" s="321"/>
      <c r="AH238" s="321"/>
      <c r="AQ238" s="316">
        <f t="shared" si="10"/>
        <v>1</v>
      </c>
      <c r="AR238" s="318" t="e">
        <f t="shared" si="5"/>
        <v>#REF!</v>
      </c>
      <c r="AS238" s="392" t="e">
        <f>IF($B$38="P",IF(#REF!&lt;&gt;"",#REF!,""),"")</f>
        <v>#REF!</v>
      </c>
      <c r="AT238" s="392" t="e">
        <f>IF($B$38="P",IF(#REF!&lt;&gt;"",#REF!,""),"")</f>
        <v>#REF!</v>
      </c>
      <c r="AV238">
        <v>61</v>
      </c>
      <c r="AW238" s="321"/>
    </row>
    <row r="239" spans="18:49" ht="12.75">
      <c r="R239">
        <f t="shared" si="7"/>
        <v>1</v>
      </c>
      <c r="S239" s="318" t="e">
        <f t="shared" si="2"/>
        <v>#REF!</v>
      </c>
      <c r="T239" s="392" t="e">
        <f>IF($B$38="P",IF(#REF!&lt;&gt;"",#REF!,""),"")</f>
        <v>#REF!</v>
      </c>
      <c r="U239" s="392" t="e">
        <f>IF($B$38="P",IF(#REF!&lt;&gt;"",ABS(#REF!),""),"")</f>
        <v>#REF!</v>
      </c>
      <c r="V239" s="392" t="e">
        <f>IF($B$38="P",IF(#REF!&lt;&gt;"",#REF!,""),"")</f>
        <v>#REF!</v>
      </c>
      <c r="W239" s="392" t="e">
        <f>IF($B$38="P",IF(#REF!&lt;&gt;"",#REF!,""),"")</f>
        <v>#REF!</v>
      </c>
      <c r="Y239">
        <v>62</v>
      </c>
      <c r="AQ239" s="316">
        <f t="shared" si="10"/>
        <v>1</v>
      </c>
      <c r="AR239" s="318" t="e">
        <f t="shared" si="5"/>
        <v>#REF!</v>
      </c>
      <c r="AS239" s="392" t="e">
        <f>IF($B$38="P",IF(#REF!&lt;&gt;"",#REF!,""),"")</f>
        <v>#REF!</v>
      </c>
      <c r="AT239" s="392" t="e">
        <f>IF($B$38="P",IF(#REF!&lt;&gt;"",#REF!,""),"")</f>
        <v>#REF!</v>
      </c>
      <c r="AV239">
        <v>62</v>
      </c>
      <c r="AW239" s="321"/>
    </row>
    <row r="240" spans="18:49" ht="12.75">
      <c r="R240">
        <f t="shared" si="7"/>
        <v>1</v>
      </c>
      <c r="S240" s="318" t="e">
        <f t="shared" si="2"/>
        <v>#REF!</v>
      </c>
      <c r="T240" s="392" t="e">
        <f>IF($B$38="P",IF(#REF!&lt;&gt;"",#REF!,""),"")</f>
        <v>#REF!</v>
      </c>
      <c r="U240" s="392" t="e">
        <f>IF($B$38="P",IF(#REF!&lt;&gt;"",ABS(#REF!),""),"")</f>
        <v>#REF!</v>
      </c>
      <c r="V240" s="392" t="e">
        <f>IF($B$38="P",IF(#REF!&lt;&gt;"",#REF!,""),"")</f>
        <v>#REF!</v>
      </c>
      <c r="W240" s="392" t="e">
        <f>IF($B$38="P",IF(#REF!&lt;&gt;"",#REF!,""),"")</f>
        <v>#REF!</v>
      </c>
      <c r="Y240">
        <v>63</v>
      </c>
      <c r="AQ240" s="316">
        <f t="shared" si="10"/>
        <v>1</v>
      </c>
      <c r="AR240" s="318" t="e">
        <f t="shared" si="5"/>
        <v>#REF!</v>
      </c>
      <c r="AS240" s="392" t="e">
        <f>IF($B$38="P",IF(#REF!&lt;&gt;"",#REF!,""),"")</f>
        <v>#REF!</v>
      </c>
      <c r="AT240" s="392" t="e">
        <f>IF($B$38="P",IF(#REF!&lt;&gt;"",#REF!,""),"")</f>
        <v>#REF!</v>
      </c>
      <c r="AV240">
        <v>63</v>
      </c>
      <c r="AW240" s="321"/>
    </row>
    <row r="241" spans="18:49" ht="12.75">
      <c r="R241">
        <f t="shared" si="7"/>
        <v>1</v>
      </c>
      <c r="S241" s="318" t="e">
        <f t="shared" si="2"/>
        <v>#REF!</v>
      </c>
      <c r="T241" s="392" t="e">
        <f>IF($B$38="P",IF(#REF!&lt;&gt;"",#REF!,""),"")</f>
        <v>#REF!</v>
      </c>
      <c r="U241" s="392" t="e">
        <f>IF($B$38="P",IF(#REF!&lt;&gt;"",ABS(#REF!),""),"")</f>
        <v>#REF!</v>
      </c>
      <c r="V241" s="392" t="e">
        <f>IF($B$38="P",IF(#REF!&lt;&gt;"",#REF!,""),"")</f>
        <v>#REF!</v>
      </c>
      <c r="W241" s="392" t="e">
        <f>IF($B$38="P",IF(#REF!&lt;&gt;"",#REF!,""),"")</f>
        <v>#REF!</v>
      </c>
      <c r="Y241">
        <v>64</v>
      </c>
      <c r="AQ241" s="316">
        <f t="shared" si="10"/>
        <v>1</v>
      </c>
      <c r="AR241" s="318" t="e">
        <f t="shared" si="5"/>
        <v>#REF!</v>
      </c>
      <c r="AS241" s="392" t="e">
        <f>IF($B$38="P",IF(#REF!&lt;&gt;"",#REF!,""),"")</f>
        <v>#REF!</v>
      </c>
      <c r="AT241" s="392" t="e">
        <f>IF($B$38="P",IF(#REF!&lt;&gt;"",#REF!,""),"")</f>
        <v>#REF!</v>
      </c>
      <c r="AV241">
        <v>64</v>
      </c>
      <c r="AW241" s="321"/>
    </row>
    <row r="242" spans="18:49" ht="12.75">
      <c r="R242">
        <f t="shared" si="7"/>
        <v>1</v>
      </c>
      <c r="S242" s="318" t="e">
        <f t="shared" si="11" ref="S242:S254">IF($B$38="P",Y242,IF($B$38="Z",IF(Z242&lt;&gt;"",Z242,""),IF($B$38="M",IF(AA242&lt;&gt;"",AA242,""),Y242)))</f>
        <v>#REF!</v>
      </c>
      <c r="T242" s="392" t="e">
        <f>IF($B$38="P",IF(#REF!&lt;&gt;"",#REF!,""),"")</f>
        <v>#REF!</v>
      </c>
      <c r="U242" s="392" t="e">
        <f>IF($B$38="P",IF(#REF!&lt;&gt;"",ABS(#REF!),""),"")</f>
        <v>#REF!</v>
      </c>
      <c r="V242" s="392" t="e">
        <f>IF($B$38="P",IF(#REF!&lt;&gt;"",#REF!,""),"")</f>
        <v>#REF!</v>
      </c>
      <c r="W242" s="392" t="e">
        <f>IF($B$38="P",IF(#REF!&lt;&gt;"",#REF!,""),"")</f>
        <v>#REF!</v>
      </c>
      <c r="Y242">
        <v>65</v>
      </c>
      <c r="AQ242" s="316">
        <f t="shared" si="10"/>
        <v>1</v>
      </c>
      <c r="AR242" s="318" t="e">
        <f t="shared" si="12" ref="AR242:AR243">IF($B$38="P",AV242,IF($B$38="Z",IF(AW242&lt;&gt;"",AW242,""),IF($B$38="M",IF(AX242&lt;&gt;"",AX242,""),AV242)))</f>
        <v>#REF!</v>
      </c>
      <c r="AS242" s="392" t="e">
        <f>IF($B$38="P",IF(#REF!&lt;&gt;"",#REF!,""),"")</f>
        <v>#REF!</v>
      </c>
      <c r="AT242" s="392" t="e">
        <f>IF($B$38="P",IF(#REF!&lt;&gt;"",#REF!,""),"")</f>
        <v>#REF!</v>
      </c>
      <c r="AV242">
        <v>65</v>
      </c>
      <c r="AW242" s="321"/>
    </row>
    <row r="243" spans="18:49" ht="12.75">
      <c r="R243">
        <f t="shared" si="7"/>
        <v>1</v>
      </c>
      <c r="S243" s="318" t="e">
        <f t="shared" si="11"/>
        <v>#REF!</v>
      </c>
      <c r="T243" s="392" t="e">
        <f>IF($B$38="P",IF(#REF!&lt;&gt;"",#REF!,""),"")</f>
        <v>#REF!</v>
      </c>
      <c r="U243" s="392" t="e">
        <f>IF($B$38="P",IF(#REF!&lt;&gt;"",ABS(#REF!),""),"")</f>
        <v>#REF!</v>
      </c>
      <c r="V243" s="392" t="e">
        <f>IF($B$38="P",IF(#REF!&lt;&gt;"",#REF!,""),"")</f>
        <v>#REF!</v>
      </c>
      <c r="W243" s="392" t="e">
        <f>IF($B$38="P",IF(#REF!&lt;&gt;"",#REF!,""),"")</f>
        <v>#REF!</v>
      </c>
      <c r="Y243">
        <v>66</v>
      </c>
      <c r="AQ243" s="316">
        <f t="shared" si="10"/>
        <v>1</v>
      </c>
      <c r="AR243" s="318" t="e">
        <f t="shared" si="12"/>
        <v>#REF!</v>
      </c>
      <c r="AS243" s="392" t="e">
        <f>IF($B$38="P",IF(#REF!&lt;&gt;"",#REF!,""),"")</f>
        <v>#REF!</v>
      </c>
      <c r="AT243" s="392" t="e">
        <f>IF($B$38="P",IF(#REF!&lt;&gt;"",#REF!,""),"")</f>
        <v>#REF!</v>
      </c>
      <c r="AV243">
        <v>66</v>
      </c>
      <c r="AW243" s="321"/>
    </row>
    <row r="244" spans="18:25" ht="12.75">
      <c r="R244">
        <f t="shared" si="13" ref="R244:R254">$Q$178</f>
        <v>1</v>
      </c>
      <c r="S244" s="318" t="e">
        <f t="shared" si="11"/>
        <v>#REF!</v>
      </c>
      <c r="T244" s="392" t="e">
        <f>IF($B$38="P",IF(#REF!&lt;&gt;"",#REF!,""),"")</f>
        <v>#REF!</v>
      </c>
      <c r="U244" s="392" t="e">
        <f>IF($B$38="P",IF(#REF!&lt;&gt;"",ABS(#REF!),""),"")</f>
        <v>#REF!</v>
      </c>
      <c r="V244" s="392" t="e">
        <f>IF($B$38="P",IF(#REF!&lt;&gt;"",#REF!,""),"")</f>
        <v>#REF!</v>
      </c>
      <c r="W244" s="392" t="e">
        <f>IF($B$38="P",IF(#REF!&lt;&gt;"",#REF!,""),"")</f>
        <v>#REF!</v>
      </c>
      <c r="Y244">
        <v>67</v>
      </c>
    </row>
    <row r="245" spans="18:25" ht="12.75">
      <c r="R245">
        <f t="shared" si="13"/>
        <v>1</v>
      </c>
      <c r="S245" s="318" t="e">
        <f t="shared" si="11"/>
        <v>#REF!</v>
      </c>
      <c r="T245" s="392" t="e">
        <f>IF($B$38="P",IF(#REF!&lt;&gt;"",#REF!,""),"")</f>
        <v>#REF!</v>
      </c>
      <c r="U245" s="392" t="e">
        <f>IF($B$38="P",IF(#REF!&lt;&gt;"",ABS(#REF!),""),"")</f>
        <v>#REF!</v>
      </c>
      <c r="V245" s="392" t="e">
        <f>IF($B$38="P",IF(#REF!&lt;&gt;"",#REF!,""),"")</f>
        <v>#REF!</v>
      </c>
      <c r="W245" s="392" t="e">
        <f>IF($B$38="P",IF(#REF!&lt;&gt;"",#REF!,""),"")</f>
        <v>#REF!</v>
      </c>
      <c r="Y245">
        <v>68</v>
      </c>
    </row>
    <row r="246" spans="18:25" ht="12.75">
      <c r="R246">
        <f t="shared" si="13"/>
        <v>1</v>
      </c>
      <c r="S246" s="318" t="e">
        <f t="shared" si="11"/>
        <v>#REF!</v>
      </c>
      <c r="T246" s="392" t="e">
        <f>IF($B$38="P",IF(#REF!&lt;&gt;"",#REF!,""),"")</f>
        <v>#REF!</v>
      </c>
      <c r="U246" s="392" t="e">
        <f>IF($B$38="P",IF(#REF!&lt;&gt;"",ABS(#REF!),""),"")</f>
        <v>#REF!</v>
      </c>
      <c r="V246" s="392" t="e">
        <f>IF($B$38="P",IF(#REF!&lt;&gt;"",#REF!,""),"")</f>
        <v>#REF!</v>
      </c>
      <c r="W246" s="392" t="e">
        <f>IF($B$38="P",IF(#REF!&lt;&gt;"",#REF!,""),"")</f>
        <v>#REF!</v>
      </c>
      <c r="Y246">
        <v>69</v>
      </c>
    </row>
    <row r="247" spans="18:25" ht="12.75">
      <c r="R247">
        <f t="shared" si="13"/>
        <v>1</v>
      </c>
      <c r="S247" s="318" t="e">
        <f t="shared" si="11"/>
        <v>#REF!</v>
      </c>
      <c r="T247" s="392" t="e">
        <f>IF($B$38="P",IF(#REF!&lt;&gt;"",#REF!,""),"")</f>
        <v>#REF!</v>
      </c>
      <c r="U247" s="392" t="e">
        <f>IF($B$38="P",IF(#REF!&lt;&gt;"",ABS(#REF!),""),"")</f>
        <v>#REF!</v>
      </c>
      <c r="V247" s="392" t="e">
        <f>IF($B$38="P",IF(#REF!&lt;&gt;"",#REF!,""),"")</f>
        <v>#REF!</v>
      </c>
      <c r="W247" s="392" t="e">
        <f>IF($B$38="P",IF(#REF!&lt;&gt;"",#REF!,""),"")</f>
        <v>#REF!</v>
      </c>
      <c r="Y247">
        <v>70</v>
      </c>
    </row>
    <row r="248" spans="18:25" ht="12.75">
      <c r="R248">
        <f t="shared" si="13"/>
        <v>1</v>
      </c>
      <c r="S248" s="318" t="e">
        <f t="shared" si="11"/>
        <v>#REF!</v>
      </c>
      <c r="T248" s="392" t="e">
        <f>IF($B$38="P",IF(#REF!&lt;&gt;"",#REF!,""),"")</f>
        <v>#REF!</v>
      </c>
      <c r="U248" s="392" t="e">
        <f>IF($B$38="P",IF(#REF!&lt;&gt;"",ABS(#REF!),""),"")</f>
        <v>#REF!</v>
      </c>
      <c r="V248" s="392" t="e">
        <f>IF($B$38="P",IF(#REF!&lt;&gt;"",#REF!,""),"")</f>
        <v>#REF!</v>
      </c>
      <c r="W248" s="392" t="e">
        <f>IF($B$38="P",IF(#REF!&lt;&gt;"",#REF!,""),"")</f>
        <v>#REF!</v>
      </c>
      <c r="Y248">
        <v>71</v>
      </c>
    </row>
    <row r="249" spans="18:25" ht="12.75">
      <c r="R249">
        <f t="shared" si="13"/>
        <v>1</v>
      </c>
      <c r="S249" s="318" t="e">
        <f t="shared" si="11"/>
        <v>#REF!</v>
      </c>
      <c r="T249" s="392" t="e">
        <f>IF($B$38="P",IF(#REF!&lt;&gt;"",#REF!,""),"")</f>
        <v>#REF!</v>
      </c>
      <c r="U249" s="392" t="e">
        <f>IF($B$38="P",IF(#REF!&lt;&gt;"",ABS(#REF!),""),"")</f>
        <v>#REF!</v>
      </c>
      <c r="V249" s="392" t="e">
        <f>IF($B$38="P",IF(#REF!&lt;&gt;"",#REF!,""),"")</f>
        <v>#REF!</v>
      </c>
      <c r="W249" s="392" t="e">
        <f>IF($B$38="P",IF(#REF!&lt;&gt;"",#REF!,""),"")</f>
        <v>#REF!</v>
      </c>
      <c r="Y249">
        <v>72</v>
      </c>
    </row>
    <row r="250" spans="18:25" ht="12.75">
      <c r="R250">
        <f t="shared" si="13"/>
        <v>1</v>
      </c>
      <c r="S250" s="318" t="e">
        <f t="shared" si="11"/>
        <v>#REF!</v>
      </c>
      <c r="T250" s="392" t="e">
        <f>IF($B$38="P",IF(#REF!&lt;&gt;"",#REF!,""),"")</f>
        <v>#REF!</v>
      </c>
      <c r="U250" s="392" t="e">
        <f>IF($B$38="P",IF(#REF!&lt;&gt;"",ABS(#REF!),""),"")</f>
        <v>#REF!</v>
      </c>
      <c r="V250" s="392" t="e">
        <f>IF($B$38="P",IF(#REF!&lt;&gt;"",#REF!,""),"")</f>
        <v>#REF!</v>
      </c>
      <c r="W250" s="392" t="e">
        <f>IF($B$38="P",IF(#REF!&lt;&gt;"",#REF!,""),"")</f>
        <v>#REF!</v>
      </c>
      <c r="Y250">
        <v>73</v>
      </c>
    </row>
    <row r="251" spans="18:25" ht="12.75">
      <c r="R251">
        <f t="shared" si="13"/>
        <v>1</v>
      </c>
      <c r="S251" s="318" t="e">
        <f t="shared" si="11"/>
        <v>#REF!</v>
      </c>
      <c r="T251" s="392" t="e">
        <f>IF($B$38="P",IF(#REF!&lt;&gt;"",#REF!,""),"")</f>
        <v>#REF!</v>
      </c>
      <c r="U251" s="392" t="e">
        <f>IF($B$38="P",IF(#REF!&lt;&gt;"",ABS(#REF!),""),"")</f>
        <v>#REF!</v>
      </c>
      <c r="V251" s="392" t="e">
        <f>IF($B$38="P",IF(#REF!&lt;&gt;"",#REF!,""),"")</f>
        <v>#REF!</v>
      </c>
      <c r="W251" s="392" t="e">
        <f>IF($B$38="P",IF(#REF!&lt;&gt;"",#REF!,""),"")</f>
        <v>#REF!</v>
      </c>
      <c r="Y251">
        <v>74</v>
      </c>
    </row>
    <row r="252" spans="18:25" ht="12.75">
      <c r="R252">
        <f t="shared" si="13"/>
        <v>1</v>
      </c>
      <c r="S252" s="318" t="e">
        <f t="shared" si="11"/>
        <v>#REF!</v>
      </c>
      <c r="T252" s="392" t="e">
        <f>IF($B$38="P",IF(#REF!&lt;&gt;"",#REF!,""),"")</f>
        <v>#REF!</v>
      </c>
      <c r="U252" s="392" t="e">
        <f>IF($B$38="P",IF(#REF!&lt;&gt;"",ABS(#REF!),""),"")</f>
        <v>#REF!</v>
      </c>
      <c r="V252" s="392" t="e">
        <f>IF($B$38="P",IF(#REF!&lt;&gt;"",#REF!,""),"")</f>
        <v>#REF!</v>
      </c>
      <c r="W252" s="392" t="e">
        <f>IF($B$38="P",IF(#REF!&lt;&gt;"",#REF!,""),"")</f>
        <v>#REF!</v>
      </c>
      <c r="Y252">
        <v>75</v>
      </c>
    </row>
    <row r="253" spans="18:25" ht="12.75">
      <c r="R253">
        <f t="shared" si="13"/>
        <v>1</v>
      </c>
      <c r="S253" s="318" t="e">
        <f t="shared" si="11"/>
        <v>#REF!</v>
      </c>
      <c r="T253" s="392" t="e">
        <f>IF($B$38="P",IF(#REF!&lt;&gt;"",#REF!,""),"")</f>
        <v>#REF!</v>
      </c>
      <c r="U253" s="392" t="e">
        <f>IF($B$38="P",IF(#REF!&lt;&gt;"",ABS(#REF!),""),"")</f>
        <v>#REF!</v>
      </c>
      <c r="V253" s="392" t="e">
        <f>IF($B$38="P",IF(#REF!&lt;&gt;"",#REF!,""),"")</f>
        <v>#REF!</v>
      </c>
      <c r="W253" s="392" t="e">
        <f>IF($B$38="P",IF(#REF!&lt;&gt;"",#REF!,""),"")</f>
        <v>#REF!</v>
      </c>
      <c r="Y253">
        <v>76</v>
      </c>
    </row>
    <row r="254" spans="18:25" ht="12.75">
      <c r="R254">
        <f t="shared" si="13"/>
        <v>1</v>
      </c>
      <c r="S254" s="318" t="e">
        <f t="shared" si="11"/>
        <v>#REF!</v>
      </c>
      <c r="T254" s="392" t="e">
        <f>IF($B$38="P",IF(#REF!&lt;&gt;"",#REF!,""),"")</f>
        <v>#REF!</v>
      </c>
      <c r="U254" s="392" t="e">
        <f>IF($B$38="P",IF(#REF!&lt;&gt;"",ABS(#REF!),""),"")</f>
        <v>#REF!</v>
      </c>
      <c r="V254" s="392" t="e">
        <f>IF($B$38="P",IF(#REF!&lt;&gt;"",#REF!,""),"")</f>
        <v>#REF!</v>
      </c>
      <c r="W254" s="392" t="e">
        <f>IF($B$38="P",IF(#REF!&lt;&gt;"",#REF!,""),"")</f>
        <v>#REF!</v>
      </c>
      <c r="Y254">
        <v>77</v>
      </c>
    </row>
    <row r="271" spans="17:24" ht="14.25">
      <c r="Q271" t="s">
        <v>643</v>
      </c>
      <c r="R271" s="261" t="s">
        <v>633</v>
      </c>
      <c r="S271" s="264" t="s">
        <v>634</v>
      </c>
      <c r="T271" s="264" t="s">
        <v>635</v>
      </c>
      <c r="U271" s="264" t="s">
        <v>636</v>
      </c>
      <c r="V271" s="264" t="s">
        <v>637</v>
      </c>
      <c r="W271" s="264" t="s">
        <v>638</v>
      </c>
      <c r="X271" s="264" t="s">
        <v>645</v>
      </c>
    </row>
    <row r="272" spans="24:24" ht="12.75">
      <c r="X272" s="262"/>
    </row>
    <row r="281" spans="17:22" ht="14.25">
      <c r="Q281" t="s">
        <v>644</v>
      </c>
      <c r="R281" s="261" t="s">
        <v>633</v>
      </c>
      <c r="S281" s="264" t="s">
        <v>634</v>
      </c>
      <c r="T281" s="264" t="s">
        <v>639</v>
      </c>
      <c r="U281" s="264" t="s">
        <v>640</v>
      </c>
      <c r="V281" s="264" t="s">
        <v>645</v>
      </c>
    </row>
    <row r="282" spans="22:22" ht="12.75">
      <c r="V282" s="262"/>
    </row>
    <row r="291" spans="17:21" ht="14.25">
      <c r="Q291" t="s">
        <v>650</v>
      </c>
      <c r="R291" s="261" t="s">
        <v>646</v>
      </c>
      <c r="S291" s="264" t="s">
        <v>647</v>
      </c>
      <c r="T291" s="264" t="s">
        <v>648</v>
      </c>
      <c r="U291" s="459" t="s">
        <v>649</v>
      </c>
    </row>
    <row r="292" spans="18:21" ht="12.75">
      <c r="R292" t="str">
        <f>IF('2Př'!C30&lt;&gt;"",MID('2Př'!C30,FIND("-",'2Př'!C30,1)+1,FIND("/",'2Př'!C30,1)-FIND("-",'2Př'!C30,1)-1),"")</f>
        <v/>
      </c>
      <c r="S292" t="str">
        <f>IF('2Př'!C30&lt;&gt;"",MID('2Př'!C30,FIND("-",'2Př'!C30,3)+1,LEN('2Př'!C30)-FIND("-",'2Př'!C30,3)),"")</f>
        <v/>
      </c>
      <c r="T292" t="str">
        <f>IF('2Př'!C30&lt;&gt;"",MID('2Př'!C30,FIND("/",'2Př'!C30,1)+1,4),"")</f>
        <v/>
      </c>
      <c r="U292" s="314" t="str">
        <f>IF('2Př'!C30&lt;&gt;"",LEFT('2Př'!C30,1),"")</f>
        <v/>
      </c>
    </row>
    <row r="294" spans="18:21" ht="12.75">
      <c r="R294" s="268" t="s">
        <v>2169</v>
      </c>
      <c r="S294" s="268" t="s">
        <v>2169</v>
      </c>
      <c r="T294" s="268" t="s">
        <v>2169</v>
      </c>
      <c r="U294" s="268" t="s">
        <v>2169</v>
      </c>
    </row>
    <row r="301" spans="17:21" ht="14.25">
      <c r="Q301" t="s">
        <v>651</v>
      </c>
      <c r="R301" s="263" t="s">
        <v>652</v>
      </c>
      <c r="S301" s="265" t="s">
        <v>653</v>
      </c>
      <c r="T301" s="265" t="s">
        <v>654</v>
      </c>
      <c r="U301" s="265" t="s">
        <v>655</v>
      </c>
    </row>
    <row r="302" spans="19:21" ht="12.75">
      <c r="S302" s="262"/>
      <c r="T302" s="262"/>
      <c r="U302" s="262"/>
    </row>
    <row r="311" spans="17:22" ht="12.75">
      <c r="Q311" t="s">
        <v>656</v>
      </c>
      <c r="R311" t="s">
        <v>652</v>
      </c>
      <c r="S311" t="s">
        <v>653</v>
      </c>
      <c r="T311" t="s">
        <v>654</v>
      </c>
      <c r="U311" t="s">
        <v>655</v>
      </c>
      <c r="V311" t="s">
        <v>657</v>
      </c>
    </row>
    <row r="312" spans="19:22" ht="12.75">
      <c r="S312" s="262"/>
      <c r="T312" s="262"/>
      <c r="U312" s="262"/>
      <c r="V312" s="262"/>
    </row>
  </sheetData>
  <sheetProtection algorithmName="SHA-512" hashValue="mAenZFESeKku88gp01tLdouGkcI1qG9BUiMolIIZJ6PWinz7f8bzC631TEF3RAYCEVrNBOPIcjmonBvV0884lg==" saltValue="x3ArrNizNM2AXZvHH61BRQ==" spinCount="100000" sheet="1" objects="1" scenarios="1"/>
  <pageMargins left="2.39583333333333"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19">
    <tabColor theme="0"/>
    <pageSetUpPr fitToPage="1"/>
  </sheetPr>
  <dimension ref="A1:BU15"/>
  <sheetViews>
    <sheetView workbookViewId="0" topLeftCell="A1">
      <selection pane="topLeft" activeCell="D2" sqref="D2:E3"/>
    </sheetView>
  </sheetViews>
  <sheetFormatPr defaultColWidth="9.14428571428571" defaultRowHeight="12.75"/>
  <cols>
    <col min="1" max="1" width="4.42857142857143" style="436" bestFit="1" customWidth="1"/>
    <col min="2" max="2" width="10" style="436" customWidth="1"/>
    <col min="3" max="3" width="36.1428571428571" style="436" customWidth="1"/>
    <col min="4" max="11" width="7.71428571428571" style="436" customWidth="1"/>
    <col min="12" max="73" width="9.14285714285714" style="435"/>
    <col min="74" max="16384" width="9.14285714285714" style="436"/>
  </cols>
  <sheetData>
    <row r="1" spans="1:11" ht="30" customHeight="1" thickBot="1">
      <c r="A1" s="1242" t="s">
        <v>2469</v>
      </c>
      <c r="B1" s="1242"/>
      <c r="C1" s="1243"/>
      <c r="D1" s="1243"/>
      <c r="E1" s="1243"/>
      <c r="F1" s="1243"/>
      <c r="G1" s="1243"/>
      <c r="H1" s="1243"/>
      <c r="I1" s="1243"/>
      <c r="J1" s="1243"/>
      <c r="K1" s="1243"/>
    </row>
    <row r="2" spans="1:11 69:73" ht="22.5" customHeight="1">
      <c r="A2" s="1244"/>
      <c r="B2" s="1247" t="s">
        <v>2202</v>
      </c>
      <c r="C2" s="1248"/>
      <c r="D2" s="1247" t="s">
        <v>129</v>
      </c>
      <c r="E2" s="1251"/>
      <c r="F2" s="1252" t="s">
        <v>2200</v>
      </c>
      <c r="G2" s="1253"/>
      <c r="H2" s="1252" t="s">
        <v>2201</v>
      </c>
      <c r="I2" s="1253"/>
      <c r="J2" s="1252" t="s">
        <v>2274</v>
      </c>
      <c r="K2" s="1254"/>
      <c r="BQ2" s="436"/>
      <c r="BR2" s="436"/>
      <c r="BS2" s="436"/>
      <c r="BT2" s="436"/>
      <c r="BU2" s="436"/>
    </row>
    <row r="3" spans="1:11 69:73" ht="21.95" customHeight="1">
      <c r="A3" s="1245"/>
      <c r="B3" s="1249"/>
      <c r="C3" s="1250"/>
      <c r="D3" s="1249"/>
      <c r="E3" s="1250"/>
      <c r="F3" s="437" t="s">
        <v>2272</v>
      </c>
      <c r="G3" s="437" t="s">
        <v>2273</v>
      </c>
      <c r="H3" s="437" t="s">
        <v>2272</v>
      </c>
      <c r="I3" s="437" t="s">
        <v>2273</v>
      </c>
      <c r="J3" s="437" t="s">
        <v>2272</v>
      </c>
      <c r="K3" s="438" t="s">
        <v>2273</v>
      </c>
      <c r="BQ3" s="436"/>
      <c r="BR3" s="436"/>
      <c r="BS3" s="436"/>
      <c r="BT3" s="436"/>
      <c r="BU3" s="436"/>
    </row>
    <row r="4" spans="1:11 69:73" ht="12" customHeight="1">
      <c r="A4" s="1246"/>
      <c r="B4" s="1255">
        <v>1</v>
      </c>
      <c r="C4" s="1256"/>
      <c r="D4" s="1255">
        <v>2</v>
      </c>
      <c r="E4" s="1255"/>
      <c r="F4" s="1257">
        <v>3</v>
      </c>
      <c r="G4" s="1258"/>
      <c r="H4" s="1257">
        <v>4</v>
      </c>
      <c r="I4" s="1258"/>
      <c r="J4" s="1257">
        <v>5</v>
      </c>
      <c r="K4" s="1259"/>
      <c r="BQ4" s="436"/>
      <c r="BR4" s="436"/>
      <c r="BS4" s="436"/>
      <c r="BT4" s="436"/>
      <c r="BU4" s="436"/>
    </row>
    <row r="5" spans="1:11 69:73" ht="18" customHeight="1">
      <c r="A5" s="439">
        <v>5</v>
      </c>
      <c r="B5" s="1235" t="s">
        <v>123</v>
      </c>
      <c r="C5" s="1236"/>
      <c r="D5" s="1237"/>
      <c r="E5" s="1241"/>
      <c r="F5" s="440"/>
      <c r="G5" s="440"/>
      <c r="H5" s="440"/>
      <c r="I5" s="440"/>
      <c r="J5" s="441"/>
      <c r="K5" s="442"/>
      <c r="BQ5" s="436"/>
      <c r="BR5" s="436"/>
      <c r="BS5" s="436"/>
      <c r="BT5" s="436"/>
      <c r="BU5" s="436"/>
    </row>
    <row r="6" spans="1:11 69:73" ht="18" customHeight="1">
      <c r="A6" s="439">
        <v>6</v>
      </c>
      <c r="B6" s="1235" t="s">
        <v>123</v>
      </c>
      <c r="C6" s="1236"/>
      <c r="D6" s="1237"/>
      <c r="E6" s="1237"/>
      <c r="F6" s="440"/>
      <c r="G6" s="440"/>
      <c r="H6" s="440"/>
      <c r="I6" s="440"/>
      <c r="J6" s="441"/>
      <c r="K6" s="442"/>
      <c r="BQ6" s="436"/>
      <c r="BR6" s="436"/>
      <c r="BS6" s="436"/>
      <c r="BT6" s="436"/>
      <c r="BU6" s="436"/>
    </row>
    <row r="7" spans="1:11 69:73" ht="18" customHeight="1">
      <c r="A7" s="439">
        <v>7</v>
      </c>
      <c r="B7" s="1235" t="s">
        <v>123</v>
      </c>
      <c r="C7" s="1236"/>
      <c r="D7" s="1237"/>
      <c r="E7" s="1237"/>
      <c r="F7" s="440"/>
      <c r="G7" s="440"/>
      <c r="H7" s="440"/>
      <c r="I7" s="440"/>
      <c r="J7" s="441"/>
      <c r="K7" s="442"/>
      <c r="BQ7" s="436"/>
      <c r="BR7" s="436"/>
      <c r="BS7" s="436"/>
      <c r="BT7" s="436"/>
      <c r="BU7" s="436"/>
    </row>
    <row r="8" spans="1:11 69:73" ht="18" customHeight="1">
      <c r="A8" s="439">
        <v>8</v>
      </c>
      <c r="B8" s="1235" t="s">
        <v>123</v>
      </c>
      <c r="C8" s="1236"/>
      <c r="D8" s="1237"/>
      <c r="E8" s="1237"/>
      <c r="F8" s="440"/>
      <c r="G8" s="440"/>
      <c r="H8" s="440"/>
      <c r="I8" s="440"/>
      <c r="J8" s="441"/>
      <c r="K8" s="442"/>
      <c r="BQ8" s="436"/>
      <c r="BR8" s="436"/>
      <c r="BS8" s="436"/>
      <c r="BT8" s="436"/>
      <c r="BU8" s="436"/>
    </row>
    <row r="9" spans="1:11 69:73" ht="18" customHeight="1">
      <c r="A9" s="439">
        <v>9</v>
      </c>
      <c r="B9" s="1235" t="s">
        <v>123</v>
      </c>
      <c r="C9" s="1236"/>
      <c r="D9" s="1237"/>
      <c r="E9" s="1237"/>
      <c r="F9" s="440"/>
      <c r="G9" s="440"/>
      <c r="H9" s="440"/>
      <c r="I9" s="440"/>
      <c r="J9" s="441"/>
      <c r="K9" s="442"/>
      <c r="BQ9" s="436"/>
      <c r="BR9" s="436"/>
      <c r="BS9" s="436"/>
      <c r="BT9" s="436"/>
      <c r="BU9" s="436"/>
    </row>
    <row r="10" spans="1:11 69:73" ht="18" customHeight="1">
      <c r="A10" s="439">
        <v>10</v>
      </c>
      <c r="B10" s="1235" t="s">
        <v>123</v>
      </c>
      <c r="C10" s="1236"/>
      <c r="D10" s="1237"/>
      <c r="E10" s="1237"/>
      <c r="F10" s="440"/>
      <c r="G10" s="440"/>
      <c r="H10" s="440"/>
      <c r="I10" s="440"/>
      <c r="J10" s="441"/>
      <c r="K10" s="442"/>
      <c r="BQ10" s="436"/>
      <c r="BR10" s="436"/>
      <c r="BS10" s="436"/>
      <c r="BT10" s="436"/>
      <c r="BU10" s="436"/>
    </row>
    <row r="11" spans="1:11 69:73" ht="18" customHeight="1">
      <c r="A11" s="439">
        <v>11</v>
      </c>
      <c r="B11" s="1235" t="s">
        <v>123</v>
      </c>
      <c r="C11" s="1236"/>
      <c r="D11" s="1237"/>
      <c r="E11" s="1237"/>
      <c r="F11" s="440"/>
      <c r="G11" s="440"/>
      <c r="H11" s="440"/>
      <c r="I11" s="440"/>
      <c r="J11" s="441"/>
      <c r="K11" s="442"/>
      <c r="BQ11" s="436"/>
      <c r="BR11" s="436"/>
      <c r="BS11" s="436"/>
      <c r="BT11" s="436"/>
      <c r="BU11" s="436"/>
    </row>
    <row r="12" spans="1:11 69:73" ht="18" customHeight="1">
      <c r="A12" s="439">
        <v>12</v>
      </c>
      <c r="B12" s="1235" t="s">
        <v>123</v>
      </c>
      <c r="C12" s="1236"/>
      <c r="D12" s="1237"/>
      <c r="E12" s="1237"/>
      <c r="F12" s="440"/>
      <c r="G12" s="440"/>
      <c r="H12" s="440"/>
      <c r="I12" s="440"/>
      <c r="J12" s="441"/>
      <c r="K12" s="442"/>
      <c r="BQ12" s="436"/>
      <c r="BR12" s="436"/>
      <c r="BS12" s="436"/>
      <c r="BT12" s="436"/>
      <c r="BU12" s="436"/>
    </row>
    <row r="13" spans="1:11 73:73" ht="15.95" customHeight="1" thickBot="1">
      <c r="A13" s="443"/>
      <c r="B13" s="1238" t="s">
        <v>52</v>
      </c>
      <c r="C13" s="1239"/>
      <c r="D13" s="1240"/>
      <c r="E13" s="1240"/>
      <c r="F13" s="444">
        <f t="shared" si="0" ref="F13:K13">+SUM(F5:F12)</f>
        <v>0</v>
      </c>
      <c r="G13" s="444">
        <f t="shared" si="0"/>
        <v>0</v>
      </c>
      <c r="H13" s="444">
        <f t="shared" si="0"/>
        <v>0</v>
      </c>
      <c r="I13" s="444">
        <f t="shared" si="0"/>
        <v>0</v>
      </c>
      <c r="J13" s="444">
        <f t="shared" si="0"/>
        <v>0</v>
      </c>
      <c r="K13" s="445">
        <f t="shared" si="0"/>
        <v>0</v>
      </c>
      <c r="BU13" s="436"/>
    </row>
    <row r="14" spans="1:11" s="435" customFormat="1" ht="99.95" customHeight="1">
      <c r="A14" s="1232"/>
      <c r="B14" s="1232"/>
      <c r="C14" s="1233"/>
      <c r="D14" s="1233"/>
      <c r="E14" s="1233"/>
      <c r="F14" s="1233"/>
      <c r="G14" s="1233"/>
      <c r="H14" s="1233"/>
      <c r="I14" s="1233"/>
      <c r="J14" s="1233"/>
      <c r="K14" s="1233"/>
    </row>
    <row r="15" spans="1:11" s="435" customFormat="1" ht="99.95" customHeight="1">
      <c r="A15" s="1234"/>
      <c r="B15" s="1234"/>
      <c r="C15" s="1234"/>
      <c r="D15" s="1234"/>
      <c r="E15" s="1234"/>
      <c r="F15" s="1234"/>
      <c r="G15" s="1234"/>
      <c r="H15" s="1234"/>
      <c r="I15" s="1234"/>
      <c r="J15" s="1234"/>
      <c r="K15" s="1234"/>
    </row>
    <row r="16" s="435" customFormat="1" ht="12.75"/>
    <row r="17" s="435" customFormat="1" ht="12.75"/>
    <row r="18" s="435" customFormat="1" ht="12.75"/>
    <row r="19" s="435" customFormat="1" ht="12.75"/>
    <row r="20" s="435" customFormat="1" ht="12.75"/>
    <row r="21" s="435" customFormat="1" ht="12.75"/>
    <row r="22" s="435" customFormat="1" ht="12.75"/>
    <row r="23" s="435" customFormat="1" ht="12.75"/>
    <row r="24" s="435" customFormat="1" ht="12.75"/>
    <row r="25" s="435" customFormat="1" ht="12.75"/>
    <row r="26" s="435" customFormat="1" ht="12.75"/>
    <row r="27" s="435" customFormat="1" ht="12.75"/>
    <row r="28" s="435" customFormat="1" ht="12.75"/>
    <row r="29" s="435" customFormat="1" ht="12.75"/>
    <row r="30" s="435" customFormat="1" ht="12.75"/>
    <row r="31" s="435" customFormat="1" ht="12.75"/>
    <row r="32" s="435" customFormat="1" ht="12.75"/>
    <row r="33" s="435" customFormat="1" ht="12.75"/>
    <row r="34" s="435" customFormat="1" ht="12.75"/>
    <row r="35" s="435" customFormat="1" ht="12.75"/>
    <row r="36" s="435" customFormat="1" ht="12.75"/>
    <row r="37" s="435" customFormat="1" ht="12.75"/>
    <row r="38" s="435" customFormat="1" ht="12.75"/>
    <row r="39" s="435" customFormat="1" ht="12.75"/>
    <row r="40" s="435" customFormat="1" ht="12.75"/>
    <row r="41" s="435" customFormat="1" ht="12.75"/>
    <row r="42" s="435" customFormat="1" ht="12.75"/>
    <row r="43" s="435" customFormat="1" ht="12.75"/>
    <row r="44" s="435" customFormat="1" ht="12.75"/>
    <row r="45" s="435" customFormat="1" ht="12.75"/>
    <row r="46" s="435" customFormat="1" ht="12.75"/>
    <row r="47" s="435" customFormat="1" ht="12.75"/>
    <row r="48" s="435" customFormat="1" ht="12.75"/>
    <row r="49" s="435" customFormat="1" ht="12.75"/>
    <row r="50" s="435" customFormat="1" ht="12.75"/>
    <row r="51" s="435" customFormat="1" ht="12.75"/>
    <row r="52" s="435" customFormat="1" ht="12.75"/>
    <row r="53" s="435" customFormat="1" ht="12.75"/>
    <row r="54" s="435" customFormat="1" ht="12.75"/>
    <row r="55" s="435" customFormat="1" ht="12.75"/>
    <row r="56" s="435" customFormat="1" ht="12.75"/>
    <row r="57" s="435" customFormat="1" ht="12.75"/>
    <row r="58" s="435" customFormat="1" ht="12.75"/>
    <row r="59" s="435" customFormat="1" ht="12.75"/>
    <row r="60" s="435" customFormat="1" ht="12.75"/>
    <row r="61" s="435" customFormat="1" ht="12.75"/>
    <row r="62" s="435" customFormat="1" ht="12.75"/>
    <row r="63" s="435" customFormat="1" ht="12.75"/>
    <row r="64" s="435" customFormat="1" ht="12.75"/>
    <row r="65" s="435" customFormat="1" ht="12.75"/>
    <row r="66" s="435" customFormat="1" ht="12.75"/>
    <row r="67" s="435" customFormat="1" ht="12.75"/>
    <row r="68" s="435" customFormat="1" ht="12.75"/>
    <row r="69" s="435" customFormat="1" ht="12.75"/>
    <row r="70" s="435" customFormat="1" ht="12.75"/>
    <row r="71" s="435" customFormat="1" ht="12.75"/>
    <row r="72" s="435" customFormat="1" ht="12.75"/>
    <row r="73" s="435" customFormat="1" ht="12.75"/>
    <row r="74" s="435" customFormat="1" ht="12.75"/>
    <row r="75" s="435" customFormat="1" ht="12.75"/>
    <row r="76" s="435" customFormat="1" ht="12.75"/>
    <row r="77" s="435" customFormat="1" ht="12.75"/>
    <row r="78" s="435" customFormat="1" ht="12.75"/>
    <row r="79" s="435" customFormat="1" ht="12.75"/>
    <row r="80" s="435" customFormat="1" ht="12.75"/>
    <row r="81" s="435" customFormat="1" ht="12.75"/>
    <row r="82" s="435" customFormat="1" ht="12.75"/>
    <row r="83" s="435" customFormat="1" ht="12.75"/>
    <row r="84" s="435" customFormat="1" ht="12.75"/>
    <row r="85" s="435" customFormat="1" ht="12.75"/>
    <row r="86" s="435" customFormat="1" ht="12.75"/>
    <row r="87" s="435" customFormat="1" ht="12.75"/>
    <row r="88" s="435" customFormat="1" ht="12.75"/>
    <row r="89" s="435" customFormat="1" ht="12.75"/>
    <row r="90" s="435" customFormat="1" ht="12.75"/>
    <row r="91" s="435" customFormat="1" ht="12.75"/>
    <row r="92" s="435" customFormat="1" ht="12.75"/>
    <row r="93" s="435" customFormat="1" ht="12.75"/>
    <row r="94" s="435" customFormat="1" ht="12.75"/>
    <row r="95" s="435" customFormat="1" ht="12.75"/>
    <row r="96" s="435" customFormat="1" ht="12.75"/>
    <row r="97" s="435" customFormat="1" ht="12.75"/>
    <row r="98" s="435" customFormat="1" ht="12.75"/>
    <row r="99" s="435" customFormat="1" ht="12.75"/>
    <row r="100" s="435" customFormat="1" ht="12.75"/>
    <row r="101" s="435" customFormat="1" ht="12.75"/>
    <row r="102" s="435" customFormat="1" ht="12.75"/>
    <row r="103" s="435" customFormat="1" ht="12.75"/>
    <row r="104" s="435" customFormat="1" ht="12.75"/>
    <row r="105" s="435" customFormat="1" ht="12.75"/>
    <row r="106" s="435" customFormat="1" ht="12.75"/>
    <row r="107" s="435" customFormat="1" ht="12.75"/>
    <row r="108" s="435" customFormat="1" ht="12.75"/>
    <row r="109" s="435" customFormat="1" ht="12.75"/>
    <row r="110" s="435" customFormat="1" ht="12.75"/>
    <row r="111" s="435" customFormat="1" ht="12.75"/>
    <row r="112" s="435" customFormat="1" ht="12.75"/>
    <row r="113" s="435" customFormat="1" ht="12.75"/>
    <row r="114" s="435" customFormat="1" ht="12.75"/>
    <row r="115" s="435" customFormat="1" ht="12.75"/>
    <row r="116" s="435" customFormat="1" ht="12.75"/>
    <row r="117" s="435" customFormat="1" ht="12.75"/>
    <row r="118" s="435" customFormat="1" ht="12.75"/>
    <row r="119" s="435" customFormat="1" ht="12.75"/>
    <row r="120" s="435" customFormat="1" ht="12.75"/>
    <row r="121" s="435" customFormat="1" ht="12.75"/>
    <row r="122" s="435" customFormat="1" ht="12.75"/>
    <row r="123" s="435" customFormat="1" ht="12.75"/>
    <row r="124" s="435" customFormat="1" ht="12.75"/>
    <row r="125" s="435" customFormat="1" ht="12.75"/>
    <row r="126" s="435" customFormat="1" ht="12.75"/>
    <row r="127" s="435" customFormat="1" ht="12.75"/>
    <row r="128" s="435" customFormat="1" ht="12.75"/>
    <row r="129" s="435" customFormat="1" ht="12.75"/>
    <row r="130" s="435" customFormat="1" ht="12.75"/>
    <row r="131" s="435" customFormat="1" ht="12.75"/>
    <row r="132" s="435" customFormat="1" ht="12.75"/>
    <row r="133" s="435" customFormat="1" ht="12.75"/>
    <row r="134" s="435" customFormat="1" ht="12.75"/>
    <row r="135" s="435" customFormat="1" ht="12.75"/>
    <row r="136" s="435" customFormat="1" ht="12.75"/>
    <row r="137" s="435" customFormat="1" ht="12.75"/>
    <row r="138" s="435" customFormat="1" ht="12.75"/>
    <row r="139" s="435" customFormat="1" ht="12.75"/>
    <row r="140" s="435" customFormat="1" ht="12.75"/>
    <row r="141" s="435" customFormat="1" ht="12.75"/>
    <row r="142" s="435" customFormat="1" ht="12.75"/>
    <row r="143" s="435" customFormat="1" ht="12.75"/>
    <row r="144" s="435" customFormat="1" ht="12.75"/>
    <row r="145" s="435" customFormat="1" ht="12.75"/>
    <row r="146" s="435" customFormat="1" ht="12.75"/>
    <row r="147" s="435" customFormat="1" ht="12.75"/>
    <row r="148" s="435" customFormat="1" ht="12.75"/>
    <row r="149" s="435" customFormat="1" ht="12.75"/>
    <row r="150" s="435" customFormat="1" ht="12.75"/>
    <row r="151" s="435" customFormat="1" ht="12.75"/>
    <row r="152" s="435" customFormat="1" ht="12.75"/>
    <row r="153" s="435" customFormat="1" ht="12.75"/>
    <row r="154" s="435" customFormat="1" ht="12.75"/>
    <row r="155" s="435" customFormat="1" ht="12.75"/>
    <row r="156" s="435" customFormat="1" ht="12.75"/>
    <row r="157" s="435" customFormat="1" ht="12.75"/>
    <row r="158" s="435" customFormat="1" ht="12.75"/>
    <row r="159" s="435" customFormat="1" ht="12.75"/>
    <row r="160" s="435" customFormat="1" ht="12.75"/>
    <row r="161" s="435" customFormat="1" ht="12.75"/>
    <row r="162" s="435" customFormat="1" ht="12.75"/>
    <row r="163" s="435" customFormat="1" ht="12.75"/>
    <row r="164" s="435" customFormat="1" ht="12.75"/>
    <row r="165" s="435" customFormat="1" ht="12.75"/>
    <row r="166" s="435" customFormat="1" ht="12.75"/>
    <row r="167" s="435" customFormat="1" ht="12.75"/>
    <row r="168" s="435" customFormat="1" ht="12.75"/>
    <row r="169" s="435" customFormat="1" ht="12.75"/>
    <row r="170" s="435" customFormat="1" ht="12.75"/>
    <row r="171" s="435" customFormat="1" ht="12.75"/>
    <row r="172" s="435" customFormat="1" ht="12.75"/>
    <row r="173" s="435" customFormat="1" ht="12.75"/>
    <row r="174" s="435" customFormat="1" ht="12.75"/>
    <row r="175" s="435" customFormat="1" ht="12.75"/>
    <row r="176" s="435" customFormat="1" ht="12.75"/>
    <row r="177" s="435" customFormat="1" ht="12.75"/>
    <row r="178" s="435" customFormat="1" ht="12.75"/>
    <row r="179" s="435" customFormat="1" ht="12.75"/>
    <row r="180" s="435" customFormat="1" ht="12.75"/>
    <row r="181" s="435" customFormat="1" ht="12.75"/>
    <row r="182" s="435" customFormat="1" ht="12.75"/>
    <row r="183" s="435" customFormat="1" ht="12.75"/>
    <row r="184" s="435" customFormat="1" ht="12.75"/>
    <row r="185" s="435" customFormat="1" ht="12.75"/>
    <row r="186" s="435" customFormat="1" ht="12.75"/>
    <row r="187" s="435" customFormat="1" ht="12.75"/>
    <row r="188" s="435" customFormat="1" ht="12.75"/>
    <row r="189" s="435" customFormat="1" ht="12.75"/>
    <row r="190" s="435" customFormat="1" ht="12.75"/>
    <row r="191" s="435" customFormat="1" ht="12.75"/>
    <row r="192" s="435" customFormat="1" ht="12.75"/>
    <row r="193" s="435" customFormat="1" ht="12.75"/>
    <row r="194" s="435" customFormat="1" ht="12.75"/>
    <row r="195" s="435" customFormat="1" ht="12.75"/>
    <row r="196" s="435" customFormat="1" ht="12.75"/>
    <row r="197" s="435" customFormat="1" ht="12.75"/>
    <row r="198" s="435" customFormat="1" ht="12.75"/>
    <row r="199" s="435" customFormat="1" ht="12.75"/>
    <row r="200" s="435" customFormat="1" ht="12.75"/>
    <row r="201" s="435" customFormat="1" ht="12.75"/>
    <row r="202" s="435" customFormat="1" ht="12.75"/>
    <row r="203" s="435" customFormat="1" ht="12.75"/>
    <row r="204" s="435" customFormat="1" ht="12.75"/>
    <row r="205" s="435" customFormat="1" ht="12.75"/>
    <row r="206" s="435" customFormat="1" ht="12.75"/>
    <row r="207" s="435" customFormat="1" ht="12.75"/>
    <row r="208" s="435" customFormat="1" ht="12.75"/>
    <row r="209" s="435" customFormat="1" ht="12.75"/>
    <row r="210" s="435" customFormat="1" ht="12.75"/>
    <row r="211" s="435" customFormat="1" ht="12.75"/>
    <row r="212" s="435" customFormat="1" ht="12.75"/>
    <row r="213" s="435" customFormat="1" ht="12.75"/>
    <row r="214" s="435" customFormat="1" ht="12.75"/>
    <row r="215" s="435" customFormat="1" ht="12.75"/>
    <row r="216" s="435" customFormat="1" ht="12.75"/>
    <row r="217" s="435" customFormat="1" ht="12.75"/>
    <row r="218" s="435" customFormat="1" ht="12.75"/>
    <row r="219" s="435" customFormat="1" ht="12.75"/>
    <row r="220" s="435" customFormat="1" ht="12.75"/>
    <row r="221" s="435" customFormat="1" ht="12.75"/>
    <row r="222" s="435" customFormat="1" ht="12.75"/>
    <row r="223" s="435" customFormat="1" ht="12.75"/>
    <row r="224" s="435" customFormat="1" ht="12.75"/>
    <row r="225" s="435" customFormat="1" ht="12.75"/>
    <row r="226" s="435" customFormat="1" ht="12.75"/>
    <row r="227" s="435" customFormat="1" ht="12.75"/>
    <row r="228" s="435" customFormat="1" ht="12.75"/>
    <row r="229" s="435" customFormat="1" ht="12.75"/>
    <row r="230" s="435" customFormat="1" ht="12.75"/>
    <row r="231" s="435" customFormat="1" ht="12.75"/>
    <row r="232" s="435" customFormat="1" ht="12.75"/>
    <row r="233" s="435" customFormat="1" ht="12.75"/>
    <row r="234" s="435" customFormat="1" ht="12.75"/>
    <row r="235" s="435" customFormat="1" ht="12.75"/>
    <row r="236" s="435" customFormat="1" ht="12.75"/>
    <row r="237" s="435" customFormat="1" ht="12.75"/>
    <row r="238" s="435" customFormat="1" ht="12.75"/>
    <row r="239" s="435" customFormat="1" ht="12.75"/>
    <row r="240" s="435" customFormat="1" ht="12.75"/>
    <row r="241" s="435" customFormat="1" ht="12.75"/>
    <row r="242" s="435" customFormat="1" ht="12.75"/>
    <row r="243" s="435" customFormat="1" ht="12.75"/>
    <row r="244" s="435" customFormat="1" ht="12.75"/>
    <row r="245" s="435" customFormat="1" ht="12.75"/>
    <row r="246" s="435" customFormat="1" ht="12.75"/>
    <row r="247" s="435" customFormat="1" ht="12.75"/>
    <row r="248" s="435" customFormat="1" ht="12.75"/>
    <row r="249" s="435" customFormat="1" ht="12.75"/>
    <row r="250" s="435" customFormat="1" ht="12.75"/>
    <row r="251" s="435" customFormat="1" ht="12.75"/>
    <row r="252" s="435" customFormat="1" ht="12.75"/>
    <row r="253" s="435" customFormat="1" ht="12.75"/>
    <row r="254" s="435" customFormat="1" ht="12.75"/>
    <row r="255" s="435" customFormat="1" ht="12.75"/>
    <row r="256" s="435" customFormat="1" ht="12.75"/>
    <row r="257" s="435" customFormat="1" ht="12.75"/>
    <row r="258" s="435" customFormat="1" ht="12.75"/>
    <row r="259" s="435" customFormat="1" ht="12.75"/>
    <row r="260" s="435" customFormat="1" ht="12.75"/>
    <row r="261" s="435" customFormat="1" ht="12.75"/>
    <row r="262" s="435" customFormat="1" ht="12.75"/>
    <row r="263" s="435" customFormat="1" ht="12.75"/>
    <row r="264" s="435" customFormat="1" ht="12.75"/>
    <row r="265" s="435" customFormat="1" ht="12.75"/>
    <row r="266" s="435" customFormat="1" ht="12.75"/>
    <row r="267" s="435" customFormat="1" ht="12.75"/>
    <row r="268" s="435" customFormat="1" ht="12.75"/>
    <row r="269" s="435" customFormat="1" ht="12.75"/>
    <row r="270" s="435" customFormat="1" ht="12.75"/>
    <row r="271" s="435" customFormat="1" ht="12.75"/>
    <row r="272" s="435" customFormat="1" ht="12.75"/>
    <row r="273" s="435" customFormat="1" ht="12.75"/>
    <row r="274" s="435" customFormat="1" ht="12.75"/>
    <row r="275" s="435" customFormat="1" ht="12.75"/>
    <row r="276" s="435" customFormat="1" ht="12.75"/>
    <row r="277" s="435" customFormat="1" ht="12.75"/>
    <row r="278" s="435" customFormat="1" ht="12.75"/>
    <row r="279" s="435" customFormat="1" ht="12.75"/>
    <row r="280" s="435" customFormat="1" ht="12.75"/>
    <row r="281" s="435" customFormat="1" ht="12.75"/>
    <row r="282" s="435" customFormat="1" ht="12.75"/>
    <row r="283" s="435" customFormat="1" ht="12.75"/>
    <row r="284" s="435" customFormat="1" ht="12.75"/>
    <row r="285" s="435" customFormat="1" ht="12.75"/>
    <row r="286" s="435" customFormat="1" ht="12.75"/>
    <row r="287" s="435" customFormat="1" ht="12.75"/>
    <row r="288" s="435" customFormat="1" ht="12.75"/>
    <row r="289" s="435" customFormat="1" ht="12.75"/>
    <row r="290" s="435" customFormat="1" ht="12.75"/>
    <row r="291" s="435" customFormat="1" ht="12.75"/>
    <row r="292" s="435" customFormat="1" ht="12.75"/>
    <row r="293" s="435" customFormat="1" ht="12.75"/>
    <row r="294" s="435" customFormat="1" ht="12.75"/>
    <row r="295" s="435" customFormat="1" ht="12.75"/>
    <row r="296" s="435" customFormat="1" ht="12.75"/>
    <row r="297" s="435" customFormat="1" ht="12.75"/>
    <row r="298" s="435" customFormat="1" ht="12.75"/>
    <row r="299" s="435" customFormat="1" ht="12.75"/>
    <row r="300" s="435" customFormat="1" ht="12.75"/>
    <row r="301" s="435" customFormat="1" ht="12.75"/>
    <row r="302" s="435" customFormat="1" ht="12.75"/>
    <row r="303" s="435" customFormat="1" ht="12.75"/>
    <row r="304" s="435" customFormat="1" ht="12.75"/>
    <row r="305" s="435" customFormat="1" ht="12.75"/>
    <row r="306" s="435" customFormat="1" ht="12.75"/>
    <row r="307" s="435" customFormat="1" ht="12.75"/>
    <row r="308" s="435" customFormat="1" ht="12.75"/>
    <row r="309" s="435" customFormat="1" ht="12.75"/>
    <row r="310" s="435" customFormat="1" ht="12.75"/>
    <row r="311" s="435" customFormat="1" ht="12.75"/>
    <row r="312" s="435" customFormat="1" ht="12.75"/>
    <row r="313" s="435" customFormat="1" ht="12.75"/>
    <row r="314" s="435" customFormat="1" ht="12.75"/>
    <row r="315" s="435" customFormat="1" ht="12.75"/>
    <row r="316" s="435" customFormat="1" ht="12.75"/>
    <row r="317" s="435" customFormat="1" ht="12.75"/>
    <row r="318" s="435" customFormat="1" ht="12.75"/>
    <row r="319" s="435" customFormat="1" ht="12.75"/>
    <row r="320" s="435" customFormat="1" ht="12.75"/>
    <row r="321" s="435" customFormat="1" ht="12.75"/>
    <row r="322" s="435" customFormat="1" ht="12.75"/>
    <row r="323" s="435" customFormat="1" ht="12.75"/>
    <row r="324" s="435" customFormat="1" ht="12.75"/>
    <row r="325" s="435" customFormat="1" ht="12.75"/>
    <row r="326" s="435" customFormat="1" ht="12.75"/>
    <row r="327" s="435" customFormat="1" ht="12.75"/>
    <row r="328" s="435" customFormat="1" ht="12.75"/>
    <row r="329" s="435" customFormat="1" ht="12.75"/>
    <row r="330" s="435" customFormat="1" ht="12.75"/>
    <row r="331" s="435" customFormat="1" ht="12.75"/>
    <row r="332" s="435" customFormat="1" ht="12.75"/>
    <row r="333" s="435" customFormat="1" ht="12.75"/>
    <row r="334" s="435" customFormat="1" ht="12.75"/>
    <row r="335" s="435" customFormat="1" ht="12.75"/>
    <row r="336" s="435" customFormat="1" ht="12.75"/>
    <row r="337" s="435" customFormat="1" ht="12.75"/>
    <row r="338" s="435" customFormat="1" ht="12.75"/>
    <row r="339" s="435" customFormat="1" ht="12.75"/>
    <row r="340" s="435" customFormat="1" ht="12.75"/>
    <row r="341" s="435" customFormat="1" ht="12.75"/>
    <row r="342" s="435" customFormat="1" ht="12.75"/>
    <row r="343" s="435" customFormat="1" ht="12.75"/>
    <row r="344" s="435" customFormat="1" ht="12.75"/>
    <row r="345" s="435" customFormat="1" ht="12.75"/>
    <row r="346" s="435" customFormat="1" ht="12.75"/>
    <row r="347" s="435" customFormat="1" ht="12.75"/>
    <row r="348" s="435" customFormat="1" ht="12.75"/>
    <row r="349" s="435" customFormat="1" ht="12.75"/>
    <row r="350" s="435" customFormat="1" ht="12.75"/>
    <row r="351" s="435" customFormat="1" ht="12.75"/>
    <row r="352" s="435" customFormat="1" ht="12.75"/>
    <row r="353" s="435" customFormat="1" ht="12.75"/>
    <row r="354" s="435" customFormat="1" ht="12.75"/>
    <row r="355" s="435" customFormat="1" ht="12.75"/>
    <row r="356" s="435" customFormat="1" ht="12.75"/>
    <row r="357" s="435" customFormat="1" ht="12.75"/>
    <row r="358" s="435" customFormat="1" ht="12.75"/>
    <row r="359" s="435" customFormat="1" ht="12.75"/>
    <row r="360" s="435" customFormat="1" ht="12.75"/>
    <row r="361" s="435" customFormat="1" ht="12.75"/>
    <row r="362" s="435" customFormat="1" ht="12.75"/>
    <row r="363" s="435" customFormat="1" ht="12.75"/>
    <row r="364" s="435" customFormat="1" ht="12.75"/>
    <row r="365" s="435" customFormat="1" ht="12.75"/>
    <row r="366" s="435" customFormat="1" ht="12.75"/>
    <row r="367" s="435" customFormat="1" ht="12.75"/>
    <row r="368" s="435" customFormat="1" ht="12.75"/>
    <row r="369" s="435" customFormat="1" ht="12.75"/>
    <row r="370" s="435" customFormat="1" ht="12.75"/>
    <row r="371" s="435" customFormat="1" ht="12.75"/>
    <row r="372" s="435" customFormat="1" ht="12.75"/>
    <row r="373" s="435" customFormat="1" ht="12.75"/>
    <row r="374" s="435" customFormat="1" ht="12.75"/>
    <row r="375" s="435" customFormat="1" ht="12.75"/>
    <row r="376" s="435" customFormat="1" ht="12.75"/>
    <row r="377" s="435" customFormat="1" ht="12.75"/>
    <row r="378" s="435" customFormat="1" ht="12.75"/>
    <row r="379" s="435" customFormat="1" ht="12.75"/>
    <row r="380" s="435" customFormat="1" ht="12.75"/>
    <row r="381" s="435" customFormat="1" ht="12.75"/>
    <row r="382" s="435" customFormat="1" ht="12.75"/>
    <row r="383" s="435" customFormat="1" ht="12.75"/>
    <row r="384" s="435" customFormat="1" ht="12.75"/>
    <row r="385" s="435" customFormat="1" ht="12.75"/>
    <row r="386" s="435" customFormat="1" ht="12.75"/>
    <row r="387" s="435" customFormat="1" ht="12.75"/>
    <row r="388" s="435" customFormat="1" ht="12.75"/>
    <row r="389" s="435" customFormat="1" ht="12.75"/>
    <row r="390" s="435" customFormat="1" ht="12.75"/>
    <row r="391" s="435" customFormat="1" ht="12.75"/>
    <row r="392" s="435" customFormat="1" ht="12.75"/>
    <row r="393" s="435" customFormat="1" ht="12.75"/>
    <row r="394" s="435" customFormat="1" ht="12.75"/>
    <row r="395" s="435" customFormat="1" ht="12.75"/>
    <row r="396" s="435" customFormat="1" ht="12.75"/>
    <row r="397" s="435" customFormat="1" ht="12.75"/>
    <row r="398" s="435" customFormat="1" ht="12.75"/>
    <row r="399" s="435" customFormat="1" ht="12.75"/>
    <row r="400" s="435" customFormat="1" ht="12.75"/>
    <row r="401" s="435" customFormat="1" ht="12.75"/>
    <row r="402" s="435" customFormat="1" ht="12.75"/>
    <row r="403" s="435" customFormat="1" ht="12.75"/>
    <row r="404" s="435" customFormat="1" ht="12.75"/>
    <row r="405" s="435" customFormat="1" ht="12.75"/>
    <row r="406" s="435" customFormat="1" ht="12.75"/>
    <row r="407" s="435" customFormat="1" ht="12.75"/>
    <row r="408" s="435" customFormat="1" ht="12.75"/>
    <row r="409" s="435" customFormat="1" ht="12.75"/>
    <row r="410" s="435" customFormat="1" ht="12.75"/>
    <row r="411" s="435" customFormat="1" ht="12.75"/>
    <row r="412" s="435" customFormat="1" ht="12.75"/>
    <row r="413" s="435" customFormat="1" ht="12.75"/>
    <row r="414" s="435" customFormat="1" ht="12.75"/>
    <row r="415" s="435" customFormat="1" ht="12.75"/>
    <row r="416" s="435" customFormat="1" ht="12.75"/>
    <row r="417" s="435" customFormat="1" ht="12.75"/>
    <row r="418" s="435" customFormat="1" ht="12.75"/>
    <row r="419" s="435" customFormat="1" ht="12.75"/>
    <row r="420" s="435" customFormat="1" ht="12.75"/>
    <row r="421" s="435" customFormat="1" ht="12.75"/>
    <row r="422" s="435" customFormat="1" ht="12.75"/>
    <row r="423" s="435" customFormat="1" ht="12.75"/>
    <row r="424" s="435" customFormat="1" ht="12.75"/>
    <row r="425" s="435" customFormat="1" ht="12.75"/>
    <row r="426" s="435" customFormat="1" ht="12.75"/>
    <row r="427" s="435" customFormat="1" ht="12.75"/>
    <row r="428" s="435" customFormat="1" ht="12.75"/>
    <row r="429" s="435" customFormat="1" ht="12.75"/>
    <row r="430" s="435" customFormat="1" ht="12.75"/>
    <row r="431" s="435" customFormat="1" ht="12.75"/>
    <row r="432" s="435" customFormat="1" ht="12.75"/>
    <row r="433" s="435" customFormat="1" ht="12.75"/>
    <row r="434" s="435" customFormat="1" ht="12.75"/>
    <row r="435" s="435" customFormat="1" ht="12.75"/>
    <row r="436" s="435" customFormat="1" ht="12.75"/>
    <row r="437" s="435" customFormat="1" ht="12.75"/>
    <row r="438" s="435" customFormat="1" ht="12.75"/>
    <row r="439" s="435" customFormat="1" ht="12.75"/>
    <row r="440" s="435" customFormat="1" ht="12.75"/>
    <row r="441" s="435" customFormat="1" ht="12.75"/>
    <row r="442" s="435" customFormat="1" ht="12.75"/>
    <row r="443" s="435" customFormat="1" ht="12.75"/>
    <row r="444" s="435" customFormat="1" ht="12.75"/>
    <row r="445" s="435" customFormat="1" ht="12.75"/>
    <row r="446" s="435" customFormat="1" ht="12.75"/>
    <row r="447" s="435" customFormat="1" ht="12.75"/>
    <row r="448" s="435" customFormat="1" ht="12.75"/>
    <row r="449" s="435" customFormat="1" ht="12.75"/>
    <row r="450" s="435" customFormat="1" ht="12.75"/>
    <row r="451" s="435" customFormat="1" ht="12.75"/>
    <row r="452" s="435" customFormat="1" ht="12.75"/>
    <row r="453" s="435" customFormat="1" ht="12.75"/>
    <row r="454" s="435" customFormat="1" ht="12.75"/>
    <row r="455" s="435" customFormat="1" ht="12.75"/>
    <row r="456" s="435" customFormat="1" ht="12.75"/>
    <row r="457" s="435" customFormat="1" ht="12.75"/>
    <row r="458" s="435" customFormat="1" ht="12.75"/>
    <row r="459" s="435" customFormat="1" ht="12.75"/>
    <row r="460" s="435" customFormat="1" ht="12.75"/>
    <row r="461" s="435" customFormat="1" ht="12.75"/>
    <row r="462" s="435" customFormat="1" ht="12.75"/>
    <row r="463" s="435" customFormat="1" ht="12.75"/>
    <row r="464" s="435" customFormat="1" ht="12.75"/>
    <row r="465" s="435" customFormat="1" ht="12.75"/>
    <row r="466" s="435" customFormat="1" ht="12.75"/>
    <row r="467" s="435" customFormat="1" ht="12.75"/>
    <row r="468" s="435" customFormat="1" ht="12.75"/>
    <row r="469" s="435" customFormat="1" ht="12.75"/>
    <row r="470" s="435" customFormat="1" ht="12.75"/>
    <row r="471" s="435" customFormat="1" ht="12.75"/>
    <row r="472" s="435" customFormat="1" ht="12.75"/>
    <row r="473" s="435" customFormat="1" ht="12.75"/>
    <row r="474" s="435" customFormat="1" ht="12.75"/>
    <row r="475" s="435" customFormat="1" ht="12.75"/>
    <row r="476" s="435" customFormat="1" ht="12.75"/>
    <row r="477" s="435" customFormat="1" ht="12.75"/>
    <row r="478" s="435" customFormat="1" ht="12.75"/>
    <row r="479" s="435" customFormat="1" ht="12.75"/>
    <row r="480" s="435" customFormat="1" ht="12.75"/>
    <row r="481" s="435" customFormat="1" ht="12.75"/>
    <row r="482" s="435" customFormat="1" ht="12.75"/>
    <row r="483" s="435" customFormat="1" ht="12.75"/>
    <row r="484" s="435" customFormat="1" ht="12.75"/>
    <row r="485" s="435" customFormat="1" ht="12.75"/>
    <row r="486" s="435" customFormat="1" ht="12.75"/>
    <row r="487" s="435" customFormat="1" ht="12.75"/>
    <row r="488" s="435" customFormat="1" ht="12.75"/>
    <row r="489" s="435" customFormat="1" ht="12.75"/>
    <row r="490" s="435" customFormat="1" ht="12.75"/>
    <row r="491" s="435" customFormat="1" ht="12.75"/>
    <row r="492" s="435" customFormat="1" ht="12.75"/>
    <row r="493" s="435" customFormat="1" ht="12.75"/>
    <row r="494" s="435" customFormat="1" ht="12.75"/>
    <row r="495" s="435" customFormat="1" ht="12.75"/>
    <row r="496" s="435" customFormat="1" ht="12.75"/>
    <row r="497" s="435" customFormat="1" ht="12.75"/>
    <row r="498" s="435" customFormat="1" ht="12.75"/>
    <row r="499" s="435" customFormat="1" ht="12.75"/>
    <row r="500" s="435" customFormat="1" ht="12.75"/>
    <row r="501" s="435" customFormat="1" ht="12.75"/>
    <row r="502" s="435" customFormat="1" ht="12.75"/>
    <row r="503" s="435" customFormat="1" ht="12.75"/>
    <row r="504" s="435" customFormat="1" ht="12.75"/>
    <row r="505" s="435" customFormat="1" ht="12.75"/>
    <row r="506" s="435" customFormat="1" ht="12.75"/>
    <row r="507" s="435" customFormat="1" ht="12.75"/>
    <row r="508" s="435" customFormat="1" ht="12.75"/>
    <row r="509" s="435" customFormat="1" ht="12.75"/>
    <row r="510" s="435" customFormat="1" ht="12.75"/>
    <row r="511" s="435" customFormat="1" ht="12.75"/>
    <row r="512" s="435" customFormat="1" ht="12.75"/>
    <row r="513" s="435" customFormat="1" ht="12.75"/>
    <row r="514" s="435" customFormat="1" ht="12.75"/>
    <row r="515" s="435" customFormat="1" ht="12.75"/>
    <row r="516" s="435" customFormat="1" ht="12.75"/>
    <row r="517" s="435" customFormat="1" ht="12.75"/>
    <row r="518" s="435" customFormat="1" ht="12.75"/>
    <row r="519" s="435" customFormat="1" ht="12.75"/>
    <row r="520" s="435" customFormat="1" ht="12.75"/>
    <row r="521" s="435" customFormat="1" ht="12.75"/>
    <row r="522" s="435" customFormat="1" ht="12.75"/>
    <row r="523" s="435" customFormat="1" ht="12.75"/>
    <row r="524" s="435" customFormat="1" ht="12.75"/>
    <row r="525" s="435" customFormat="1" ht="12.75"/>
    <row r="526" s="435" customFormat="1" ht="12.75"/>
    <row r="527" s="435" customFormat="1" ht="12.75"/>
    <row r="528" s="435" customFormat="1" ht="12.75"/>
    <row r="529" s="435" customFormat="1" ht="12.75"/>
    <row r="530" s="435" customFormat="1" ht="12.75"/>
    <row r="531" s="435" customFormat="1" ht="12.75"/>
    <row r="532" s="435" customFormat="1" ht="12.75"/>
    <row r="533" s="435" customFormat="1" ht="12.75"/>
    <row r="534" s="435" customFormat="1" ht="12.75"/>
    <row r="535" s="435" customFormat="1" ht="12.75"/>
    <row r="536" s="435" customFormat="1" ht="12.75"/>
    <row r="537" s="435" customFormat="1" ht="12.75"/>
    <row r="538" s="435" customFormat="1" ht="12.75"/>
    <row r="539" s="435" customFormat="1" ht="12.75"/>
    <row r="540" s="435" customFormat="1" ht="12.75"/>
    <row r="541" s="435" customFormat="1" ht="12.75"/>
    <row r="542" s="435" customFormat="1" ht="12.75"/>
    <row r="543" s="435" customFormat="1" ht="12.75"/>
    <row r="544" s="435" customFormat="1" ht="12.75"/>
    <row r="545" s="435" customFormat="1" ht="12.75"/>
    <row r="546" s="435" customFormat="1" ht="12.75"/>
    <row r="547" s="435" customFormat="1" ht="12.75"/>
    <row r="548" s="435" customFormat="1" ht="12.75"/>
    <row r="549" s="435" customFormat="1" ht="12.75"/>
    <row r="550" s="435" customFormat="1" ht="12.75"/>
    <row r="551" s="435" customFormat="1" ht="12.75"/>
    <row r="552" s="435" customFormat="1" ht="12.75"/>
    <row r="553" s="435" customFormat="1" ht="12.75"/>
    <row r="554" s="435" customFormat="1" ht="12.75"/>
    <row r="555" s="435" customFormat="1" ht="12.75"/>
    <row r="556" s="435" customFormat="1" ht="12.75"/>
    <row r="557" s="435" customFormat="1" ht="12.75"/>
    <row r="558" s="435" customFormat="1" ht="12.75"/>
    <row r="559" s="435" customFormat="1" ht="12.75"/>
    <row r="560" s="435" customFormat="1" ht="12.75"/>
    <row r="561" s="435" customFormat="1" ht="12.75"/>
    <row r="562" s="435" customFormat="1" ht="12.75"/>
    <row r="563" s="435" customFormat="1" ht="12.75"/>
    <row r="564" s="435" customFormat="1" ht="12.75"/>
    <row r="565" s="435" customFormat="1" ht="12.75"/>
    <row r="566" s="435" customFormat="1" ht="12.75"/>
    <row r="567" s="435" customFormat="1" ht="12.75"/>
    <row r="568" s="435" customFormat="1" ht="12.75"/>
    <row r="569" s="435" customFormat="1" ht="12.75"/>
    <row r="570" s="435" customFormat="1" ht="12.75"/>
    <row r="571" s="435" customFormat="1" ht="12.75"/>
    <row r="572" s="435" customFormat="1" ht="12.75"/>
    <row r="573" s="435" customFormat="1" ht="12.75"/>
    <row r="574" s="435" customFormat="1" ht="12.75"/>
    <row r="575" s="435" customFormat="1" ht="12.75"/>
    <row r="576" s="435" customFormat="1" ht="12.75"/>
    <row r="577" s="435" customFormat="1" ht="12.75"/>
    <row r="578" s="435" customFormat="1" ht="12.75"/>
    <row r="579" s="435" customFormat="1" ht="12.75"/>
    <row r="580" s="435" customFormat="1" ht="12.75"/>
    <row r="581" s="435" customFormat="1" ht="12.75"/>
    <row r="582" s="435" customFormat="1" ht="12.75"/>
    <row r="583" s="435" customFormat="1" ht="12.75"/>
    <row r="584" s="435" customFormat="1" ht="12.75"/>
    <row r="585" s="435" customFormat="1" ht="12.75"/>
    <row r="586" s="435" customFormat="1" ht="12.75"/>
    <row r="587" s="435" customFormat="1" ht="12.75"/>
    <row r="588" s="435" customFormat="1" ht="12.75"/>
    <row r="589" s="435" customFormat="1" ht="12.75"/>
    <row r="590" s="435" customFormat="1" ht="12.75"/>
    <row r="591" s="435" customFormat="1" ht="12.75"/>
    <row r="592" s="435" customFormat="1" ht="12.75"/>
    <row r="593" s="435" customFormat="1" ht="12.75"/>
    <row r="594" s="435" customFormat="1" ht="12.75"/>
    <row r="595" s="435" customFormat="1" ht="12.75"/>
    <row r="596" s="435" customFormat="1" ht="12.75"/>
    <row r="597" s="435" customFormat="1" ht="12.75"/>
    <row r="598" s="435" customFormat="1" ht="12.75"/>
    <row r="599" s="435" customFormat="1" ht="12.75"/>
    <row r="600" s="435" customFormat="1" ht="12.75"/>
    <row r="601" s="435" customFormat="1" ht="12.75"/>
  </sheetData>
  <sheetProtection algorithmName="SHA-512" hashValue="9pFMhT8jtAxNchMzAzeOgAvPYMFsJTt894Op3cayZPgZuXvlRpD1nQbF1CVGVTGFCWgaA0R0hW8aMCkTPmSaAQ==" saltValue="SxIUI1ib0YoNkGRyzNtASw==" spinCount="100000" sheet="1" objects="1" scenarios="1"/>
  <mergeCells count="32">
    <mergeCell ref="A1:K1"/>
    <mergeCell ref="A2:A4"/>
    <mergeCell ref="B2:C3"/>
    <mergeCell ref="D2:E3"/>
    <mergeCell ref="F2:G2"/>
    <mergeCell ref="H2:I2"/>
    <mergeCell ref="J2:K2"/>
    <mergeCell ref="B4:C4"/>
    <mergeCell ref="D4:E4"/>
    <mergeCell ref="F4:G4"/>
    <mergeCell ref="H4:I4"/>
    <mergeCell ref="J4:K4"/>
    <mergeCell ref="B5:C5"/>
    <mergeCell ref="D5:E5"/>
    <mergeCell ref="B6:C6"/>
    <mergeCell ref="D6:E6"/>
    <mergeCell ref="B7:C7"/>
    <mergeCell ref="D7:E7"/>
    <mergeCell ref="B8:C8"/>
    <mergeCell ref="D8:E8"/>
    <mergeCell ref="B9:C9"/>
    <mergeCell ref="D9:E9"/>
    <mergeCell ref="B13:C13"/>
    <mergeCell ref="D13:E13"/>
    <mergeCell ref="A14:K14"/>
    <mergeCell ref="A15:K15"/>
    <mergeCell ref="B10:C10"/>
    <mergeCell ref="D10:E10"/>
    <mergeCell ref="B11:C11"/>
    <mergeCell ref="D11:E11"/>
    <mergeCell ref="B12:C12"/>
    <mergeCell ref="D12:E12"/>
  </mergeCells>
  <printOptions horizont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0">
    <tabColor theme="0"/>
    <pageSetUpPr fitToPage="1"/>
  </sheetPr>
  <dimension ref="A1:L59"/>
  <sheetViews>
    <sheetView workbookViewId="0" topLeftCell="A1">
      <selection pane="topLeft" activeCell="A8" sqref="A8:G8"/>
    </sheetView>
  </sheetViews>
  <sheetFormatPr defaultColWidth="8.85428571428571" defaultRowHeight="12"/>
  <cols>
    <col min="1" max="1" width="6.14285714285714" style="346" customWidth="1"/>
    <col min="2" max="4" width="16.7142857142857" style="346" customWidth="1"/>
    <col min="5" max="7" width="17.7142857142857" style="346" customWidth="1"/>
    <col min="8" max="16384" width="8.85714285714286" style="346"/>
  </cols>
  <sheetData>
    <row r="1" spans="1:7" ht="15" customHeight="1">
      <c r="A1" s="1284"/>
      <c r="B1" s="1284"/>
      <c r="C1" s="1284"/>
      <c r="D1" s="1284"/>
      <c r="E1" s="1284"/>
      <c r="F1" s="1284"/>
      <c r="G1" s="1284"/>
    </row>
    <row r="2" spans="1:7" ht="26.45" customHeight="1">
      <c r="A2" s="1285" t="s">
        <v>2291</v>
      </c>
      <c r="B2" s="1285"/>
      <c r="C2" s="1285"/>
      <c r="D2" s="1285"/>
      <c r="E2" s="1285"/>
      <c r="F2" s="1285"/>
      <c r="G2" s="1285"/>
    </row>
    <row r="3" spans="1:7" ht="15" customHeight="1">
      <c r="A3" s="1286" t="s">
        <v>2292</v>
      </c>
      <c r="B3" s="1286"/>
      <c r="C3" s="1286"/>
      <c r="D3" s="1286"/>
      <c r="E3" s="1286"/>
      <c r="F3" s="1286"/>
      <c r="G3" s="1286"/>
    </row>
    <row r="4" spans="1:7" ht="15" customHeight="1">
      <c r="A4" s="1286" t="s">
        <v>2354</v>
      </c>
      <c r="B4" s="1286"/>
      <c r="C4" s="1286"/>
      <c r="D4" s="1286"/>
      <c r="E4" s="1286"/>
      <c r="F4" s="1286"/>
      <c r="G4" s="1286"/>
    </row>
    <row r="5" spans="1:7" ht="15" customHeight="1">
      <c r="A5" s="1287" t="s">
        <v>2293</v>
      </c>
      <c r="B5" s="1287"/>
      <c r="C5" s="1287"/>
      <c r="D5" s="1287"/>
      <c r="E5" s="1287"/>
      <c r="F5" s="1287"/>
      <c r="G5" s="1287"/>
    </row>
    <row r="6" spans="1:7" ht="15" customHeight="1" thickBot="1">
      <c r="A6" s="1287"/>
      <c r="B6" s="1287"/>
      <c r="C6" s="1287"/>
      <c r="D6" s="1287"/>
      <c r="E6" s="1287"/>
      <c r="F6" s="1287"/>
      <c r="G6" s="1287"/>
    </row>
    <row r="7" spans="1:7" ht="15" customHeight="1">
      <c r="A7" s="1278" t="s">
        <v>2532</v>
      </c>
      <c r="B7" s="1279"/>
      <c r="C7" s="1279"/>
      <c r="D7" s="1279"/>
      <c r="E7" s="683"/>
      <c r="F7" s="683"/>
      <c r="G7" s="1297"/>
    </row>
    <row r="8" spans="1:7" ht="18" customHeight="1">
      <c r="A8" s="1294" t="s">
        <v>146</v>
      </c>
      <c r="B8" s="1295"/>
      <c r="C8" s="1295"/>
      <c r="D8" s="1295"/>
      <c r="E8" s="1295"/>
      <c r="F8" s="1295"/>
      <c r="G8" s="1296"/>
    </row>
    <row r="9" spans="1:7" ht="15" customHeight="1">
      <c r="A9" s="1288" t="s">
        <v>2294</v>
      </c>
      <c r="B9" s="1266"/>
      <c r="C9" s="1266"/>
      <c r="D9" s="1266"/>
      <c r="E9" s="1266"/>
      <c r="F9" s="1266"/>
      <c r="G9" s="1289"/>
    </row>
    <row r="10" spans="1:7" ht="18" customHeight="1">
      <c r="A10" s="1290"/>
      <c r="B10" s="1291"/>
      <c r="C10" s="1291"/>
      <c r="D10" s="1291"/>
      <c r="E10" s="1291"/>
      <c r="F10" s="1291"/>
      <c r="G10" s="1292"/>
    </row>
    <row r="11" spans="1:7" ht="15" customHeight="1">
      <c r="A11" s="1288" t="s">
        <v>2295</v>
      </c>
      <c r="B11" s="1266"/>
      <c r="C11" s="1266"/>
      <c r="D11" s="1266"/>
      <c r="E11" s="1266"/>
      <c r="F11" s="1266"/>
      <c r="G11" s="1289"/>
    </row>
    <row r="12" spans="1:7" ht="18" customHeight="1">
      <c r="A12" s="1290"/>
      <c r="B12" s="1291"/>
      <c r="C12" s="1291"/>
      <c r="D12" s="1291"/>
      <c r="E12" s="1291"/>
      <c r="F12" s="1291"/>
      <c r="G12" s="1292"/>
    </row>
    <row r="13" spans="1:7" ht="5.1" customHeight="1" thickBot="1">
      <c r="A13" s="1298"/>
      <c r="B13" s="1299"/>
      <c r="C13" s="1299"/>
      <c r="D13" s="1094"/>
      <c r="E13" s="1094"/>
      <c r="F13" s="1094"/>
      <c r="G13" s="1300"/>
    </row>
    <row r="14" spans="1:7" ht="5.1" customHeight="1">
      <c r="A14" s="1293"/>
      <c r="B14" s="1293"/>
      <c r="C14" s="1293"/>
      <c r="D14" s="1293"/>
      <c r="E14" s="1293"/>
      <c r="F14" s="1293"/>
      <c r="G14" s="1293"/>
    </row>
    <row r="15" spans="1:7" ht="18" customHeight="1">
      <c r="A15" s="1271" t="s">
        <v>2355</v>
      </c>
      <c r="B15" s="1271"/>
      <c r="C15" s="592"/>
      <c r="D15" s="592"/>
      <c r="E15" s="592"/>
      <c r="F15" s="387">
        <f>+'DAP1'!F24</f>
        <v>2025</v>
      </c>
      <c r="G15" s="379" t="s">
        <v>2356</v>
      </c>
    </row>
    <row r="16" spans="1:7" ht="5.1" customHeight="1" thickBot="1">
      <c r="A16" s="1272"/>
      <c r="B16" s="1272"/>
      <c r="C16" s="1273"/>
      <c r="D16" s="1273"/>
      <c r="E16" s="1273"/>
      <c r="F16" s="1273"/>
      <c r="G16" s="1273"/>
    </row>
    <row r="17" spans="1:7" ht="15" customHeight="1">
      <c r="A17" s="1278" t="s">
        <v>84</v>
      </c>
      <c r="B17" s="1279"/>
      <c r="C17" s="683"/>
      <c r="D17" s="683"/>
      <c r="E17" s="683"/>
      <c r="F17" s="1282" t="s">
        <v>83</v>
      </c>
      <c r="G17" s="1283"/>
    </row>
    <row r="18" spans="1:7" ht="18" customHeight="1">
      <c r="A18" s="1274" t="str">
        <f>+IF(ISBLANK('DAP2'!C45)," ",IF(EXACT(MID('DAP2'!C45,1,1)," ")," ",+MID('DAP2'!C45,1,+FIND(" ",'DAP2'!C45))))</f>
        <v xml:space="preserve"> </v>
      </c>
      <c r="B18" s="1275"/>
      <c r="C18" s="1276"/>
      <c r="D18" s="1277"/>
      <c r="E18" s="377"/>
      <c r="F18" s="1280" t="str">
        <f>+IF(ISBLANK('DAP2'!C45)," ",IF(EXACT(MID('DAP2'!C45,1,1)," ")," ",+MID('DAP2'!C45,+FIND(" ",'DAP2'!C45)+1,20)))</f>
        <v xml:space="preserve"> </v>
      </c>
      <c r="G18" s="1281"/>
    </row>
    <row r="19" spans="1:7" ht="15" customHeight="1">
      <c r="A19" s="1263" t="s">
        <v>129</v>
      </c>
      <c r="B19" s="1264"/>
      <c r="C19" s="1265"/>
      <c r="D19" s="1265"/>
      <c r="E19" s="1266" t="s">
        <v>2296</v>
      </c>
      <c r="F19" s="888"/>
      <c r="G19" s="1267"/>
    </row>
    <row r="20" spans="1:7" ht="18" customHeight="1">
      <c r="A20" s="1260" t="str">
        <f>+CONCATENATE('DAP2'!H45)</f>
        <v/>
      </c>
      <c r="B20" s="1261"/>
      <c r="C20" s="1262"/>
      <c r="D20" s="380"/>
      <c r="E20" s="1268" t="str">
        <f>+CONCATENATE(ZAKL_DATA!B16," ",ZAKL_DATA!B17,", ",ZAKL_DATA!B18)</f>
        <v xml:space="preserve"> , </v>
      </c>
      <c r="F20" s="1269"/>
      <c r="G20" s="1270"/>
    </row>
    <row r="21" spans="1:7" ht="15" customHeight="1">
      <c r="A21" s="1301"/>
      <c r="B21" s="1302"/>
      <c r="C21" s="888"/>
      <c r="D21" s="888"/>
      <c r="E21" s="888"/>
      <c r="F21" s="888"/>
      <c r="G21" s="1267"/>
    </row>
    <row r="22" spans="1:7" ht="18" customHeight="1">
      <c r="A22" s="1260"/>
      <c r="B22" s="1261"/>
      <c r="C22" s="1261"/>
      <c r="D22" s="1269"/>
      <c r="E22" s="1269"/>
      <c r="F22" s="1269"/>
      <c r="G22" s="1270"/>
    </row>
    <row r="23" spans="1:7" ht="15" customHeight="1">
      <c r="A23" s="1263"/>
      <c r="B23" s="1265"/>
      <c r="C23" s="1265"/>
      <c r="D23" s="1265"/>
      <c r="E23" s="1265"/>
      <c r="F23" s="1265"/>
      <c r="G23" s="388" t="s">
        <v>39</v>
      </c>
    </row>
    <row r="24" spans="1:7" ht="18" customHeight="1">
      <c r="A24" s="1260"/>
      <c r="B24" s="1261"/>
      <c r="C24" s="1276"/>
      <c r="D24" s="1276"/>
      <c r="E24" s="1277"/>
      <c r="F24" s="376"/>
      <c r="G24" s="386" t="str">
        <f>+CONCATENATE(ZAKL_DATA!B19)</f>
        <v/>
      </c>
    </row>
    <row r="25" spans="1:7" ht="9" customHeight="1" thickBot="1">
      <c r="A25" s="1310"/>
      <c r="B25" s="1311"/>
      <c r="C25" s="1311"/>
      <c r="D25" s="1311"/>
      <c r="E25" s="993"/>
      <c r="F25" s="993"/>
      <c r="G25" s="1312"/>
    </row>
    <row r="26" spans="1:7" ht="10.9" customHeight="1">
      <c r="A26" s="1284"/>
      <c r="B26" s="1284"/>
      <c r="C26" s="1284"/>
      <c r="D26" s="1284"/>
      <c r="E26" s="1284"/>
      <c r="F26" s="1284"/>
      <c r="G26" s="1284"/>
    </row>
    <row r="27" spans="1:7" ht="15" customHeight="1">
      <c r="A27" s="389" t="s">
        <v>2357</v>
      </c>
      <c r="B27" s="387">
        <f>+F15</f>
        <v>2025</v>
      </c>
      <c r="C27" s="381" t="s">
        <v>2360</v>
      </c>
      <c r="D27" s="1271" t="s">
        <v>2358</v>
      </c>
      <c r="E27" s="578"/>
      <c r="F27" s="578"/>
      <c r="G27" s="578"/>
    </row>
    <row r="28" spans="1:11" ht="15" customHeight="1" thickBot="1">
      <c r="A28" s="1272" t="s">
        <v>2359</v>
      </c>
      <c r="B28" s="1272"/>
      <c r="C28" s="1273"/>
      <c r="D28" s="1273"/>
      <c r="E28" s="1273"/>
      <c r="F28" s="1273"/>
      <c r="G28" s="1273"/>
      <c r="H28" s="347"/>
      <c r="I28" s="347"/>
      <c r="J28" s="347"/>
      <c r="K28" s="347"/>
    </row>
    <row r="29" spans="1:8" ht="25.9" customHeight="1">
      <c r="A29" s="348"/>
      <c r="B29" s="349" t="s">
        <v>84</v>
      </c>
      <c r="C29" s="349" t="s">
        <v>83</v>
      </c>
      <c r="D29" s="349" t="s">
        <v>129</v>
      </c>
      <c r="E29" s="378" t="s">
        <v>2200</v>
      </c>
      <c r="F29" s="378" t="s">
        <v>2201</v>
      </c>
      <c r="G29" s="350" t="s">
        <v>2361</v>
      </c>
      <c r="H29" s="351"/>
    </row>
    <row r="30" spans="1:7" ht="18" customHeight="1">
      <c r="A30" s="390">
        <v>1</v>
      </c>
      <c r="B30" s="382" t="str">
        <f>+IF(EXACT(MID('DAP3'!B17,1,1),"x")," ",(MID('DAP3'!B17,1,+FIND(" ",'DAP3'!B17))))</f>
        <v xml:space="preserve"> </v>
      </c>
      <c r="C30" s="352" t="str">
        <f>+IF(EXACT(MID('DAP3'!B17,1,1),"x")," ",(MID('DAP3'!B17,+FIND(" ",'DAP3'!B17)+1,20)))</f>
        <v xml:space="preserve"> </v>
      </c>
      <c r="D30" s="352" t="str">
        <f>+IF(EXACT(MID('DAP3'!C17,1,1),"X")," ",CONCATENATE('DAP3'!D17))</f>
        <v/>
      </c>
      <c r="E30" s="385"/>
      <c r="F30" s="385"/>
      <c r="G30" s="353"/>
    </row>
    <row r="31" spans="1:7" ht="18" customHeight="1">
      <c r="A31" s="390">
        <v>2</v>
      </c>
      <c r="B31" s="382" t="str">
        <f>+IF(EXACT(MID('DAP3'!B18,1,1),"x")," ",(MID('DAP3'!B18,1,+FIND(" ",'DAP3'!B18))))</f>
        <v xml:space="preserve"> </v>
      </c>
      <c r="C31" s="352" t="str">
        <f>+IF(EXACT(MID('DAP3'!B18,1,1),"x")," ",(MID('DAP3'!B18,+FIND(" ",'DAP3'!B18)+1,20)))</f>
        <v xml:space="preserve"> </v>
      </c>
      <c r="D31" s="352" t="str">
        <f>+IF(EXACT(MID('DAP3'!C18,1,1),"X")," ",CONCATENATE('DAP3'!D18))</f>
        <v/>
      </c>
      <c r="E31" s="385"/>
      <c r="F31" s="385"/>
      <c r="G31" s="353"/>
    </row>
    <row r="32" spans="1:7" ht="18" customHeight="1">
      <c r="A32" s="390">
        <v>3</v>
      </c>
      <c r="B32" s="382" t="str">
        <f>+IF(EXACT(MID('DAP3'!B19,1,1),"x")," ",(MID('DAP3'!B19,1,+FIND(" ",'DAP3'!B19))))</f>
        <v xml:space="preserve"> </v>
      </c>
      <c r="C32" s="352" t="str">
        <f>+IF(EXACT(MID('DAP3'!B19,1,1),"x")," ",(MID('DAP3'!B19,+FIND(" ",'DAP3'!B19)+1,20)))</f>
        <v xml:space="preserve"> </v>
      </c>
      <c r="D32" s="352" t="str">
        <f>+IF(EXACT(MID('DAP3'!C19,1,1),"X")," ",CONCATENATE('DAP3'!D19))</f>
        <v/>
      </c>
      <c r="E32" s="385"/>
      <c r="F32" s="385"/>
      <c r="G32" s="353"/>
    </row>
    <row r="33" spans="1:7" ht="18" customHeight="1">
      <c r="A33" s="390">
        <v>4</v>
      </c>
      <c r="B33" s="382" t="str">
        <f>+IF(EXACT(MID('DAP3'!B20,1,1),"x")," ",(MID('DAP3'!B20,1,+FIND(" ",'DAP3'!B20))))</f>
        <v xml:space="preserve"> </v>
      </c>
      <c r="C33" s="352" t="str">
        <f>+IF(EXACT(MID('DAP3'!B20,1,1),"x")," ",(MID('DAP3'!B20,+FIND(" ",'DAP3'!B20)+1,20)))</f>
        <v xml:space="preserve"> </v>
      </c>
      <c r="D33" s="352" t="str">
        <f>+IF(EXACT(MID('DAP3'!C20,1,1),"X")," ",CONCATENATE('DAP3'!D20))</f>
        <v/>
      </c>
      <c r="E33" s="385"/>
      <c r="F33" s="385"/>
      <c r="G33" s="353"/>
    </row>
    <row r="34" spans="1:7" ht="18" customHeight="1">
      <c r="A34" s="391" t="s">
        <v>2362</v>
      </c>
      <c r="B34" s="383"/>
      <c r="C34" s="354"/>
      <c r="D34" s="355"/>
      <c r="E34" s="355"/>
      <c r="F34" s="355"/>
      <c r="G34" s="353"/>
    </row>
    <row r="35" spans="1:7" ht="18" customHeight="1">
      <c r="A35" s="391" t="s">
        <v>2363</v>
      </c>
      <c r="B35" s="383"/>
      <c r="C35" s="354"/>
      <c r="D35" s="355"/>
      <c r="E35" s="355"/>
      <c r="F35" s="355"/>
      <c r="G35" s="353"/>
    </row>
    <row r="36" spans="1:7" ht="18" customHeight="1" thickBot="1">
      <c r="A36" s="457" t="s">
        <v>2533</v>
      </c>
      <c r="B36" s="384"/>
      <c r="C36" s="356"/>
      <c r="D36" s="357"/>
      <c r="E36" s="357"/>
      <c r="F36" s="357"/>
      <c r="G36" s="358"/>
    </row>
    <row r="37" spans="1:7" ht="15" customHeight="1">
      <c r="A37" s="1284"/>
      <c r="B37" s="1284"/>
      <c r="C37" s="1284"/>
      <c r="D37" s="1284"/>
      <c r="E37" s="1284"/>
      <c r="F37" s="1284"/>
      <c r="G37" s="1284"/>
    </row>
    <row r="38" spans="1:7" ht="15" customHeight="1">
      <c r="A38" s="1305" t="s">
        <v>2297</v>
      </c>
      <c r="B38" s="1305"/>
      <c r="C38" s="1305"/>
      <c r="D38" s="1305"/>
      <c r="E38" s="1305"/>
      <c r="F38" s="1305"/>
      <c r="G38" s="1305"/>
    </row>
    <row r="39" spans="1:7" ht="15" customHeight="1">
      <c r="A39" s="1316" t="s">
        <v>2534</v>
      </c>
      <c r="B39" s="888"/>
      <c r="C39" s="1306"/>
      <c r="D39" s="1307"/>
      <c r="E39" s="359" t="s">
        <v>2298</v>
      </c>
      <c r="F39" s="1306"/>
      <c r="G39" s="1307"/>
    </row>
    <row r="40" spans="1:7" ht="15" customHeight="1">
      <c r="A40" s="1293"/>
      <c r="B40" s="1293"/>
      <c r="C40" s="1293"/>
      <c r="D40" s="1293"/>
      <c r="E40" s="1293"/>
      <c r="F40" s="1293"/>
      <c r="G40" s="1293"/>
    </row>
    <row r="41" spans="1:7" ht="15" customHeight="1">
      <c r="A41" s="1266"/>
      <c r="B41" s="1266"/>
      <c r="C41" s="1266"/>
      <c r="D41" s="1266"/>
      <c r="E41" s="359" t="s">
        <v>2364</v>
      </c>
      <c r="F41" s="1308"/>
      <c r="G41" s="1309"/>
    </row>
    <row r="42" spans="1:7" ht="15" customHeight="1">
      <c r="A42" s="506"/>
      <c r="B42" s="506"/>
      <c r="C42" s="506"/>
      <c r="D42" s="506"/>
      <c r="E42" s="1293"/>
      <c r="F42" s="1293"/>
      <c r="G42" s="1293"/>
    </row>
    <row r="43" spans="1:7" ht="15" customHeight="1">
      <c r="A43" s="506"/>
      <c r="B43" s="506"/>
      <c r="C43" s="506"/>
      <c r="D43" s="506"/>
      <c r="E43" s="359" t="s">
        <v>2299</v>
      </c>
      <c r="F43" s="1303">
        <f ca="1">TODAY()</f>
        <v>46162</v>
      </c>
      <c r="G43" s="1304"/>
    </row>
    <row r="44" spans="1:7" ht="15" customHeight="1">
      <c r="A44" s="506"/>
      <c r="B44" s="506"/>
      <c r="C44" s="506"/>
      <c r="D44" s="506"/>
      <c r="E44" s="359"/>
      <c r="F44" s="360"/>
      <c r="G44" s="360"/>
    </row>
    <row r="45" spans="1:7" ht="15" customHeight="1">
      <c r="A45" s="506"/>
      <c r="B45" s="506"/>
      <c r="C45" s="506"/>
      <c r="D45" s="506"/>
      <c r="E45" s="1330" t="s">
        <v>2300</v>
      </c>
      <c r="F45" s="1331"/>
      <c r="G45" s="1331"/>
    </row>
    <row r="46" spans="1:7" ht="15" customHeight="1">
      <c r="A46" s="506"/>
      <c r="B46" s="506"/>
      <c r="C46" s="506"/>
      <c r="D46" s="506"/>
      <c r="E46" s="1317"/>
      <c r="F46" s="1318"/>
      <c r="G46" s="1319"/>
    </row>
    <row r="47" spans="1:7" ht="15" customHeight="1">
      <c r="A47" s="506"/>
      <c r="B47" s="506"/>
      <c r="C47" s="506"/>
      <c r="D47" s="506"/>
      <c r="E47" s="1320"/>
      <c r="F47" s="1321"/>
      <c r="G47" s="1322"/>
    </row>
    <row r="48" spans="1:7" ht="12" customHeight="1">
      <c r="A48" s="506"/>
      <c r="B48" s="506"/>
      <c r="C48" s="506"/>
      <c r="D48" s="506"/>
      <c r="E48" s="1320"/>
      <c r="F48" s="1321"/>
      <c r="G48" s="1322"/>
    </row>
    <row r="49" spans="1:7" ht="12" customHeight="1">
      <c r="A49" s="506"/>
      <c r="B49" s="506"/>
      <c r="C49" s="506"/>
      <c r="D49" s="506"/>
      <c r="E49" s="1323"/>
      <c r="F49" s="1324"/>
      <c r="G49" s="1325"/>
    </row>
    <row r="50" spans="1:7" ht="12" customHeight="1">
      <c r="A50" s="506"/>
      <c r="B50" s="506"/>
      <c r="C50" s="506"/>
      <c r="D50" s="506"/>
      <c r="E50" s="1326"/>
      <c r="F50" s="1326"/>
      <c r="G50" s="1326"/>
    </row>
    <row r="51" spans="1:7" ht="12">
      <c r="A51" s="1284"/>
      <c r="B51" s="1284"/>
      <c r="C51" s="1284"/>
      <c r="D51" s="1284"/>
      <c r="E51" s="1284"/>
      <c r="F51" s="1284"/>
      <c r="G51" s="1284"/>
    </row>
    <row r="52" spans="1:7" ht="12">
      <c r="A52" s="1328" t="s">
        <v>2535</v>
      </c>
      <c r="B52" s="1328"/>
      <c r="C52" s="1328"/>
      <c r="D52" s="1328"/>
      <c r="E52" s="1328"/>
      <c r="F52" s="1328"/>
      <c r="G52" s="1328"/>
    </row>
    <row r="53" spans="1:7" ht="12">
      <c r="A53" s="1284"/>
      <c r="B53" s="1284"/>
      <c r="C53" s="1284"/>
      <c r="D53" s="1284"/>
      <c r="E53" s="1284"/>
      <c r="F53" s="1284"/>
      <c r="G53" s="1284"/>
    </row>
    <row r="54" spans="1:7" ht="12">
      <c r="A54" s="1329"/>
      <c r="B54" s="1329"/>
      <c r="C54" s="1329"/>
      <c r="D54" s="1329"/>
      <c r="E54" s="1329"/>
      <c r="F54" s="1329"/>
      <c r="G54" s="1329"/>
    </row>
    <row r="55" spans="1:12" ht="15.75">
      <c r="A55" s="1327" t="s">
        <v>2536</v>
      </c>
      <c r="B55" s="1327"/>
      <c r="C55" s="1327"/>
      <c r="D55" s="1327"/>
      <c r="E55" s="1327"/>
      <c r="F55" s="1327"/>
      <c r="G55" s="1327"/>
      <c r="H55" s="361"/>
      <c r="I55" s="361"/>
      <c r="J55" s="361"/>
      <c r="K55" s="361"/>
      <c r="L55" s="361"/>
    </row>
    <row r="56" spans="1:12" ht="66.75" customHeight="1">
      <c r="A56" s="1313" t="s">
        <v>2365</v>
      </c>
      <c r="B56" s="1313"/>
      <c r="C56" s="1313"/>
      <c r="D56" s="1313"/>
      <c r="E56" s="1313"/>
      <c r="F56" s="1313"/>
      <c r="G56" s="1313"/>
      <c r="H56" s="362"/>
      <c r="I56" s="362"/>
      <c r="J56" s="362"/>
      <c r="K56" s="362"/>
      <c r="L56" s="362"/>
    </row>
    <row r="57" spans="1:7" ht="12">
      <c r="A57" s="1313"/>
      <c r="B57" s="1313"/>
      <c r="C57" s="1313"/>
      <c r="D57" s="1313"/>
      <c r="E57" s="1313"/>
      <c r="F57" s="1313"/>
      <c r="G57" s="1313"/>
    </row>
    <row r="58" spans="1:7" ht="12">
      <c r="A58" s="1314" t="s">
        <v>2537</v>
      </c>
      <c r="B58" s="1315"/>
      <c r="C58" s="1315"/>
      <c r="D58" s="1315"/>
      <c r="E58" s="1315"/>
      <c r="F58" s="1315"/>
      <c r="G58" s="1315"/>
    </row>
    <row r="59" spans="1:7" ht="12">
      <c r="A59" s="1315"/>
      <c r="B59" s="1315"/>
      <c r="C59" s="1315"/>
      <c r="D59" s="1315"/>
      <c r="E59" s="1315"/>
      <c r="F59" s="1315"/>
      <c r="G59" s="1315"/>
    </row>
  </sheetData>
  <sheetProtection algorithmName="SHA-512" hashValue="MUdQUckTq/M2YJcjvVEeZAuFaWHBny2+G0o8dT/nE8r2y4tRKrwtdCwWjmS1B9JEBY3KrKeR5XlcbjiURtpL2w==" saltValue="tHaK5s0dikCrjrtBBjmTkA==" spinCount="100000" sheet="1" objects="1" scenarios="1"/>
  <mergeCells count="52">
    <mergeCell ref="A57:G57"/>
    <mergeCell ref="A58:G59"/>
    <mergeCell ref="A39:B39"/>
    <mergeCell ref="A41:D50"/>
    <mergeCell ref="E46:G49"/>
    <mergeCell ref="E50:G50"/>
    <mergeCell ref="A51:G51"/>
    <mergeCell ref="A55:G55"/>
    <mergeCell ref="A56:G56"/>
    <mergeCell ref="A52:G52"/>
    <mergeCell ref="A53:G53"/>
    <mergeCell ref="A54:G54"/>
    <mergeCell ref="E45:G45"/>
    <mergeCell ref="A21:G21"/>
    <mergeCell ref="A22:G22"/>
    <mergeCell ref="A26:G26"/>
    <mergeCell ref="A28:G28"/>
    <mergeCell ref="F43:G43"/>
    <mergeCell ref="A37:G37"/>
    <mergeCell ref="A38:G38"/>
    <mergeCell ref="C39:D39"/>
    <mergeCell ref="F39:G39"/>
    <mergeCell ref="A40:G40"/>
    <mergeCell ref="F41:G41"/>
    <mergeCell ref="E42:G42"/>
    <mergeCell ref="A23:F23"/>
    <mergeCell ref="A24:E24"/>
    <mergeCell ref="A25:G25"/>
    <mergeCell ref="D27:G27"/>
    <mergeCell ref="A10:G10"/>
    <mergeCell ref="A14:G14"/>
    <mergeCell ref="A4:G4"/>
    <mergeCell ref="A8:G8"/>
    <mergeCell ref="A7:G7"/>
    <mergeCell ref="A11:G11"/>
    <mergeCell ref="A12:G12"/>
    <mergeCell ref="A13:G13"/>
    <mergeCell ref="A1:G1"/>
    <mergeCell ref="A2:G2"/>
    <mergeCell ref="A3:G3"/>
    <mergeCell ref="A5:G6"/>
    <mergeCell ref="A9:G9"/>
    <mergeCell ref="A20:C20"/>
    <mergeCell ref="A19:D19"/>
    <mergeCell ref="E19:G19"/>
    <mergeCell ref="E20:G20"/>
    <mergeCell ref="A15:E15"/>
    <mergeCell ref="A16:G16"/>
    <mergeCell ref="A18:D18"/>
    <mergeCell ref="A17:E17"/>
    <mergeCell ref="F18:G18"/>
    <mergeCell ref="F17:G17"/>
  </mergeCells>
  <pageMargins left="0.196850393700787" right="0.196850393700787" top="0.393700787401575" bottom="0.393700787401575" header="0.31496062992126" footer="0.31496062992126"/>
  <pageSetup orientation="portrait" paperSize="9" scale="93"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1">
    <tabColor theme="0"/>
  </sheetPr>
  <dimension ref="A1:F43"/>
  <sheetViews>
    <sheetView workbookViewId="0" topLeftCell="A1">
      <selection pane="topLeft" activeCell="A10" sqref="A10"/>
    </sheetView>
  </sheetViews>
  <sheetFormatPr defaultColWidth="8.85428571428571" defaultRowHeight="15"/>
  <cols>
    <col min="1" max="1" width="9.57142857142857" style="363" customWidth="1"/>
    <col min="2" max="2" width="17.2857142857143" style="363" customWidth="1"/>
    <col min="3" max="3" width="17.8571428571429" style="363" customWidth="1"/>
    <col min="4" max="4" width="16.2857142857143" style="363" customWidth="1"/>
    <col min="5" max="5" width="21.5714285714286" style="363" customWidth="1"/>
    <col min="6" max="6" width="16.7142857142857" style="363" customWidth="1"/>
    <col min="7" max="16384" width="8.85714285714286" style="363"/>
  </cols>
  <sheetData>
    <row r="1" spans="1:5" ht="18" customHeight="1">
      <c r="A1" s="1333"/>
      <c r="B1" s="1333"/>
      <c r="C1" s="1333"/>
      <c r="D1" s="1333"/>
      <c r="E1" s="1333"/>
    </row>
    <row r="2" spans="1:6" ht="27.6" customHeight="1">
      <c r="A2" s="1285" t="s">
        <v>2302</v>
      </c>
      <c r="B2" s="1285"/>
      <c r="C2" s="1285"/>
      <c r="D2" s="1285"/>
      <c r="E2" s="1285"/>
      <c r="F2" s="364"/>
    </row>
    <row r="3" spans="1:5" ht="18" customHeight="1">
      <c r="A3" s="1333"/>
      <c r="B3" s="1333"/>
      <c r="C3" s="1333"/>
      <c r="D3" s="1333"/>
      <c r="E3" s="1333"/>
    </row>
    <row r="4" spans="1:5" ht="18" customHeight="1">
      <c r="A4" s="1333"/>
      <c r="B4" s="1333"/>
      <c r="C4" s="1333"/>
      <c r="D4" s="1333"/>
      <c r="E4" s="1333"/>
    </row>
    <row r="5" spans="1:5" ht="18" customHeight="1">
      <c r="A5" s="365" t="s">
        <v>2303</v>
      </c>
      <c r="B5" s="1332" t="str">
        <f>+CONCATENATE('DAP2'!C45)</f>
        <v/>
      </c>
      <c r="C5" s="1332"/>
      <c r="D5" s="365" t="s">
        <v>34</v>
      </c>
      <c r="E5" s="366" t="str">
        <f>+CONCATENATE('DAP2'!H45)</f>
        <v/>
      </c>
    </row>
    <row r="6" spans="1:5" ht="18" customHeight="1">
      <c r="A6" s="1293"/>
      <c r="B6" s="1293"/>
      <c r="C6" s="1293"/>
      <c r="D6" s="1293"/>
      <c r="E6" s="1293"/>
    </row>
    <row r="7" spans="1:5" ht="18" customHeight="1">
      <c r="A7" s="365" t="s">
        <v>2304</v>
      </c>
      <c r="B7" s="1332" t="str">
        <f>+CONCATENATE(ZAKL_DATA!B16," ",ZAKL_DATA!B17,", ",ZAKL_DATA!B18,", PSČ ",ZAKL_DATA!B19)</f>
        <v xml:space="preserve"> , , PSČ </v>
      </c>
      <c r="C7" s="1332"/>
      <c r="D7" s="1332"/>
      <c r="E7" s="1332"/>
    </row>
    <row r="8" spans="1:5" ht="18" customHeight="1">
      <c r="A8" s="365"/>
      <c r="B8" s="365"/>
      <c r="C8" s="365"/>
      <c r="D8" s="365"/>
      <c r="E8" s="365"/>
    </row>
    <row r="9" spans="1:5" ht="18" customHeight="1">
      <c r="A9" s="1334" t="s">
        <v>2571</v>
      </c>
      <c r="B9" s="1334"/>
      <c r="C9" s="1334"/>
      <c r="D9" s="1334"/>
      <c r="E9" s="1334"/>
    </row>
    <row r="10" spans="1:5" ht="18" customHeight="1">
      <c r="A10" s="359"/>
      <c r="B10" s="367" t="s">
        <v>83</v>
      </c>
      <c r="C10" s="367" t="s">
        <v>84</v>
      </c>
      <c r="D10" s="367" t="s">
        <v>129</v>
      </c>
      <c r="E10" s="368"/>
    </row>
    <row r="11" spans="1:5" ht="18" customHeight="1">
      <c r="A11" s="359" t="s">
        <v>117</v>
      </c>
      <c r="B11" s="369" t="str">
        <f>+Potvr_ZAM!C30</f>
        <v xml:space="preserve"> </v>
      </c>
      <c r="C11" s="369" t="str">
        <f>+Potvr_ZAM!B30</f>
        <v xml:space="preserve"> </v>
      </c>
      <c r="D11" s="369" t="str">
        <f>+CONCATENATE(Potvr_ZAM!D30)</f>
        <v/>
      </c>
      <c r="E11" s="370"/>
    </row>
    <row r="12" spans="1:5" ht="18" customHeight="1">
      <c r="A12" s="359" t="s">
        <v>118</v>
      </c>
      <c r="B12" s="369" t="str">
        <f>+Potvr_ZAM!C31</f>
        <v xml:space="preserve"> </v>
      </c>
      <c r="C12" s="369" t="str">
        <f>+Potvr_ZAM!B31</f>
        <v xml:space="preserve"> </v>
      </c>
      <c r="D12" s="369" t="str">
        <f>+CONCATENATE(Potvr_ZAM!D31)</f>
        <v/>
      </c>
      <c r="E12" s="370"/>
    </row>
    <row r="13" spans="1:5" ht="18" customHeight="1">
      <c r="A13" s="359" t="s">
        <v>119</v>
      </c>
      <c r="B13" s="369" t="str">
        <f>+Potvr_ZAM!C32</f>
        <v xml:space="preserve"> </v>
      </c>
      <c r="C13" s="369" t="str">
        <f>+Potvr_ZAM!B32</f>
        <v xml:space="preserve"> </v>
      </c>
      <c r="D13" s="369" t="str">
        <f>+CONCATENATE(Potvr_ZAM!D32)</f>
        <v/>
      </c>
      <c r="E13" s="370"/>
    </row>
    <row r="14" spans="1:5" ht="18" customHeight="1">
      <c r="A14" s="359" t="s">
        <v>251</v>
      </c>
      <c r="B14" s="369" t="str">
        <f>+Potvr_ZAM!C33</f>
        <v xml:space="preserve"> </v>
      </c>
      <c r="C14" s="369" t="str">
        <f>+Potvr_ZAM!B33</f>
        <v xml:space="preserve"> </v>
      </c>
      <c r="D14" s="369" t="str">
        <f>+CONCATENATE(Potvr_ZAM!D33)</f>
        <v/>
      </c>
      <c r="E14" s="370"/>
    </row>
    <row r="15" spans="1:5" ht="18" customHeight="1">
      <c r="A15" s="359" t="s">
        <v>89</v>
      </c>
      <c r="B15" s="369" t="str">
        <f>+CONCATENATE(Potvr_ZAM!C34)</f>
        <v/>
      </c>
      <c r="C15" s="369" t="str">
        <f>+CONCATENATE(Potvr_ZAM!B34)</f>
        <v/>
      </c>
      <c r="D15" s="369" t="str">
        <f>+CONCATENATE(Potvr_ZAM!D34)</f>
        <v/>
      </c>
      <c r="E15" s="370"/>
    </row>
    <row r="16" spans="1:5" ht="18" customHeight="1">
      <c r="A16" s="359" t="s">
        <v>250</v>
      </c>
      <c r="B16" s="369" t="str">
        <f>+CONCATENATE(Potvr_ZAM!C35)</f>
        <v/>
      </c>
      <c r="C16" s="369" t="str">
        <f>+CONCATENATE(Potvr_ZAM!B35)</f>
        <v/>
      </c>
      <c r="D16" s="369" t="str">
        <f>+CONCATENATE(Potvr_ZAM!D35)</f>
        <v/>
      </c>
      <c r="E16" s="370"/>
    </row>
    <row r="17" spans="1:5" ht="18" customHeight="1">
      <c r="A17" s="359" t="s">
        <v>249</v>
      </c>
      <c r="B17" s="369" t="str">
        <f>+CONCATENATE(Potvr_ZAM!C36)</f>
        <v/>
      </c>
      <c r="C17" s="369" t="str">
        <f>+CONCATENATE(Potvr_ZAM!B36)</f>
        <v/>
      </c>
      <c r="D17" s="369" t="str">
        <f>+CONCATENATE(Potvr_ZAM!D36)</f>
        <v/>
      </c>
      <c r="E17" s="370"/>
    </row>
    <row r="18" spans="1:5" ht="18" customHeight="1">
      <c r="A18" s="1293"/>
      <c r="B18" s="1293"/>
      <c r="C18" s="1293"/>
      <c r="D18" s="1293"/>
      <c r="E18" s="1293"/>
    </row>
    <row r="19" spans="1:5" ht="18" customHeight="1">
      <c r="A19" s="1293"/>
      <c r="B19" s="1293"/>
      <c r="C19" s="1293"/>
      <c r="D19" s="1293"/>
      <c r="E19" s="1293"/>
    </row>
    <row r="20" spans="1:5" ht="18" customHeight="1">
      <c r="A20" s="365" t="s">
        <v>2185</v>
      </c>
      <c r="B20" s="371">
        <f ca="1">TODAY()</f>
        <v>46162</v>
      </c>
      <c r="C20" s="1293"/>
      <c r="D20" s="1293"/>
      <c r="E20" s="1293"/>
    </row>
    <row r="21" spans="1:5" ht="18" customHeight="1">
      <c r="A21" s="1293"/>
      <c r="B21" s="1293"/>
      <c r="C21" s="1293"/>
      <c r="D21" s="1335"/>
      <c r="E21" s="1335"/>
    </row>
    <row r="22" spans="1:5" ht="18" customHeight="1">
      <c r="A22" s="1293"/>
      <c r="B22" s="1293"/>
      <c r="C22" s="1293"/>
      <c r="D22" s="1332"/>
      <c r="E22" s="1332"/>
    </row>
    <row r="23" spans="1:5" ht="18" customHeight="1">
      <c r="A23" s="1293"/>
      <c r="B23" s="1293"/>
      <c r="C23" s="1293"/>
      <c r="D23" s="1336" t="s">
        <v>2305</v>
      </c>
      <c r="E23" s="1336"/>
    </row>
    <row r="24" spans="1:5" ht="18" customHeight="1">
      <c r="A24" s="372"/>
      <c r="B24" s="372"/>
      <c r="C24" s="372"/>
      <c r="D24" s="372"/>
      <c r="E24" s="372"/>
    </row>
    <row r="25" spans="1:5" ht="15">
      <c r="A25" s="372"/>
      <c r="B25" s="372"/>
      <c r="C25" s="372"/>
      <c r="D25" s="372"/>
      <c r="E25" s="372"/>
    </row>
    <row r="26" spans="1:5" ht="15">
      <c r="A26" s="372"/>
      <c r="B26" s="372"/>
      <c r="C26" s="372"/>
      <c r="D26" s="372"/>
      <c r="E26" s="372"/>
    </row>
    <row r="27" spans="1:5" ht="15">
      <c r="A27" s="372"/>
      <c r="B27" s="372"/>
      <c r="C27" s="372"/>
      <c r="D27" s="372"/>
      <c r="E27" s="372"/>
    </row>
    <row r="28" spans="1:5" ht="15">
      <c r="A28" s="372"/>
      <c r="B28" s="372"/>
      <c r="C28" s="372"/>
      <c r="D28" s="372"/>
      <c r="E28" s="372"/>
    </row>
    <row r="29" spans="1:5" ht="15">
      <c r="A29" s="372"/>
      <c r="B29" s="372"/>
      <c r="C29" s="372"/>
      <c r="D29" s="372"/>
      <c r="E29" s="372"/>
    </row>
    <row r="30" spans="1:5" ht="15">
      <c r="A30" s="372"/>
      <c r="B30" s="372"/>
      <c r="C30" s="372"/>
      <c r="D30" s="372"/>
      <c r="E30" s="372"/>
    </row>
    <row r="31" spans="1:5" ht="15">
      <c r="A31" s="372"/>
      <c r="B31" s="372"/>
      <c r="C31" s="372"/>
      <c r="D31" s="372"/>
      <c r="E31" s="372"/>
    </row>
    <row r="32" spans="1:5" ht="15">
      <c r="A32" s="372"/>
      <c r="B32" s="372"/>
      <c r="C32" s="372"/>
      <c r="D32" s="372"/>
      <c r="E32" s="372"/>
    </row>
    <row r="33" spans="1:5" ht="15">
      <c r="A33" s="372"/>
      <c r="B33" s="372"/>
      <c r="C33" s="372"/>
      <c r="D33" s="372"/>
      <c r="E33" s="372"/>
    </row>
    <row r="34" spans="1:5" ht="15">
      <c r="A34" s="372"/>
      <c r="B34" s="372"/>
      <c r="C34" s="372"/>
      <c r="D34" s="372"/>
      <c r="E34" s="372"/>
    </row>
    <row r="35" spans="1:5" ht="15">
      <c r="A35" s="372"/>
      <c r="B35" s="372"/>
      <c r="C35" s="372"/>
      <c r="D35" s="372"/>
      <c r="E35" s="372"/>
    </row>
    <row r="36" spans="1:5" ht="15">
      <c r="A36" s="372"/>
      <c r="B36" s="372"/>
      <c r="C36" s="372"/>
      <c r="D36" s="372"/>
      <c r="E36" s="372"/>
    </row>
    <row r="37" spans="1:5" ht="15">
      <c r="A37" s="372"/>
      <c r="B37" s="372"/>
      <c r="C37" s="372"/>
      <c r="D37" s="372"/>
      <c r="E37" s="372"/>
    </row>
    <row r="38" spans="1:5" ht="15">
      <c r="A38" s="372"/>
      <c r="B38" s="372"/>
      <c r="C38" s="372"/>
      <c r="D38" s="372"/>
      <c r="E38" s="372"/>
    </row>
    <row r="39" spans="1:5" ht="15">
      <c r="A39" s="372"/>
      <c r="B39" s="372"/>
      <c r="C39" s="372"/>
      <c r="D39" s="372"/>
      <c r="E39" s="372"/>
    </row>
    <row r="40" spans="1:5" ht="15">
      <c r="A40" s="372"/>
      <c r="B40" s="372"/>
      <c r="C40" s="372"/>
      <c r="D40" s="372"/>
      <c r="E40" s="372"/>
    </row>
    <row r="41" spans="1:5" ht="15">
      <c r="A41" s="372"/>
      <c r="B41" s="372"/>
      <c r="C41" s="372"/>
      <c r="D41" s="372"/>
      <c r="E41" s="372"/>
    </row>
    <row r="42" spans="1:5" ht="15">
      <c r="A42" s="372"/>
      <c r="B42" s="372"/>
      <c r="C42" s="372"/>
      <c r="D42" s="372"/>
      <c r="E42" s="372"/>
    </row>
    <row r="43" spans="1:5" ht="15">
      <c r="A43" s="372"/>
      <c r="B43" s="372"/>
      <c r="C43" s="372"/>
      <c r="D43" s="372"/>
      <c r="E43" s="372"/>
    </row>
  </sheetData>
  <sheetProtection algorithmName="SHA-512" hashValue="WslnGnsdE09OPohaI/o2rQYx2p10Bqt5HhRK7OPK+OCd+Cfhj7VDoik5QYLsKaoQu9N7mV7TagXZDo91ngqgUA==" saltValue="wQqdKChAZAcLK8/gpBFTlw=="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I100"/>
  <sheetViews>
    <sheetView showOutlineSymbols="0" workbookViewId="0" topLeftCell="A1">
      <selection pane="topLeft" activeCell="A2" sqref="A2:B2"/>
    </sheetView>
  </sheetViews>
  <sheetFormatPr defaultColWidth="9.14428571428571" defaultRowHeight="12.75"/>
  <cols>
    <col min="1" max="1" width="41.2857142857143" style="2" customWidth="1"/>
    <col min="2" max="2" width="47.1428571428571" style="2" customWidth="1"/>
    <col min="3" max="3" width="13" style="20" customWidth="1"/>
    <col min="4" max="4" width="10.1428571428571" style="20" bestFit="1" customWidth="1"/>
    <col min="5" max="5" width="10.1428571428571" style="20" hidden="1" customWidth="1"/>
    <col min="6" max="31" width="9.14285714285714" style="20"/>
    <col min="32" max="16384" width="9.14285714285714" style="2"/>
  </cols>
  <sheetData>
    <row r="1" spans="1:4" ht="18" customHeight="1">
      <c r="A1" s="1341" t="s">
        <v>2572</v>
      </c>
      <c r="B1" s="582"/>
      <c r="C1" s="22"/>
      <c r="D1" s="22"/>
    </row>
    <row r="2" spans="1:4" ht="18" customHeight="1" thickBot="1">
      <c r="A2" s="1342"/>
      <c r="B2" s="1342"/>
      <c r="C2" s="22"/>
      <c r="D2" s="22"/>
    </row>
    <row r="3" spans="1:9" ht="18" customHeight="1">
      <c r="A3" s="461" t="s">
        <v>2465</v>
      </c>
      <c r="B3" s="464" t="str">
        <f>+CONCATENATE(ZAKL_DATA!B5," ",ZAKL_DATA!B4," ",ZAKL_DATA!B7)</f>
        <v xml:space="preserve">  </v>
      </c>
      <c r="D3" s="22"/>
      <c r="I3" s="465"/>
    </row>
    <row r="4" spans="1:4" ht="18" customHeight="1">
      <c r="A4" s="462" t="s">
        <v>2247</v>
      </c>
      <c r="B4" s="466">
        <f>+'DAP3'!D30</f>
        <v>0</v>
      </c>
      <c r="D4" s="22"/>
    </row>
    <row r="5" spans="1:4" s="20" customFormat="1" ht="18" customHeight="1">
      <c r="A5" s="462" t="s">
        <v>2466</v>
      </c>
      <c r="B5" s="467">
        <f>+B4</f>
        <v>0</v>
      </c>
      <c r="C5" s="22"/>
      <c r="D5" s="468"/>
    </row>
    <row r="6" spans="1:5" s="20" customFormat="1" ht="18" customHeight="1" thickBot="1">
      <c r="A6" s="463" t="s">
        <v>2547</v>
      </c>
      <c r="B6" s="469">
        <f>IF(EXACT((LEFT(+'DAP1'!J17,1)),A31),+DATE(+'DAP1'!F24+1,6,30),DATE('DAP1'!F24+1,3,31))+1</f>
        <v>46113</v>
      </c>
      <c r="C6" s="22"/>
      <c r="D6" s="470"/>
      <c r="E6" s="470">
        <f>+DATE('DAP1'!F24,12,31)</f>
        <v>46022</v>
      </c>
    </row>
    <row r="7" spans="1:5" s="20" customFormat="1" ht="24.75" customHeight="1">
      <c r="A7" s="1343" t="s">
        <v>2548</v>
      </c>
      <c r="B7" s="1343"/>
      <c r="C7" s="22"/>
      <c r="D7" s="470"/>
      <c r="E7" s="470"/>
    </row>
    <row r="8" spans="1:5" s="20" customFormat="1" ht="35.25" customHeight="1">
      <c r="A8" s="1344" t="s">
        <v>2549</v>
      </c>
      <c r="B8" s="1344"/>
      <c r="C8" s="22"/>
      <c r="D8" s="470"/>
      <c r="E8" s="470"/>
    </row>
    <row r="9" spans="1:5" s="20" customFormat="1" ht="24.95" customHeight="1">
      <c r="A9" s="1344" t="s">
        <v>2550</v>
      </c>
      <c r="B9" s="1344"/>
      <c r="C9" s="22"/>
      <c r="D9" s="470"/>
      <c r="E9" s="470"/>
    </row>
    <row r="10" spans="1:5" s="20" customFormat="1" ht="36.95" customHeight="1" thickBot="1">
      <c r="A10" s="1344" t="s">
        <v>2551</v>
      </c>
      <c r="B10" s="1344"/>
      <c r="C10" s="22"/>
      <c r="D10" s="470"/>
      <c r="E10" s="470"/>
    </row>
    <row r="11" spans="1:5" s="20" customFormat="1" ht="18" customHeight="1" thickBot="1">
      <c r="A11" s="471" t="s">
        <v>2552</v>
      </c>
      <c r="B11" s="472" t="s">
        <v>2553</v>
      </c>
      <c r="C11" s="22"/>
      <c r="D11" s="473"/>
      <c r="E11" s="473"/>
    </row>
    <row r="12" spans="1:4" s="20" customFormat="1" ht="18" customHeight="1">
      <c r="A12" s="474">
        <f>+B6</f>
        <v>46113</v>
      </c>
      <c r="B12" s="475">
        <f>+'DAP3'!D48</f>
        <v>0</v>
      </c>
      <c r="C12" s="22"/>
      <c r="D12" s="22"/>
    </row>
    <row r="13" spans="1:5" s="20" customFormat="1" ht="18" customHeight="1">
      <c r="A13" s="476" t="str">
        <f>CONCATENATE("15.",IF(OR(MONTH(A12)=4,MONTH(A12)=7),MONTH(A12)+2,MONTH(A12)+1),".",IF(MONTH(A12)&gt;9,YEAR(A12)+1,YEAR(A12)))</f>
        <v>15.6.2026</v>
      </c>
      <c r="B13" s="477">
        <f>CEILING(IF(OR(MONTH(B6)=5,MONTH(B6)=4),+IF($B$5&gt;150000,INT($B$5/4/100+0.99)*100,0)+IF($B$5&gt;30000,INT($B$5*0.4/100+0.99)*100,0)*IF($B$5&gt;150000,0,1),+IF($B$5&gt;150000,INT($B$5/4/100+0.99)*100,0))*A100,100)</f>
        <v>0</v>
      </c>
      <c r="C13" s="22"/>
      <c r="D13" s="22"/>
      <c r="E13" s="478"/>
    </row>
    <row r="14" spans="1:4" s="20" customFormat="1" ht="18" customHeight="1">
      <c r="A14" s="476" t="str">
        <f>CONCATENATE("15.",IF(MONTH(A13)&gt;9,MONTH(A13)-9,MONTH(A13)+3),".",IF(MONTH(A13)&gt;9,YEAR(A13)+1,YEAR(A13)))</f>
        <v>15.9.2026</v>
      </c>
      <c r="B14" s="477">
        <f>CEILING(+IF(MONTH(B6)=7,+IF($B$5&gt;150000,INT($B$5/4/100+0.99)*100,0)+IF($B$5&gt;30000,INT($B$5*0.4/100+0.99)*100,0)*IF($B$5&gt;150000,0,1),+IF($B$5&gt;150000,INT($B$5/4/100+0.99)*100,0))*A100,100)</f>
        <v>0</v>
      </c>
      <c r="C14" s="22"/>
      <c r="D14" s="22"/>
    </row>
    <row r="15" spans="1:4" s="20" customFormat="1" ht="18" customHeight="1">
      <c r="A15" s="476" t="str">
        <f>CONCATENATE("15.",IF(MONTH(A14)&gt;9,MONTH(A14)-9,MONTH(A14)+3),".",IF(MONTH(A14)&gt;9,YEAR(A14)+1,YEAR(A14)))</f>
        <v>15.12.2026</v>
      </c>
      <c r="B15" s="477">
        <f>+B13</f>
        <v>0</v>
      </c>
      <c r="C15" s="22"/>
      <c r="D15" s="22"/>
    </row>
    <row r="16" spans="1:4" s="20" customFormat="1" ht="18" customHeight="1">
      <c r="A16" s="479" t="str">
        <f>CONCATENATE("15.",IF(MONTH(A15)&gt;9,MONTH(A15)-9,MONTH(A15)+3),".",IF(MONTH(A15)&gt;9,YEAR(A15)+1,YEAR(A15)),)</f>
        <v>15.3.2027</v>
      </c>
      <c r="B16" s="477">
        <f>+B14</f>
        <v>0</v>
      </c>
      <c r="C16" s="22"/>
      <c r="D16" s="468"/>
    </row>
    <row r="17" spans="1:2" s="20" customFormat="1" ht="18" customHeight="1" thickBot="1">
      <c r="A17" s="480" t="str">
        <f>CONCATENATE("15.",IF(MONTH(A16)&gt;9,MONTH(A16)-9,MONTH(A16)+3),".",IF(MONTH(A16)&gt;9,YEAR(A16)+1,YEAR(A16)))</f>
        <v>15.6.2027</v>
      </c>
      <c r="B17" s="481">
        <f>+B15</f>
        <v>0</v>
      </c>
    </row>
    <row r="18" spans="1:2" s="20" customFormat="1" ht="39" customHeight="1">
      <c r="A18" s="1337" t="s">
        <v>2467</v>
      </c>
      <c r="B18" s="1338"/>
    </row>
    <row r="19" spans="1:2" s="20" customFormat="1" ht="51.95" customHeight="1">
      <c r="A19" s="1339" t="str">
        <f>+'DAP1'!A46</f>
        <v>Formulář zpracovala ASPEKT HM, daňová, účetní a auditorská kancelář, www.danovapriznani.cz, business.center.cz</v>
      </c>
      <c r="B19" s="1340"/>
    </row>
    <row r="20" spans="1:2" s="20" customFormat="1" ht="12.75">
      <c r="A20" s="1340"/>
      <c r="B20" s="1340"/>
    </row>
    <row r="21" s="20" customFormat="1" ht="12.75"/>
    <row r="22" s="20" customFormat="1" ht="12.75"/>
    <row r="23" s="20" customFormat="1" ht="12.75"/>
    <row r="24" s="20" customFormat="1" ht="12.75"/>
    <row r="25" s="20" customFormat="1" ht="12.75"/>
    <row r="26" s="20" customFormat="1" ht="12.75"/>
    <row r="27" s="20" customFormat="1" ht="12.75"/>
    <row r="28" s="20" customFormat="1" ht="12.75"/>
    <row r="29" s="20" customFormat="1" ht="12.75"/>
    <row r="30" s="20" customFormat="1" ht="12.75"/>
    <row r="31" spans="1:1" s="20" customFormat="1" ht="12.75" hidden="1">
      <c r="A31" s="434" t="s">
        <v>208</v>
      </c>
    </row>
    <row r="32" s="20" customFormat="1" ht="12.75"/>
    <row r="33" s="20" customFormat="1" ht="12.75"/>
    <row r="34" s="20" customFormat="1" ht="12.75"/>
    <row r="35" s="20" customFormat="1" ht="12.75"/>
    <row r="36" s="20" customFormat="1" ht="12.75"/>
    <row r="37" s="20" customFormat="1" ht="12.75"/>
    <row r="38" s="20" customFormat="1" ht="12.75"/>
    <row r="39" s="20" customFormat="1" ht="12.75"/>
    <row r="40" s="20" customFormat="1" ht="12.75"/>
    <row r="41" s="20" customFormat="1" ht="12.75"/>
    <row r="42" s="20" customFormat="1" ht="12.75"/>
    <row r="43" s="20" customFormat="1" ht="12.75"/>
    <row r="44" s="20" customFormat="1" ht="12.75"/>
    <row r="45" s="20" customFormat="1" ht="12.75"/>
    <row r="46" s="20" customFormat="1" ht="12.75"/>
    <row r="47" s="20" customFormat="1" ht="12.75"/>
    <row r="48" s="20" customFormat="1" ht="12.75"/>
    <row r="49" s="20" customFormat="1" ht="12.75"/>
    <row r="50" s="20" customFormat="1" ht="12.75"/>
    <row r="51" s="20" customFormat="1" ht="12.75"/>
    <row r="52" s="20" customFormat="1" ht="12.75"/>
    <row r="53" s="20" customFormat="1" ht="12.75"/>
    <row r="54" s="20" customFormat="1" ht="12.75"/>
    <row r="55" s="20" customFormat="1" ht="12.75"/>
    <row r="56" s="20" customFormat="1" ht="12.75"/>
    <row r="57" s="20" customFormat="1" ht="12.75"/>
    <row r="58" s="20" customFormat="1" ht="12.75"/>
    <row r="59" s="20" customFormat="1" ht="12.75"/>
    <row r="60" s="20" customFormat="1" ht="12.75"/>
    <row r="61" s="20" customFormat="1" ht="12.75"/>
    <row r="62" s="20" customFormat="1" ht="12.75"/>
    <row r="63" s="20" customFormat="1" ht="12.75"/>
    <row r="64" s="20" customFormat="1" ht="12.75"/>
    <row r="65" s="20" customFormat="1" ht="12.75"/>
    <row r="66" s="20" customFormat="1" ht="12.75"/>
    <row r="67" s="20" customFormat="1" ht="12.75"/>
    <row r="68" s="20" customFormat="1" ht="12.75"/>
    <row r="69" s="20" customFormat="1" ht="12.75"/>
    <row r="70" s="20" customFormat="1" ht="12.75"/>
    <row r="71" s="20" customFormat="1" ht="12.75"/>
    <row r="72" s="20" customFormat="1" ht="12.75"/>
    <row r="73" s="20" customFormat="1" ht="12.75"/>
    <row r="74" s="20" customFormat="1" ht="12.75"/>
    <row r="75" s="20" customFormat="1" ht="12.75"/>
    <row r="76" s="20" customFormat="1" ht="12.75"/>
    <row r="77" s="20" customFormat="1" ht="12.75"/>
    <row r="78" s="20" customFormat="1" ht="12.75"/>
    <row r="79" s="20" customFormat="1" ht="12.75"/>
    <row r="80" s="20" customFormat="1" ht="12.75"/>
    <row r="81" s="20" customFormat="1" ht="12.75"/>
    <row r="82" s="20" customFormat="1" ht="12.75"/>
    <row r="83" s="20" customFormat="1" ht="12.75"/>
    <row r="84" s="20" customFormat="1" ht="12.75"/>
    <row r="85" s="20" customFormat="1" ht="12.75"/>
    <row r="86" s="20" customFormat="1" ht="12.75"/>
    <row r="87" s="20" customFormat="1" ht="12.75"/>
    <row r="88" s="20" customFormat="1" ht="12.75"/>
    <row r="89" s="20" customFormat="1" ht="12.75"/>
    <row r="90" s="20" customFormat="1" ht="12.75"/>
    <row r="91" s="20" customFormat="1" ht="12.75"/>
    <row r="92" s="20" customFormat="1" ht="12.75"/>
    <row r="93" s="20" customFormat="1" ht="12.75"/>
    <row r="94" s="20" customFormat="1" ht="12.75"/>
    <row r="95" s="20" customFormat="1" ht="12.75"/>
    <row r="96" s="20" customFormat="1" ht="12.75"/>
    <row r="97" s="20" customFormat="1" ht="12.75"/>
    <row r="98" s="20" customFormat="1" ht="12.75"/>
    <row r="99" s="20" customFormat="1" ht="12.75"/>
    <row r="100" spans="1:1" s="20" customFormat="1" ht="12.75" hidden="1">
      <c r="A100" s="20">
        <f>+IF('DAP2'!E10&lt;0.5*'DAP2'!E16,+IF('DAP2'!E10/'DAP2'!E16&gt;0.15,0.5,1),0)</f>
        <v>0</v>
      </c>
    </row>
    <row r="101" s="20" customFormat="1" ht="12.75"/>
    <row r="102" s="20" customFormat="1" ht="12.75"/>
    <row r="103" s="20" customFormat="1" ht="12.75"/>
    <row r="104" s="20" customFormat="1" ht="12.75"/>
    <row r="105" s="20" customFormat="1" ht="12.75"/>
    <row r="106" s="20" customFormat="1" ht="12.75"/>
    <row r="107" s="20" customFormat="1" ht="12.75"/>
    <row r="108" s="20" customFormat="1" ht="12.75"/>
    <row r="109" s="20" customFormat="1" ht="12.75"/>
    <row r="110" s="20" customFormat="1" ht="12.75"/>
    <row r="111" s="20" customFormat="1" ht="12.75"/>
    <row r="112" s="20" customFormat="1" ht="12.75"/>
    <row r="113" s="20" customFormat="1" ht="12.75"/>
    <row r="114" s="20" customFormat="1" ht="12.75"/>
    <row r="115" s="20" customFormat="1" ht="12.75"/>
    <row r="116" s="20" customFormat="1" ht="12.75"/>
    <row r="117" s="20" customFormat="1" ht="12.75"/>
    <row r="118" s="20" customFormat="1" ht="12.75"/>
    <row r="119" s="20" customFormat="1" ht="12.75"/>
    <row r="120" s="20" customFormat="1" ht="12.75"/>
    <row r="121" s="20" customFormat="1" ht="12.75"/>
    <row r="122" s="20" customFormat="1" ht="12.75"/>
    <row r="123" s="20" customFormat="1" ht="12.75"/>
    <row r="124" s="20" customFormat="1" ht="12.75"/>
    <row r="125" s="20" customFormat="1" ht="12.75"/>
    <row r="126" s="20" customFormat="1" ht="12.75"/>
    <row r="127" s="20" customFormat="1" ht="12.75"/>
    <row r="128" s="20" customFormat="1" ht="12.75"/>
    <row r="129" s="20" customFormat="1" ht="12.75"/>
    <row r="130" s="20" customFormat="1" ht="12.75"/>
    <row r="131" s="20" customFormat="1" ht="12.75"/>
    <row r="132" s="20" customFormat="1" ht="12.75"/>
    <row r="133" s="20" customFormat="1" ht="12.75"/>
    <row r="134" s="20" customFormat="1" ht="12.75"/>
    <row r="135" s="20" customFormat="1" ht="12.75"/>
    <row r="136" s="20" customFormat="1" ht="12.75"/>
    <row r="137" s="20" customFormat="1" ht="12.75"/>
    <row r="138" s="20" customFormat="1" ht="12.75"/>
    <row r="139" s="20" customFormat="1" ht="12.75"/>
    <row r="140" s="20" customFormat="1" ht="12.75"/>
    <row r="141" s="20" customFormat="1" ht="12.75"/>
    <row r="142" s="20" customFormat="1" ht="12.75"/>
    <row r="143" s="20" customFormat="1" ht="12.75"/>
    <row r="144" s="20" customFormat="1" ht="12.75"/>
    <row r="145" s="20" customFormat="1" ht="12.75"/>
    <row r="146" s="20" customFormat="1" ht="12.75"/>
    <row r="147" s="20" customFormat="1" ht="12.75"/>
    <row r="148" s="20" customFormat="1" ht="12.75"/>
    <row r="149" s="20" customFormat="1" ht="12.75"/>
    <row r="150" s="20" customFormat="1" ht="12.75"/>
    <row r="151" s="20" customFormat="1" ht="12.75"/>
    <row r="152" s="20" customFormat="1" ht="12.75"/>
    <row r="153" s="20" customFormat="1" ht="12.75"/>
    <row r="154" s="20" customFormat="1" ht="12.75"/>
    <row r="155" s="20" customFormat="1" ht="12.75"/>
    <row r="156" s="20" customFormat="1" ht="12.75"/>
    <row r="157" s="20" customFormat="1" ht="12.75"/>
    <row r="158" s="20" customFormat="1" ht="12.75"/>
    <row r="159" s="20" customFormat="1" ht="12.75"/>
    <row r="160" s="20" customFormat="1" ht="12.75"/>
    <row r="161" s="20" customFormat="1" ht="12.75"/>
    <row r="162" s="20" customFormat="1" ht="12.75"/>
    <row r="163" s="20" customFormat="1" ht="12.75"/>
    <row r="164" s="20" customFormat="1" ht="12.75"/>
    <row r="165" s="20" customFormat="1" ht="12.75"/>
    <row r="166" s="20" customFormat="1" ht="12.75"/>
    <row r="167" s="20" customFormat="1" ht="12.75"/>
    <row r="168" s="20" customFormat="1" ht="12.75"/>
    <row r="169" s="20" customFormat="1" ht="12.75"/>
    <row r="170" s="20" customFormat="1" ht="12.75"/>
    <row r="171" s="20" customFormat="1" ht="12.75"/>
    <row r="172" s="20" customFormat="1" ht="12.75"/>
    <row r="173" s="20" customFormat="1" ht="12.75"/>
    <row r="174" s="20" customFormat="1" ht="12.75"/>
    <row r="175" s="20" customFormat="1" ht="12.75"/>
    <row r="176" s="20" customFormat="1" ht="12.75"/>
    <row r="177" s="20" customFormat="1" ht="12.75"/>
    <row r="178" s="20" customFormat="1" ht="12.75"/>
    <row r="179" s="20" customFormat="1" ht="12.75"/>
    <row r="180" s="20" customFormat="1" ht="12.75"/>
    <row r="181" s="20" customFormat="1" ht="12.75"/>
    <row r="182" s="20" customFormat="1" ht="12.75"/>
    <row r="183" s="20" customFormat="1" ht="12.75"/>
    <row r="184" s="20" customFormat="1" ht="12.75"/>
    <row r="185" s="20" customFormat="1" ht="12.75"/>
    <row r="186" s="20" customFormat="1" ht="12.75"/>
    <row r="187" s="20" customFormat="1" ht="12.75"/>
    <row r="188" s="20" customFormat="1" ht="12.75"/>
    <row r="189" s="20" customFormat="1" ht="12.75"/>
    <row r="190" s="20" customFormat="1" ht="12.75"/>
    <row r="191" s="20" customFormat="1" ht="12.75"/>
    <row r="192" s="20" customFormat="1" ht="12.75"/>
    <row r="193" s="20" customFormat="1" ht="12.75"/>
    <row r="194" s="20" customFormat="1" ht="12.75"/>
    <row r="195" s="20" customFormat="1" ht="12.75"/>
    <row r="196" s="20" customFormat="1" ht="12.75"/>
    <row r="197" s="20" customFormat="1" ht="12.75"/>
    <row r="198" s="20" customFormat="1" ht="12.75"/>
    <row r="199" s="20" customFormat="1" ht="12.75"/>
    <row r="200" s="20" customFormat="1" ht="12.75"/>
    <row r="201" s="20" customFormat="1" ht="12.75"/>
    <row r="202" s="20" customFormat="1" ht="12.75"/>
    <row r="203" s="20" customFormat="1" ht="12.75"/>
    <row r="204" s="20" customFormat="1" ht="12.75"/>
    <row r="205" s="20" customFormat="1" ht="12.75"/>
    <row r="206" s="20" customFormat="1" ht="12.75"/>
    <row r="207" s="20" customFormat="1" ht="12.75"/>
    <row r="208" s="20" customFormat="1" ht="12.75"/>
    <row r="209" s="20" customFormat="1" ht="12.75"/>
    <row r="210" s="20" customFormat="1" ht="12.75"/>
    <row r="211" s="20" customFormat="1" ht="12.75"/>
    <row r="212" s="20" customFormat="1" ht="12.75"/>
    <row r="213" s="20" customFormat="1" ht="12.75"/>
    <row r="214" s="20" customFormat="1" ht="12.75"/>
    <row r="215" s="20" customFormat="1" ht="12.75"/>
    <row r="216" s="20" customFormat="1" ht="12.75"/>
    <row r="217" s="20" customFormat="1" ht="12.75"/>
    <row r="218" s="20" customFormat="1" ht="12.75"/>
    <row r="219" s="20" customFormat="1" ht="12.75"/>
    <row r="220" s="20" customFormat="1" ht="12.75"/>
    <row r="221" s="20" customFormat="1" ht="12.75"/>
    <row r="222" s="20" customFormat="1" ht="12.75"/>
    <row r="223" s="20" customFormat="1" ht="12.75"/>
    <row r="224" s="20" customFormat="1" ht="12.75"/>
    <row r="225" s="20" customFormat="1" ht="12.75"/>
    <row r="226" s="20" customFormat="1" ht="12.75"/>
    <row r="227" s="20" customFormat="1" ht="12.75"/>
    <row r="228" s="20" customFormat="1" ht="12.75"/>
    <row r="229" s="20" customFormat="1" ht="12.75"/>
    <row r="230" s="20" customFormat="1" ht="12.75"/>
    <row r="231" s="20" customFormat="1" ht="12.75"/>
    <row r="232" s="20" customFormat="1" ht="12.75"/>
    <row r="233" s="20" customFormat="1" ht="12.75"/>
    <row r="234" s="20" customFormat="1" ht="12.75"/>
    <row r="235" s="20" customFormat="1" ht="12.75"/>
    <row r="236" s="20" customFormat="1" ht="12.75"/>
    <row r="237" s="20" customFormat="1" ht="12.75"/>
    <row r="238" s="20" customFormat="1" ht="12.75"/>
    <row r="239" s="20" customFormat="1" ht="12.75"/>
    <row r="240" s="20" customFormat="1" ht="12.75"/>
    <row r="241" s="20" customFormat="1" ht="12.75"/>
    <row r="242" s="20" customFormat="1" ht="12.75"/>
    <row r="243" s="20" customFormat="1" ht="12.75"/>
    <row r="244" s="20" customFormat="1" ht="12.75"/>
    <row r="245" s="20" customFormat="1" ht="12.75"/>
    <row r="246" s="20" customFormat="1" ht="12.75"/>
    <row r="247" s="20" customFormat="1" ht="12.75"/>
    <row r="248" s="20" customFormat="1" ht="12.75"/>
    <row r="249" s="20" customFormat="1" ht="12.75"/>
    <row r="250" s="20" customFormat="1" ht="12.75"/>
    <row r="251" s="20" customFormat="1" ht="12.75"/>
    <row r="252" s="20" customFormat="1" ht="12.75"/>
    <row r="253" s="20" customFormat="1" ht="12.75"/>
    <row r="254" s="20" customFormat="1" ht="12.75"/>
    <row r="255" s="20" customFormat="1" ht="12.75"/>
    <row r="256" s="20" customFormat="1" ht="12.75"/>
    <row r="257" s="20" customFormat="1" ht="12.75"/>
    <row r="258" s="20" customFormat="1" ht="12.75"/>
    <row r="259" s="20" customFormat="1" ht="12.75"/>
    <row r="260" s="20" customFormat="1" ht="12.75"/>
    <row r="261" s="20" customFormat="1" ht="12.75"/>
    <row r="262" s="20" customFormat="1" ht="12.75"/>
    <row r="263" s="20" customFormat="1" ht="12.75"/>
    <row r="264" s="20" customFormat="1" ht="12.75"/>
    <row r="265" s="20" customFormat="1" ht="12.75"/>
    <row r="266" s="20" customFormat="1" ht="12.75"/>
    <row r="267" s="20" customFormat="1" ht="12.75"/>
    <row r="268" s="20" customFormat="1" ht="12.75"/>
    <row r="269" s="20" customFormat="1" ht="12.75"/>
    <row r="270" s="20" customFormat="1" ht="12.75"/>
    <row r="271" s="20" customFormat="1" ht="12.75"/>
    <row r="272" s="20" customFormat="1" ht="12.75"/>
    <row r="273" s="20" customFormat="1" ht="12.75"/>
    <row r="274" s="20" customFormat="1" ht="12.75"/>
    <row r="275" s="20" customFormat="1" ht="12.75"/>
    <row r="276" s="20" customFormat="1" ht="12.75"/>
    <row r="277" s="20" customFormat="1" ht="12.75"/>
    <row r="278" s="20" customFormat="1" ht="12.75"/>
    <row r="279" s="20" customFormat="1" ht="12.75"/>
    <row r="280" s="20" customFormat="1" ht="12.75"/>
    <row r="281" s="20" customFormat="1" ht="12.75"/>
    <row r="282" s="20" customFormat="1" ht="12.75"/>
    <row r="283" s="20" customFormat="1" ht="12.75"/>
    <row r="284" s="20" customFormat="1" ht="12.75"/>
    <row r="285" s="20" customFormat="1" ht="12.75"/>
    <row r="286" s="20" customFormat="1" ht="12.75"/>
    <row r="287" s="20" customFormat="1" ht="12.75"/>
    <row r="288" s="20" customFormat="1" ht="12.75"/>
    <row r="289" s="20" customFormat="1" ht="12.75"/>
    <row r="290" s="20" customFormat="1" ht="12.75"/>
    <row r="291" s="20" customFormat="1" ht="12.75"/>
    <row r="292" s="20" customFormat="1" ht="12.75"/>
    <row r="293" s="20" customFormat="1" ht="12.75"/>
    <row r="294" s="20" customFormat="1" ht="12.75"/>
    <row r="295" s="20" customFormat="1" ht="12.75"/>
    <row r="296" s="20" customFormat="1" ht="12.75"/>
    <row r="297" s="20" customFormat="1" ht="12.75"/>
    <row r="298" s="20" customFormat="1" ht="12.75"/>
    <row r="299" s="20" customFormat="1" ht="12.75"/>
    <row r="300" s="20" customFormat="1" ht="12.75"/>
    <row r="301" s="20" customFormat="1" ht="12.75"/>
    <row r="302" s="20" customFormat="1" ht="12.75"/>
    <row r="303" s="20" customFormat="1" ht="12.75"/>
    <row r="304" s="20" customFormat="1" ht="12.75"/>
    <row r="305" s="20" customFormat="1" ht="12.75"/>
    <row r="306" s="20" customFormat="1" ht="12.75"/>
    <row r="307" s="20" customFormat="1" ht="12.75"/>
    <row r="308" s="20" customFormat="1" ht="12.75"/>
    <row r="309" s="20" customFormat="1" ht="12.75"/>
    <row r="310" s="20" customFormat="1" ht="12.75"/>
    <row r="311" s="20" customFormat="1" ht="12.75"/>
    <row r="312" s="20" customFormat="1" ht="12.75"/>
    <row r="313" s="20" customFormat="1" ht="12.75"/>
    <row r="314" s="20" customFormat="1" ht="12.75"/>
    <row r="315" s="20" customFormat="1" ht="12.75"/>
    <row r="316" s="20" customFormat="1" ht="12.75"/>
    <row r="317" s="20" customFormat="1" ht="12.75"/>
    <row r="318" s="20" customFormat="1" ht="12.75"/>
    <row r="319" s="20" customFormat="1" ht="12.75"/>
    <row r="320" s="20" customFormat="1" ht="12.75"/>
    <row r="321" s="20" customFormat="1" ht="12.75"/>
  </sheetData>
  <sheetProtection algorithmName="SHA-512" hashValue="1d1FZzZVsHiDdaztLePp5yTQLIbjlu0bc8Pwjs8dx77TsegMefQHz9NoLKrbas2ws7Ix0X8jCsBdN4mbikt5dA==" saltValue="AQfcaqVo5UHUPQwSy7TrIA==" spinCount="100000" sheet="1" objects="1" scenarios="1"/>
  <mergeCells count="8">
    <mergeCell ref="A18:B18"/>
    <mergeCell ref="A19:B20"/>
    <mergeCell ref="A1:B1"/>
    <mergeCell ref="A2:B2"/>
    <mergeCell ref="A7:B7"/>
    <mergeCell ref="A8:B8"/>
    <mergeCell ref="A9:B9"/>
    <mergeCell ref="A10:B10"/>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1"/>
  <sheetViews>
    <sheetView tabSelected="1" workbookViewId="0" topLeftCell="A1">
      <selection pane="topLeft" activeCell="A9" sqref="A9:J9"/>
    </sheetView>
  </sheetViews>
  <sheetFormatPr defaultRowHeight="12.75"/>
  <cols>
    <col min="11" max="11" width="9.14285714285714" style="2"/>
    <col min="12" max="12" width="90.7142857142857" style="2" customWidth="1"/>
    <col min="13" max="30" width="9.14285714285714" style="2"/>
  </cols>
  <sheetData>
    <row r="1" spans="1:12" ht="12.75" customHeight="1">
      <c r="A1" s="137"/>
      <c r="B1" s="137"/>
      <c r="C1" s="137"/>
      <c r="D1" s="137"/>
      <c r="E1" s="137"/>
      <c r="F1" s="137"/>
      <c r="G1" s="137"/>
      <c r="H1" s="137"/>
      <c r="I1" s="137"/>
      <c r="J1" s="137"/>
      <c r="L1" s="497"/>
    </row>
    <row r="2" spans="1:12" ht="12.75" customHeight="1">
      <c r="A2" s="137"/>
      <c r="B2" s="137"/>
      <c r="C2" s="137"/>
      <c r="D2" s="137"/>
      <c r="E2" s="137"/>
      <c r="F2" s="137"/>
      <c r="G2" s="137"/>
      <c r="H2" s="137"/>
      <c r="I2" s="137"/>
      <c r="J2" s="137"/>
      <c r="L2" s="497"/>
    </row>
    <row r="3" spans="1:12" ht="12.75" customHeight="1">
      <c r="A3" s="137"/>
      <c r="B3" s="137"/>
      <c r="C3" s="137"/>
      <c r="D3" s="137"/>
      <c r="E3" s="137"/>
      <c r="F3" s="137"/>
      <c r="G3" s="137"/>
      <c r="H3" s="137"/>
      <c r="I3" s="137"/>
      <c r="J3" s="137"/>
      <c r="L3" s="497"/>
    </row>
    <row r="4" spans="1:12" ht="12.75">
      <c r="A4" s="137"/>
      <c r="B4" s="137"/>
      <c r="C4" s="137"/>
      <c r="D4" s="137"/>
      <c r="E4" s="137"/>
      <c r="F4" s="137"/>
      <c r="G4" s="137"/>
      <c r="H4" s="137"/>
      <c r="I4" s="137"/>
      <c r="J4" s="137"/>
      <c r="L4" s="166"/>
    </row>
    <row r="5" spans="1:12" ht="12.75" customHeight="1">
      <c r="A5" s="137"/>
      <c r="B5" s="137"/>
      <c r="C5" s="137"/>
      <c r="D5" s="137"/>
      <c r="E5" s="137"/>
      <c r="F5" s="137"/>
      <c r="G5" s="137"/>
      <c r="H5" s="137"/>
      <c r="I5" s="137"/>
      <c r="J5" s="137"/>
      <c r="L5" s="491"/>
    </row>
    <row r="6" spans="1:12" ht="12.75">
      <c r="A6" s="137"/>
      <c r="B6" s="137"/>
      <c r="C6" s="137"/>
      <c r="D6" s="137"/>
      <c r="E6" s="137"/>
      <c r="F6" s="137"/>
      <c r="G6" s="137"/>
      <c r="H6" s="137"/>
      <c r="I6" s="137"/>
      <c r="J6" s="137"/>
      <c r="L6" s="491"/>
    </row>
    <row r="7" spans="1:12" ht="60" customHeight="1">
      <c r="A7" s="498" t="s">
        <v>2546</v>
      </c>
      <c r="B7" s="498"/>
      <c r="C7" s="498"/>
      <c r="D7" s="498"/>
      <c r="E7" s="498"/>
      <c r="F7" s="498"/>
      <c r="G7" s="498"/>
      <c r="H7" s="498"/>
      <c r="I7" s="498"/>
      <c r="J7" s="498"/>
      <c r="L7" s="491"/>
    </row>
    <row r="8" spans="1:12" ht="15" customHeight="1">
      <c r="A8" s="499" t="s">
        <v>2554</v>
      </c>
      <c r="B8" s="499"/>
      <c r="C8" s="499"/>
      <c r="D8" s="499"/>
      <c r="E8" s="499"/>
      <c r="F8" s="499"/>
      <c r="G8" s="499"/>
      <c r="H8" s="499"/>
      <c r="I8" s="499"/>
      <c r="J8" s="499"/>
      <c r="L8" s="491"/>
    </row>
    <row r="9" spans="1:12" ht="15" customHeight="1">
      <c r="A9" s="500" t="s">
        <v>2389</v>
      </c>
      <c r="B9" s="500"/>
      <c r="C9" s="500"/>
      <c r="D9" s="500"/>
      <c r="E9" s="500"/>
      <c r="F9" s="500"/>
      <c r="G9" s="500"/>
      <c r="H9" s="500"/>
      <c r="I9" s="500"/>
      <c r="J9" s="500"/>
      <c r="L9" s="491"/>
    </row>
    <row r="10" spans="1:12" ht="45" customHeight="1">
      <c r="A10" s="501"/>
      <c r="B10" s="501"/>
      <c r="C10" s="501"/>
      <c r="D10" s="501"/>
      <c r="E10" s="501"/>
      <c r="F10" s="501"/>
      <c r="G10" s="501"/>
      <c r="H10" s="501"/>
      <c r="I10" s="501"/>
      <c r="J10" s="501"/>
      <c r="L10" s="491"/>
    </row>
    <row r="11" spans="1:12" ht="15">
      <c r="A11" s="493" t="s">
        <v>2390</v>
      </c>
      <c r="B11" s="502"/>
      <c r="C11" s="502"/>
      <c r="D11" s="502"/>
      <c r="E11" s="502"/>
      <c r="F11" s="502"/>
      <c r="G11" s="502"/>
      <c r="H11" s="502"/>
      <c r="I11" s="502"/>
      <c r="J11" s="502"/>
      <c r="L11" s="491"/>
    </row>
    <row r="12" spans="1:12" ht="30" customHeight="1">
      <c r="A12" s="490" t="s">
        <v>2391</v>
      </c>
      <c r="B12" s="490"/>
      <c r="C12" s="490"/>
      <c r="D12" s="490"/>
      <c r="E12" s="490"/>
      <c r="F12" s="490"/>
      <c r="G12" s="490"/>
      <c r="H12" s="490"/>
      <c r="I12" s="490"/>
      <c r="J12" s="490"/>
      <c r="L12" s="491"/>
    </row>
    <row r="13" spans="1:12" ht="30" customHeight="1">
      <c r="A13" s="490" t="s">
        <v>2392</v>
      </c>
      <c r="B13" s="490"/>
      <c r="C13" s="490"/>
      <c r="D13" s="490"/>
      <c r="E13" s="490"/>
      <c r="F13" s="490"/>
      <c r="G13" s="490"/>
      <c r="H13" s="490"/>
      <c r="I13" s="490"/>
      <c r="J13" s="490"/>
      <c r="L13" s="491"/>
    </row>
    <row r="14" spans="1:12" ht="45" customHeight="1">
      <c r="A14" s="490" t="s">
        <v>2393</v>
      </c>
      <c r="B14" s="490"/>
      <c r="C14" s="490"/>
      <c r="D14" s="490"/>
      <c r="E14" s="490"/>
      <c r="F14" s="490"/>
      <c r="G14" s="490"/>
      <c r="H14" s="490"/>
      <c r="I14" s="490"/>
      <c r="J14" s="490"/>
      <c r="L14" s="491"/>
    </row>
    <row r="15" spans="1:12" ht="30" customHeight="1">
      <c r="A15" s="490" t="s">
        <v>2394</v>
      </c>
      <c r="B15" s="490"/>
      <c r="C15" s="490"/>
      <c r="D15" s="490"/>
      <c r="E15" s="490"/>
      <c r="F15" s="490"/>
      <c r="G15" s="490"/>
      <c r="H15" s="490"/>
      <c r="I15" s="490"/>
      <c r="J15" s="490"/>
      <c r="L15" s="491"/>
    </row>
    <row r="16" spans="1:12" ht="30" customHeight="1">
      <c r="A16" s="490" t="s">
        <v>2395</v>
      </c>
      <c r="B16" s="490"/>
      <c r="C16" s="490"/>
      <c r="D16" s="490"/>
      <c r="E16" s="490"/>
      <c r="F16" s="490"/>
      <c r="G16" s="490"/>
      <c r="H16" s="490"/>
      <c r="I16" s="490"/>
      <c r="J16" s="490"/>
      <c r="L16" s="491"/>
    </row>
    <row r="17" spans="1:12" ht="45" customHeight="1">
      <c r="A17" s="493"/>
      <c r="B17" s="494"/>
      <c r="C17" s="494"/>
      <c r="D17" s="494"/>
      <c r="E17" s="494"/>
      <c r="F17" s="494"/>
      <c r="G17" s="494"/>
      <c r="H17" s="494"/>
      <c r="I17" s="494"/>
      <c r="J17" s="494"/>
      <c r="L17" s="491"/>
    </row>
    <row r="18" spans="1:12" ht="45" customHeight="1">
      <c r="A18" s="486" t="s">
        <v>2396</v>
      </c>
      <c r="B18" s="486"/>
      <c r="C18" s="486"/>
      <c r="D18" s="486"/>
      <c r="E18" s="486"/>
      <c r="F18" s="486"/>
      <c r="G18" s="486"/>
      <c r="H18" s="486"/>
      <c r="I18" s="486"/>
      <c r="J18" s="486"/>
      <c r="L18" s="410"/>
    </row>
    <row r="19" spans="1:12" ht="34.5" customHeight="1">
      <c r="A19" s="487" t="str">
        <f>HYPERLINK("http://business.center.cz/business/sablony/s3-priznani-k-dani-z-prijmu-fyzickych-osob.aspx")</f>
        <v>http://business.center.cz/business/sablony/s3-priznani-k-dani-z-prijmu-fyzickych-osob.aspx</v>
      </c>
      <c r="B19" s="488"/>
      <c r="C19" s="488"/>
      <c r="D19" s="488"/>
      <c r="E19" s="488"/>
      <c r="F19" s="488"/>
      <c r="G19" s="488"/>
      <c r="H19" s="488"/>
      <c r="I19" s="488"/>
      <c r="J19" s="488"/>
      <c r="L19" s="491"/>
    </row>
    <row r="20" spans="1:12" ht="45" customHeight="1">
      <c r="A20" s="492"/>
      <c r="B20" s="492"/>
      <c r="C20" s="492"/>
      <c r="D20" s="492"/>
      <c r="E20" s="492"/>
      <c r="F20" s="492"/>
      <c r="G20" s="492"/>
      <c r="H20" s="492"/>
      <c r="I20" s="492"/>
      <c r="J20" s="492"/>
      <c r="L20" s="491"/>
    </row>
    <row r="21" spans="1:12" ht="15" customHeight="1">
      <c r="A21" s="493" t="s">
        <v>2397</v>
      </c>
      <c r="B21" s="494"/>
      <c r="C21" s="494"/>
      <c r="D21" s="494"/>
      <c r="E21" s="494"/>
      <c r="F21" s="494"/>
      <c r="G21" s="494"/>
      <c r="H21" s="494"/>
      <c r="I21" s="494"/>
      <c r="J21" s="494"/>
      <c r="L21" s="491"/>
    </row>
    <row r="22" spans="1:12" ht="30" customHeight="1">
      <c r="A22" s="495" t="s">
        <v>2398</v>
      </c>
      <c r="B22" s="495"/>
      <c r="C22" s="495"/>
      <c r="D22" s="495"/>
      <c r="E22" s="495"/>
      <c r="F22" s="495"/>
      <c r="G22" s="495"/>
      <c r="H22" s="495"/>
      <c r="I22" s="495"/>
      <c r="J22" s="495"/>
      <c r="L22" s="491"/>
    </row>
    <row r="23" spans="1:12" ht="15" customHeight="1">
      <c r="A23" s="495" t="s">
        <v>2399</v>
      </c>
      <c r="B23" s="495"/>
      <c r="C23" s="495"/>
      <c r="D23" s="495"/>
      <c r="E23" s="495"/>
      <c r="F23" s="495"/>
      <c r="G23" s="495"/>
      <c r="H23" s="495"/>
      <c r="I23" s="495"/>
      <c r="J23" s="495"/>
      <c r="L23" s="491"/>
    </row>
    <row r="24" spans="1:12" ht="45" customHeight="1">
      <c r="A24" s="489" t="s">
        <v>2400</v>
      </c>
      <c r="B24" s="489"/>
      <c r="C24" s="489"/>
      <c r="D24" s="489"/>
      <c r="E24" s="489"/>
      <c r="F24" s="489"/>
      <c r="G24" s="489"/>
      <c r="H24" s="489"/>
      <c r="I24" s="489"/>
      <c r="J24" s="489"/>
      <c r="L24" s="491"/>
    </row>
    <row r="25" spans="1:12" ht="30" customHeight="1">
      <c r="A25" s="490" t="s">
        <v>2401</v>
      </c>
      <c r="B25" s="490"/>
      <c r="C25" s="490"/>
      <c r="D25" s="490"/>
      <c r="E25" s="490"/>
      <c r="F25" s="490"/>
      <c r="G25" s="490"/>
      <c r="H25" s="490"/>
      <c r="I25" s="490"/>
      <c r="J25" s="490"/>
      <c r="L25" s="491"/>
    </row>
    <row r="26" spans="1:12" ht="30" customHeight="1">
      <c r="A26" s="490" t="s">
        <v>2402</v>
      </c>
      <c r="B26" s="490"/>
      <c r="C26" s="490"/>
      <c r="D26" s="490"/>
      <c r="E26" s="490"/>
      <c r="F26" s="490"/>
      <c r="G26" s="490"/>
      <c r="H26" s="490"/>
      <c r="I26" s="490"/>
      <c r="J26" s="490"/>
      <c r="L26" s="491"/>
    </row>
    <row r="27" spans="1:12" ht="12.75" customHeight="1">
      <c r="A27" s="496"/>
      <c r="B27" s="496"/>
      <c r="C27" s="496"/>
      <c r="D27" s="496"/>
      <c r="E27" s="496"/>
      <c r="F27" s="496"/>
      <c r="G27" s="496"/>
      <c r="H27" s="496"/>
      <c r="I27" s="496"/>
      <c r="J27" s="496"/>
      <c r="L27" s="491"/>
    </row>
    <row r="28" spans="1:12" ht="12.75" customHeight="1">
      <c r="A28" s="496"/>
      <c r="B28" s="496"/>
      <c r="C28" s="496"/>
      <c r="D28" s="496"/>
      <c r="E28" s="496"/>
      <c r="F28" s="496"/>
      <c r="G28" s="496"/>
      <c r="H28" s="496"/>
      <c r="I28" s="496"/>
      <c r="J28" s="496"/>
      <c r="L28" s="491"/>
    </row>
    <row r="29" spans="1:12" ht="12.75" customHeight="1">
      <c r="A29" s="496" t="s">
        <v>198</v>
      </c>
      <c r="B29" s="496"/>
      <c r="C29" s="496"/>
      <c r="D29" s="496"/>
      <c r="E29" s="496"/>
      <c r="F29" s="496"/>
      <c r="G29" s="496"/>
      <c r="H29" s="496"/>
      <c r="I29" s="496"/>
      <c r="J29" s="496"/>
      <c r="L29" s="491"/>
    </row>
    <row r="30" spans="1:10" ht="12.75">
      <c r="A30" s="2"/>
      <c r="B30" s="2"/>
      <c r="C30" s="2"/>
      <c r="D30" s="2"/>
      <c r="E30" s="2"/>
      <c r="F30" s="2"/>
      <c r="G30" s="2"/>
      <c r="H30" s="2"/>
      <c r="I30" s="2"/>
      <c r="J30" s="2"/>
    </row>
    <row r="31" spans="1:10" ht="12.75">
      <c r="A31" s="2"/>
      <c r="B31" s="2"/>
      <c r="C31" s="2"/>
      <c r="D31" s="2"/>
      <c r="E31" s="2"/>
      <c r="F31" s="2"/>
      <c r="G31" s="2"/>
      <c r="H31" s="2"/>
      <c r="I31" s="2"/>
      <c r="J31" s="2"/>
    </row>
    <row r="32" spans="1:10" ht="12.75">
      <c r="A32" s="2"/>
      <c r="B32" s="2"/>
      <c r="C32" s="2"/>
      <c r="D32" s="2"/>
      <c r="E32" s="2"/>
      <c r="F32" s="2"/>
      <c r="G32" s="2"/>
      <c r="H32" s="2"/>
      <c r="I32" s="2"/>
      <c r="J32" s="2"/>
    </row>
    <row r="33" spans="1:10" ht="12.75">
      <c r="A33" s="2"/>
      <c r="B33" s="2"/>
      <c r="C33" s="2"/>
      <c r="D33" s="2"/>
      <c r="E33" s="2"/>
      <c r="F33" s="2"/>
      <c r="G33" s="2"/>
      <c r="H33" s="2"/>
      <c r="I33" s="2"/>
      <c r="J33" s="2"/>
    </row>
    <row r="34" spans="1:10" ht="12.75">
      <c r="A34" s="2"/>
      <c r="B34" s="2"/>
      <c r="C34" s="2"/>
      <c r="D34" s="2"/>
      <c r="E34" s="2"/>
      <c r="F34" s="2"/>
      <c r="G34" s="2"/>
      <c r="H34" s="2"/>
      <c r="I34" s="2"/>
      <c r="J34" s="2"/>
    </row>
    <row r="35" spans="1:10" ht="12.75">
      <c r="A35" s="2"/>
      <c r="B35" s="2"/>
      <c r="C35" s="2"/>
      <c r="D35" s="2"/>
      <c r="E35" s="2"/>
      <c r="F35" s="2"/>
      <c r="G35" s="2"/>
      <c r="H35" s="2"/>
      <c r="I35" s="2"/>
      <c r="J35" s="2"/>
    </row>
    <row r="36" spans="1:10" ht="12.75">
      <c r="A36" s="2"/>
      <c r="B36" s="2"/>
      <c r="C36" s="2"/>
      <c r="D36" s="2"/>
      <c r="E36" s="2"/>
      <c r="F36" s="2"/>
      <c r="G36" s="2"/>
      <c r="H36" s="2"/>
      <c r="I36" s="2"/>
      <c r="J36" s="2"/>
    </row>
    <row r="37" s="2" customFormat="1" ht="12.75"/>
    <row r="38" s="2" customFormat="1" ht="12.75"/>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pans="1:1" s="2" customFormat="1" ht="12.75">
      <c r="A99" s="1346">
        <v>1</v>
      </c>
    </row>
    <row r="100" spans="1:1" s="2" customFormat="1" ht="12.75" hidden="1">
      <c r="A100" s="255">
        <v>1</v>
      </c>
    </row>
    <row r="101" spans="1:1" s="2" customFormat="1" ht="12.75" hidden="1">
      <c r="A101" s="255" t="s">
        <v>275</v>
      </c>
    </row>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sheetData>
  <sheetProtection algorithmName="SHA-512" hashValue="CJG5ANmJxCmQZc/U3pig6O4jzWiKKDTGdLxlZ/zuaGADzW0/oUOA2ClFW7WkVpW3q86EXbDeXeoA59iUzreM7Q==" saltValue="zQMSRdru+xnsJEMp5+rYaw==" spinCount="100000" sheet="1" objects="1" scenarios="1"/>
  <mergeCells count="26">
    <mergeCell ref="L1:L3"/>
    <mergeCell ref="L5:L17"/>
    <mergeCell ref="A7:J7"/>
    <mergeCell ref="A8:J8"/>
    <mergeCell ref="A9:J9"/>
    <mergeCell ref="A10:J10"/>
    <mergeCell ref="A11:J11"/>
    <mergeCell ref="A12:J12"/>
    <mergeCell ref="A13:J13"/>
    <mergeCell ref="A14:J14"/>
    <mergeCell ref="A15:J15"/>
    <mergeCell ref="A16:J16"/>
    <mergeCell ref="A17:J17"/>
    <mergeCell ref="L19:L29"/>
    <mergeCell ref="A20:J20"/>
    <mergeCell ref="A21:J21"/>
    <mergeCell ref="A22:J22"/>
    <mergeCell ref="A23:J23"/>
    <mergeCell ref="A29:J29"/>
    <mergeCell ref="A27:J27"/>
    <mergeCell ref="A28:J28"/>
    <mergeCell ref="A18:J18"/>
    <mergeCell ref="A19:J19"/>
    <mergeCell ref="A24:J24"/>
    <mergeCell ref="A25:J25"/>
    <mergeCell ref="A26:J26"/>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List13">
    <tabColor rgb="FFFFFFCC"/>
    <pageSetUpPr fitToPage="1"/>
  </sheetPr>
  <dimension ref="A1:B25"/>
  <sheetViews>
    <sheetView workbookViewId="0" topLeftCell="A1">
      <selection pane="topLeft" activeCell="B10" sqref="B10"/>
    </sheetView>
  </sheetViews>
  <sheetFormatPr defaultColWidth="9.14428571428571" defaultRowHeight="12.75"/>
  <cols>
    <col min="1" max="1" width="4" style="266" customWidth="1"/>
    <col min="2" max="2" width="100.714285714286" style="266" customWidth="1"/>
    <col min="3" max="42" width="9.14285714285714" style="323"/>
    <col min="43" max="16384" width="9.14285714285714" style="266"/>
  </cols>
  <sheetData>
    <row r="1" spans="1:2" ht="18">
      <c r="A1" s="503" t="s">
        <v>2261</v>
      </c>
      <c r="B1" s="504"/>
    </row>
    <row r="2" spans="1:2" ht="12.75">
      <c r="A2" s="330"/>
      <c r="B2" s="330"/>
    </row>
    <row r="3" spans="1:2" ht="30">
      <c r="A3" s="331" t="s">
        <v>117</v>
      </c>
      <c r="B3" s="332" t="s">
        <v>2262</v>
      </c>
    </row>
    <row r="4" spans="1:2" ht="29.25">
      <c r="A4" s="331" t="s">
        <v>118</v>
      </c>
      <c r="B4" s="333" t="s">
        <v>2181</v>
      </c>
    </row>
    <row r="5" spans="1:2" ht="29.25">
      <c r="A5" s="331" t="s">
        <v>119</v>
      </c>
      <c r="B5" s="333" t="s">
        <v>2259</v>
      </c>
    </row>
    <row r="6" spans="1:2" ht="15">
      <c r="A6" s="331"/>
      <c r="B6" s="334" t="s">
        <v>2260</v>
      </c>
    </row>
    <row r="7" spans="1:2" s="323" customFormat="1" ht="15">
      <c r="A7" s="331"/>
      <c r="B7" s="334" t="s">
        <v>2263</v>
      </c>
    </row>
    <row r="8" spans="1:2" s="323" customFormat="1" ht="15">
      <c r="A8" s="331"/>
      <c r="B8" s="333" t="s">
        <v>2264</v>
      </c>
    </row>
    <row r="9" spans="1:2" s="323" customFormat="1" ht="29.25">
      <c r="A9" s="331"/>
      <c r="B9" s="333" t="s">
        <v>2265</v>
      </c>
    </row>
    <row r="10" spans="1:2" s="323" customFormat="1" ht="86.25">
      <c r="A10" s="331"/>
      <c r="B10" s="333" t="s">
        <v>2266</v>
      </c>
    </row>
    <row r="11" spans="1:2" s="323" customFormat="1" ht="29.25">
      <c r="A11" s="331" t="s">
        <v>251</v>
      </c>
      <c r="B11" s="336" t="s">
        <v>2267</v>
      </c>
    </row>
    <row r="12" spans="1:2" s="323" customFormat="1" ht="59.25">
      <c r="A12" s="331" t="s">
        <v>89</v>
      </c>
      <c r="B12" s="333" t="s">
        <v>2268</v>
      </c>
    </row>
    <row r="13" spans="1:2" s="323" customFormat="1" ht="15">
      <c r="A13" s="331" t="s">
        <v>250</v>
      </c>
      <c r="B13" s="333" t="s">
        <v>2494</v>
      </c>
    </row>
    <row r="14" spans="1:2" s="323" customFormat="1" ht="15.75">
      <c r="A14" s="331"/>
      <c r="B14" s="452" t="s">
        <v>2480</v>
      </c>
    </row>
    <row r="15" spans="1:2" s="323" customFormat="1" ht="73.5" customHeight="1">
      <c r="A15" s="331"/>
      <c r="B15" s="333" t="s">
        <v>2495</v>
      </c>
    </row>
    <row r="16" spans="1:2" s="323" customFormat="1" ht="85.5">
      <c r="A16" s="331"/>
      <c r="B16" s="333" t="s">
        <v>2496</v>
      </c>
    </row>
    <row r="17" spans="1:2" s="323" customFormat="1" ht="45" customHeight="1">
      <c r="A17" s="331" t="s">
        <v>249</v>
      </c>
      <c r="B17" s="333" t="s">
        <v>2497</v>
      </c>
    </row>
    <row r="18" spans="1:2" s="323" customFormat="1" ht="15" customHeight="1">
      <c r="A18" s="331"/>
      <c r="B18" s="335" t="s">
        <v>2182</v>
      </c>
    </row>
    <row r="19" spans="1:2" s="323" customFormat="1" ht="14.25">
      <c r="A19" s="331" t="s">
        <v>248</v>
      </c>
      <c r="B19" s="333" t="s">
        <v>2269</v>
      </c>
    </row>
    <row r="20" spans="1:2" s="323" customFormat="1" ht="14.25">
      <c r="A20" s="331"/>
      <c r="B20" s="333" t="s">
        <v>2498</v>
      </c>
    </row>
    <row r="21" spans="1:2" s="323" customFormat="1" ht="14.25">
      <c r="A21" s="331"/>
      <c r="B21" s="333" t="s">
        <v>2482</v>
      </c>
    </row>
    <row r="22" spans="1:2" s="323" customFormat="1" ht="12.75">
      <c r="A22" s="330"/>
      <c r="B22" s="330"/>
    </row>
    <row r="23" spans="1:2" s="323" customFormat="1" ht="15.75">
      <c r="A23" s="330"/>
      <c r="B23" s="337" t="s">
        <v>2350</v>
      </c>
    </row>
    <row r="24" spans="1:2" s="323" customFormat="1" ht="14.25">
      <c r="A24" s="330"/>
      <c r="B24" s="338" t="s">
        <v>2183</v>
      </c>
    </row>
    <row r="25" spans="1:2" s="323" customFormat="1" ht="14.25">
      <c r="A25" s="330"/>
      <c r="B25" s="338" t="s">
        <v>2184</v>
      </c>
    </row>
    <row r="26" s="323" customFormat="1" ht="12.75"/>
    <row r="27" s="323" customFormat="1" ht="12.75"/>
    <row r="28" s="323" customFormat="1" ht="12.75"/>
    <row r="29" s="323" customFormat="1" ht="12.75"/>
    <row r="30" s="323" customFormat="1" ht="12.75"/>
    <row r="31" s="323" customFormat="1" ht="12.75"/>
    <row r="32" s="323" customFormat="1" ht="12.75"/>
    <row r="33" s="323" customFormat="1" ht="12.75"/>
    <row r="34" s="323" customFormat="1" ht="12.75"/>
    <row r="35" s="323" customFormat="1" ht="12.75"/>
    <row r="36" s="323" customFormat="1" ht="12.75"/>
    <row r="37" s="323" customFormat="1" ht="12.75"/>
    <row r="38" s="323" customFormat="1" ht="12.75"/>
    <row r="39" s="323" customFormat="1" ht="12.75"/>
    <row r="40" s="323" customFormat="1" ht="12.75"/>
    <row r="41" s="323" customFormat="1" ht="12.75"/>
    <row r="42" s="323" customFormat="1" ht="12.75"/>
    <row r="43" s="323" customFormat="1" ht="12.75"/>
    <row r="44" s="323" customFormat="1" ht="12.75"/>
    <row r="45" s="323" customFormat="1" ht="12.75"/>
    <row r="46" s="323" customFormat="1" ht="12.75"/>
    <row r="47" s="323" customFormat="1" ht="12.75"/>
    <row r="48" s="323" customFormat="1" ht="12.75"/>
    <row r="49" s="323" customFormat="1" ht="12.75"/>
    <row r="50" s="323" customFormat="1" ht="12.75"/>
    <row r="51" s="323" customFormat="1" ht="12.75"/>
    <row r="52" s="323" customFormat="1" ht="12.75"/>
    <row r="53" s="323" customFormat="1" ht="12.75"/>
    <row r="54" s="323" customFormat="1" ht="12.75"/>
    <row r="55" s="323" customFormat="1" ht="12.75"/>
    <row r="56" s="323" customFormat="1" ht="12.75"/>
    <row r="57" s="323" customFormat="1" ht="12.75"/>
    <row r="58" s="323" customFormat="1" ht="12.75"/>
    <row r="59" s="323" customFormat="1" ht="12.75"/>
    <row r="60" s="323" customFormat="1" ht="12.75"/>
    <row r="61" s="323" customFormat="1" ht="12.75"/>
    <row r="62" s="323" customFormat="1" ht="12.75"/>
    <row r="63" s="323" customFormat="1" ht="12.75"/>
    <row r="64" s="323" customFormat="1" ht="12.75"/>
    <row r="65" s="323" customFormat="1" ht="12.75"/>
    <row r="66" s="323" customFormat="1" ht="12.75"/>
    <row r="67" s="323" customFormat="1" ht="12.75"/>
    <row r="68" s="323" customFormat="1" ht="12.75"/>
    <row r="69" s="323" customFormat="1" ht="12.75"/>
    <row r="70" s="323" customFormat="1" ht="12.75"/>
    <row r="71" s="323" customFormat="1" ht="12.75"/>
    <row r="72" s="323" customFormat="1" ht="12.75"/>
    <row r="73" s="323" customFormat="1" ht="12.75"/>
    <row r="74" s="323" customFormat="1" ht="12.75"/>
    <row r="75" s="323" customFormat="1" ht="12.75"/>
    <row r="76" s="323" customFormat="1" ht="12.75"/>
    <row r="77" s="323" customFormat="1" ht="12.75"/>
    <row r="78" s="323" customFormat="1" ht="12.75"/>
    <row r="79" s="323" customFormat="1" ht="12.75"/>
    <row r="80" s="323" customFormat="1" ht="12.75"/>
    <row r="81" s="323" customFormat="1" ht="12.75"/>
    <row r="82" s="323" customFormat="1" ht="12.75"/>
    <row r="83" s="323" customFormat="1" ht="12.75"/>
    <row r="84" s="323" customFormat="1" ht="12.75"/>
    <row r="85" s="323" customFormat="1" ht="12.75"/>
    <row r="86" s="323" customFormat="1" ht="12.75"/>
    <row r="87" s="323" customFormat="1" ht="12.75"/>
    <row r="88" s="323" customFormat="1" ht="12.75"/>
    <row r="89" s="323" customFormat="1" ht="12.75"/>
    <row r="90" s="323" customFormat="1" ht="12.75"/>
    <row r="91" s="323" customFormat="1" ht="12.75"/>
    <row r="92" s="323" customFormat="1" ht="12.75"/>
    <row r="93" s="323" customFormat="1" ht="12.75"/>
    <row r="94" s="323" customFormat="1" ht="12.75"/>
    <row r="95" s="323" customFormat="1" ht="12.75"/>
    <row r="96" s="323" customFormat="1" ht="12.75"/>
    <row r="97" s="323" customFormat="1" ht="12.75"/>
    <row r="98" s="323" customFormat="1" ht="12.75"/>
    <row r="99" s="323" customFormat="1" ht="12.75"/>
    <row r="100" s="323" customFormat="1" ht="12.75"/>
    <row r="101" s="323" customFormat="1" ht="12.75"/>
    <row r="102" s="323" customFormat="1" ht="12.75"/>
    <row r="103" s="323" customFormat="1" ht="12.75"/>
    <row r="104" s="323" customFormat="1" ht="12.75"/>
    <row r="105" s="323" customFormat="1" ht="12.75"/>
    <row r="106" s="323" customFormat="1" ht="12.75"/>
    <row r="107" s="323" customFormat="1" ht="12.75"/>
    <row r="108" s="323" customFormat="1" ht="12.75"/>
    <row r="109" s="323" customFormat="1" ht="12.75"/>
    <row r="110" s="323" customFormat="1" ht="12.75"/>
    <row r="111" s="323" customFormat="1" ht="12.75"/>
    <row r="112" s="323" customFormat="1" ht="12.75"/>
    <row r="113" s="323" customFormat="1" ht="12.75"/>
    <row r="114" s="323" customFormat="1" ht="12.75"/>
    <row r="115" s="323" customFormat="1" ht="12.75"/>
    <row r="116" s="323" customFormat="1" ht="12.75"/>
    <row r="117" s="323" customFormat="1" ht="12.75"/>
    <row r="118" s="323" customFormat="1" ht="12.75"/>
    <row r="119" s="323" customFormat="1" ht="12.75"/>
    <row r="120" s="323" customFormat="1" ht="12.75"/>
    <row r="121" s="323" customFormat="1" ht="12.75"/>
    <row r="122" s="323" customFormat="1" ht="12.75"/>
    <row r="123" s="323" customFormat="1" ht="12.75"/>
    <row r="124" s="323" customFormat="1" ht="12.75"/>
    <row r="125" s="323" customFormat="1" ht="12.75"/>
    <row r="126" s="323" customFormat="1" ht="12.75"/>
    <row r="127" s="323" customFormat="1" ht="12.75"/>
    <row r="128" s="323" customFormat="1" ht="12.75"/>
    <row r="129" s="323" customFormat="1" ht="12.75"/>
    <row r="130" s="323" customFormat="1" ht="12.75"/>
    <row r="131" s="323" customFormat="1" ht="12.75"/>
    <row r="132" s="323" customFormat="1" ht="12.75"/>
    <row r="133" s="323" customFormat="1" ht="12.75"/>
    <row r="134" s="323" customFormat="1" ht="12.75"/>
    <row r="135" s="323" customFormat="1" ht="12.75"/>
    <row r="136" s="323" customFormat="1" ht="12.75"/>
    <row r="137" s="323" customFormat="1" ht="12.75"/>
    <row r="138" s="323" customFormat="1" ht="12.75"/>
    <row r="139" s="323" customFormat="1" ht="12.75"/>
    <row r="140" s="323" customFormat="1" ht="12.75"/>
    <row r="141" s="323" customFormat="1" ht="12.75"/>
    <row r="142" s="323" customFormat="1" ht="12.75"/>
    <row r="143" s="323" customFormat="1" ht="12.75"/>
    <row r="144" s="323" customFormat="1" ht="12.75"/>
    <row r="145" s="323" customFormat="1" ht="12.75"/>
    <row r="146" s="323" customFormat="1" ht="12.75"/>
    <row r="147" s="323" customFormat="1" ht="12.75"/>
    <row r="148" s="323" customFormat="1" ht="12.75"/>
    <row r="149" s="323" customFormat="1" ht="12.75"/>
    <row r="150" s="323" customFormat="1" ht="12.75"/>
    <row r="151" s="323" customFormat="1" ht="12.75"/>
    <row r="152" s="323" customFormat="1" ht="12.75"/>
    <row r="153" s="323" customFormat="1" ht="12.75"/>
    <row r="154" s="323" customFormat="1" ht="12.75"/>
    <row r="155" s="323" customFormat="1" ht="12.75"/>
    <row r="156" s="323" customFormat="1" ht="12.75"/>
    <row r="157" s="323" customFormat="1" ht="12.75"/>
    <row r="158" s="323" customFormat="1" ht="12.75"/>
    <row r="159" s="323" customFormat="1" ht="12.75"/>
    <row r="160" s="323" customFormat="1" ht="12.75"/>
    <row r="161" s="323" customFormat="1" ht="12.75"/>
    <row r="162" s="323" customFormat="1" ht="12.75"/>
    <row r="163" s="323" customFormat="1" ht="12.75"/>
    <row r="164" s="323" customFormat="1" ht="12.75"/>
    <row r="165" s="323" customFormat="1" ht="12.75"/>
    <row r="166" s="323" customFormat="1" ht="12.75"/>
    <row r="167" s="323" customFormat="1" ht="12.75"/>
    <row r="168" s="323" customFormat="1" ht="12.75"/>
    <row r="169" s="323" customFormat="1" ht="12.75"/>
    <row r="170" s="323" customFormat="1" ht="12.75"/>
    <row r="171" s="323" customFormat="1" ht="12.75"/>
    <row r="172" s="323" customFormat="1" ht="12.75"/>
    <row r="173" s="323" customFormat="1" ht="12.75"/>
    <row r="174" s="323" customFormat="1" ht="12.75"/>
    <row r="175" s="323" customFormat="1" ht="12.75"/>
    <row r="176" s="323" customFormat="1" ht="12.75"/>
    <row r="177" s="323" customFormat="1" ht="12.75"/>
    <row r="178" s="323" customFormat="1" ht="12.75"/>
    <row r="179" s="323" customFormat="1" ht="12.75"/>
    <row r="180" s="323" customFormat="1" ht="12.75"/>
    <row r="181" s="323" customFormat="1" ht="12.75"/>
    <row r="182" s="323" customFormat="1" ht="12.75"/>
    <row r="183" s="323" customFormat="1" ht="12.75"/>
    <row r="184" s="323" customFormat="1" ht="12.75"/>
    <row r="185" s="323" customFormat="1" ht="12.75"/>
    <row r="186" s="323" customFormat="1" ht="12.75"/>
    <row r="187" s="323" customFormat="1" ht="12.75"/>
    <row r="188" s="323" customFormat="1" ht="12.75"/>
    <row r="189" s="323" customFormat="1" ht="12.75"/>
    <row r="190" s="323" customFormat="1" ht="12.75"/>
    <row r="191" s="323" customFormat="1" ht="12.75"/>
    <row r="192" s="323" customFormat="1" ht="12.75"/>
    <row r="193" s="323" customFormat="1" ht="12.75"/>
    <row r="194" s="323" customFormat="1" ht="12.75"/>
    <row r="195" s="323" customFormat="1" ht="12.75"/>
    <row r="196" s="323" customFormat="1" ht="12.75"/>
    <row r="197" s="323" customFormat="1" ht="12.75"/>
    <row r="198" s="323" customFormat="1" ht="12.75"/>
    <row r="199" s="323" customFormat="1" ht="12.75"/>
    <row r="200" s="323" customFormat="1" ht="12.75"/>
    <row r="201" s="323" customFormat="1" ht="12.75"/>
    <row r="202" s="323" customFormat="1" ht="12.75"/>
    <row r="203" s="323" customFormat="1" ht="12.75"/>
    <row r="204" s="323" customFormat="1" ht="12.75"/>
    <row r="205" s="323" customFormat="1" ht="12.75"/>
    <row r="206" s="323" customFormat="1" ht="12.75"/>
    <row r="207" s="323" customFormat="1" ht="12.75"/>
    <row r="208" s="323" customFormat="1" ht="12.75"/>
    <row r="209" s="323" customFormat="1" ht="12.75"/>
    <row r="210" s="323" customFormat="1" ht="12.75"/>
    <row r="211" s="323" customFormat="1" ht="12.75"/>
    <row r="212" s="323" customFormat="1" ht="12.75"/>
    <row r="213" s="323" customFormat="1" ht="12.75"/>
    <row r="214" s="323" customFormat="1" ht="12.75"/>
    <row r="215" s="323" customFormat="1" ht="12.75"/>
    <row r="216" s="323" customFormat="1" ht="12.75"/>
    <row r="217" s="323" customFormat="1" ht="12.75"/>
    <row r="218" s="323" customFormat="1" ht="12.75"/>
    <row r="219" s="323" customFormat="1" ht="12.75"/>
    <row r="220" s="323" customFormat="1" ht="12.75"/>
    <row r="221" s="323" customFormat="1" ht="12.75"/>
    <row r="222" s="323" customFormat="1" ht="12.75"/>
    <row r="223" s="323" customFormat="1" ht="12.75"/>
    <row r="224" s="323" customFormat="1" ht="12.75"/>
    <row r="225" s="323" customFormat="1" ht="12.75"/>
    <row r="226" s="323" customFormat="1" ht="12.75"/>
    <row r="227" s="323" customFormat="1" ht="12.75"/>
    <row r="228" s="323" customFormat="1" ht="12.75"/>
    <row r="229" s="323" customFormat="1" ht="12.75"/>
    <row r="230" s="323" customFormat="1" ht="12.75"/>
    <row r="231" s="323" customFormat="1" ht="12.75"/>
    <row r="232" s="323" customFormat="1" ht="12.75"/>
    <row r="233" s="323" customFormat="1" ht="12.75"/>
    <row r="234" s="323" customFormat="1" ht="12.75"/>
    <row r="235" s="323" customFormat="1" ht="12.75"/>
    <row r="236" s="323" customFormat="1" ht="12.75"/>
    <row r="237" s="323" customFormat="1" ht="12.75"/>
    <row r="238" s="323" customFormat="1" ht="12.75"/>
    <row r="239" s="323" customFormat="1" ht="12.75"/>
    <row r="240" s="323" customFormat="1" ht="12.75"/>
    <row r="241" s="323" customFormat="1" ht="12.75"/>
    <row r="242" s="323" customFormat="1" ht="12.75"/>
  </sheetData>
  <mergeCells count="1">
    <mergeCell ref="A1:B1"/>
  </mergeCells>
  <hyperlinks>
    <hyperlink ref="B18" r:id="rId1" display="http://business.center.cz/business/sablony/s110-ucetni-zaverka-v-plnem-rozsahu.aspx"/>
    <hyperlink ref="B14" r:id="rId2" display="https://adisspr.mfcr.cz/pmd/epo/formulare?nacteni=1"/>
  </hyperlinks>
  <pageMargins left="0.393700787401575" right="0.393700787401575" top="0.393700787401575" bottom="0.393700787401575" header="0.31496062992126" footer="0.31496062992126"/>
  <pageSetup orientation="portrait" paperSize="9" scale="92"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List30">
    <tabColor rgb="FFFFFFCC"/>
    <pageSetUpPr fitToPage="1"/>
  </sheetPr>
  <dimension ref="A1:B28"/>
  <sheetViews>
    <sheetView workbookViewId="0" topLeftCell="A1">
      <selection pane="topLeft" activeCell="B4" sqref="B4"/>
    </sheetView>
  </sheetViews>
  <sheetFormatPr defaultColWidth="9.14428571428571" defaultRowHeight="12.75"/>
  <cols>
    <col min="1" max="1" width="4" style="266" customWidth="1"/>
    <col min="2" max="2" width="100.714285714286" style="266" customWidth="1"/>
    <col min="3" max="42" width="9.14285714285714" style="323"/>
    <col min="43" max="16384" width="9.14285714285714" style="266"/>
  </cols>
  <sheetData>
    <row r="1" spans="1:2" ht="18">
      <c r="A1" s="503" t="s">
        <v>2509</v>
      </c>
      <c r="B1" s="504"/>
    </row>
    <row r="2" spans="1:2" ht="12.75">
      <c r="A2" s="330"/>
      <c r="B2" s="330"/>
    </row>
    <row r="3" spans="1:2" ht="28.5" customHeight="1">
      <c r="A3" s="331" t="s">
        <v>117</v>
      </c>
      <c r="B3" s="333" t="s">
        <v>2499</v>
      </c>
    </row>
    <row r="4" spans="1:2" ht="43.5">
      <c r="A4" s="331" t="s">
        <v>118</v>
      </c>
      <c r="B4" s="333" t="s">
        <v>2500</v>
      </c>
    </row>
    <row r="5" spans="1:2" ht="28.5">
      <c r="A5" s="331" t="s">
        <v>119</v>
      </c>
      <c r="B5" s="333" t="s">
        <v>2501</v>
      </c>
    </row>
    <row r="6" spans="1:2" ht="29.25">
      <c r="A6" s="331" t="s">
        <v>251</v>
      </c>
      <c r="B6" s="453" t="s">
        <v>2502</v>
      </c>
    </row>
    <row r="7" spans="1:2" s="323" customFormat="1" ht="43.5">
      <c r="A7" s="331" t="s">
        <v>89</v>
      </c>
      <c r="B7" s="453" t="s">
        <v>2503</v>
      </c>
    </row>
    <row r="8" spans="1:2" s="323" customFormat="1" ht="43.5">
      <c r="A8" s="331" t="s">
        <v>250</v>
      </c>
      <c r="B8" s="332" t="s">
        <v>2504</v>
      </c>
    </row>
    <row r="9" spans="1:2" s="323" customFormat="1" ht="30">
      <c r="A9" s="331" t="s">
        <v>249</v>
      </c>
      <c r="B9" s="332" t="s">
        <v>2505</v>
      </c>
    </row>
    <row r="10" spans="1:2" s="323" customFormat="1" ht="29.25">
      <c r="A10" s="331" t="s">
        <v>2506</v>
      </c>
      <c r="B10" s="333" t="s">
        <v>2507</v>
      </c>
    </row>
    <row r="11" spans="1:2" s="323" customFormat="1" ht="30">
      <c r="A11" s="331" t="s">
        <v>247</v>
      </c>
      <c r="B11" s="454" t="s">
        <v>2508</v>
      </c>
    </row>
    <row r="12" spans="1:2" s="323" customFormat="1" ht="15">
      <c r="A12" s="331"/>
      <c r="B12" s="454"/>
    </row>
    <row r="13" spans="1:2" s="323" customFormat="1" ht="18">
      <c r="A13" s="503" t="s">
        <v>2510</v>
      </c>
      <c r="B13" s="504"/>
    </row>
    <row r="14" spans="1:2" s="323" customFormat="1" ht="18">
      <c r="A14" s="451"/>
      <c r="B14" s="330"/>
    </row>
    <row r="15" spans="1:2" s="323" customFormat="1" ht="44.25" customHeight="1">
      <c r="A15" s="331" t="s">
        <v>117</v>
      </c>
      <c r="B15" s="332" t="s">
        <v>2511</v>
      </c>
    </row>
    <row r="16" spans="1:2" s="323" customFormat="1" ht="30">
      <c r="A16" s="331" t="s">
        <v>2512</v>
      </c>
      <c r="B16" s="332" t="s">
        <v>2513</v>
      </c>
    </row>
    <row r="17" spans="1:2" s="323" customFormat="1" ht="43.5">
      <c r="A17" s="331" t="s">
        <v>119</v>
      </c>
      <c r="B17" s="332" t="s">
        <v>2514</v>
      </c>
    </row>
    <row r="18" spans="1:2" s="323" customFormat="1" ht="30">
      <c r="A18" s="331" t="s">
        <v>251</v>
      </c>
      <c r="B18" s="332" t="s">
        <v>2515</v>
      </c>
    </row>
    <row r="19" spans="1:2" s="323" customFormat="1" ht="14.25">
      <c r="A19" s="331"/>
      <c r="B19" s="333"/>
    </row>
    <row r="20" spans="1:2" s="323" customFormat="1" ht="15.75">
      <c r="A20" s="331"/>
      <c r="B20" s="337" t="s">
        <v>2350</v>
      </c>
    </row>
    <row r="21" spans="1:2" s="323" customFormat="1" ht="14.25">
      <c r="A21" s="331"/>
      <c r="B21" s="338" t="s">
        <v>2183</v>
      </c>
    </row>
    <row r="22" spans="1:2" s="323" customFormat="1" ht="14.25">
      <c r="A22" s="331"/>
      <c r="B22" s="338" t="s">
        <v>2184</v>
      </c>
    </row>
    <row r="23" spans="1:2" s="323" customFormat="1" ht="45" customHeight="1">
      <c r="A23" s="331"/>
      <c r="B23" s="333"/>
    </row>
    <row r="24" spans="1:2" s="323" customFormat="1" ht="45" customHeight="1">
      <c r="A24" s="331"/>
      <c r="B24" s="333"/>
    </row>
    <row r="25" spans="1:2" s="323" customFormat="1" ht="45" customHeight="1">
      <c r="A25" s="330"/>
      <c r="B25" s="330"/>
    </row>
    <row r="26" spans="1:2" s="323" customFormat="1" ht="45" customHeight="1">
      <c r="A26" s="330"/>
      <c r="B26" s="337"/>
    </row>
    <row r="27" spans="1:2" s="323" customFormat="1" ht="45" customHeight="1">
      <c r="A27" s="330"/>
      <c r="B27" s="338"/>
    </row>
    <row r="28" spans="1:2" s="323" customFormat="1" ht="45" customHeight="1">
      <c r="A28" s="330"/>
      <c r="B28" s="338"/>
    </row>
    <row r="29" s="323" customFormat="1" ht="12.75"/>
    <row r="30" s="323" customFormat="1" ht="12.75"/>
    <row r="31" s="323" customFormat="1" ht="12.75"/>
    <row r="32" s="323" customFormat="1" ht="12.75"/>
    <row r="33" s="323" customFormat="1" ht="12.75"/>
    <row r="34" s="323" customFormat="1" ht="12.75"/>
    <row r="35" s="323" customFormat="1" ht="12.75"/>
    <row r="36" s="323" customFormat="1" ht="12.75"/>
    <row r="37" s="323" customFormat="1" ht="12.75"/>
    <row r="38" s="323" customFormat="1" ht="12.75"/>
    <row r="39" s="323" customFormat="1" ht="12.75"/>
    <row r="40" s="323" customFormat="1" ht="12.75"/>
    <row r="41" s="323" customFormat="1" ht="12.75"/>
    <row r="42" s="323" customFormat="1" ht="12.75"/>
    <row r="43" s="323" customFormat="1" ht="12.75"/>
    <row r="44" s="323" customFormat="1" ht="12.75"/>
    <row r="45" s="323" customFormat="1" ht="12.75"/>
    <row r="46" s="323" customFormat="1" ht="12.75"/>
    <row r="47" s="323" customFormat="1" ht="12.75"/>
    <row r="48" s="323" customFormat="1" ht="12.75"/>
    <row r="49" s="323" customFormat="1" ht="12.75"/>
    <row r="50" s="323" customFormat="1" ht="12.75"/>
    <row r="51" s="323" customFormat="1" ht="12.75"/>
    <row r="52" s="323" customFormat="1" ht="12.75"/>
    <row r="53" s="323" customFormat="1" ht="12.75"/>
    <row r="54" s="323" customFormat="1" ht="12.75"/>
    <row r="55" s="323" customFormat="1" ht="12.75"/>
    <row r="56" s="323" customFormat="1" ht="12.75"/>
    <row r="57" s="323" customFormat="1" ht="12.75"/>
    <row r="58" s="323" customFormat="1" ht="12.75"/>
    <row r="59" s="323" customFormat="1" ht="12.75"/>
    <row r="60" s="323" customFormat="1" ht="12.75"/>
    <row r="61" s="323" customFormat="1" ht="12.75"/>
    <row r="62" s="323" customFormat="1" ht="12.75"/>
    <row r="63" s="323" customFormat="1" ht="12.75"/>
    <row r="64" s="323" customFormat="1" ht="12.75"/>
    <row r="65" s="323" customFormat="1" ht="12.75"/>
    <row r="66" s="323" customFormat="1" ht="12.75"/>
    <row r="67" s="323" customFormat="1" ht="12.75"/>
    <row r="68" s="323" customFormat="1" ht="12.75"/>
    <row r="69" s="323" customFormat="1" ht="12.75"/>
    <row r="70" s="323" customFormat="1" ht="12.75"/>
    <row r="71" s="323" customFormat="1" ht="12.75"/>
    <row r="72" s="323" customFormat="1" ht="12.75"/>
    <row r="73" s="323" customFormat="1" ht="12.75"/>
    <row r="74" s="323" customFormat="1" ht="12.75"/>
    <row r="75" s="323" customFormat="1" ht="12.75"/>
    <row r="76" s="323" customFormat="1" ht="12.75"/>
    <row r="77" s="323" customFormat="1" ht="12.75"/>
    <row r="78" s="323" customFormat="1" ht="12.75"/>
    <row r="79" s="323" customFormat="1" ht="12.75"/>
    <row r="80" s="323" customFormat="1" ht="12.75"/>
    <row r="81" s="323" customFormat="1" ht="12.75"/>
    <row r="82" s="323" customFormat="1" ht="12.75"/>
    <row r="83" s="323" customFormat="1" ht="12.75"/>
    <row r="84" s="323" customFormat="1" ht="12.75"/>
    <row r="85" s="323" customFormat="1" ht="12.75"/>
    <row r="86" s="323" customFormat="1" ht="12.75"/>
    <row r="87" s="323" customFormat="1" ht="12.75"/>
    <row r="88" s="323" customFormat="1" ht="12.75"/>
    <row r="89" s="323" customFormat="1" ht="12.75"/>
    <row r="90" s="323" customFormat="1" ht="12.75"/>
    <row r="91" s="323" customFormat="1" ht="12.75"/>
    <row r="92" s="323" customFormat="1" ht="12.75"/>
    <row r="93" s="323" customFormat="1" ht="12.75"/>
    <row r="94" s="323" customFormat="1" ht="12.75"/>
    <row r="95" s="323" customFormat="1" ht="12.75"/>
    <row r="96" s="323" customFormat="1" ht="12.75"/>
    <row r="97" s="323" customFormat="1" ht="12.75"/>
    <row r="98" s="323" customFormat="1" ht="12.75"/>
    <row r="99" s="323" customFormat="1" ht="12.75"/>
    <row r="100" s="323" customFormat="1" ht="12.75"/>
    <row r="101" s="323" customFormat="1" ht="12.75"/>
    <row r="102" s="323" customFormat="1" ht="12.75"/>
    <row r="103" s="323" customFormat="1" ht="12.75"/>
    <row r="104" s="323" customFormat="1" ht="12.75"/>
    <row r="105" s="323" customFormat="1" ht="12.75"/>
    <row r="106" s="323" customFormat="1" ht="12.75"/>
    <row r="107" s="323" customFormat="1" ht="12.75"/>
    <row r="108" s="323" customFormat="1" ht="12.75"/>
    <row r="109" s="323" customFormat="1" ht="12.75"/>
    <row r="110" s="323" customFormat="1" ht="12.75"/>
    <row r="111" s="323" customFormat="1" ht="12.75"/>
    <row r="112" s="323" customFormat="1" ht="12.75"/>
    <row r="113" s="323" customFormat="1" ht="12.75"/>
    <row r="114" s="323" customFormat="1" ht="12.75"/>
    <row r="115" s="323" customFormat="1" ht="12.75"/>
    <row r="116" s="323" customFormat="1" ht="12.75"/>
    <row r="117" s="323" customFormat="1" ht="12.75"/>
    <row r="118" s="323" customFormat="1" ht="12.75"/>
    <row r="119" s="323" customFormat="1" ht="12.75"/>
    <row r="120" s="323" customFormat="1" ht="12.75"/>
    <row r="121" s="323" customFormat="1" ht="12.75"/>
    <row r="122" s="323" customFormat="1" ht="12.75"/>
    <row r="123" s="323" customFormat="1" ht="12.75"/>
    <row r="124" s="323" customFormat="1" ht="12.75"/>
    <row r="125" s="323" customFormat="1" ht="12.75"/>
    <row r="126" s="323" customFormat="1" ht="12.75"/>
    <row r="127" s="323" customFormat="1" ht="12.75"/>
    <row r="128" s="323" customFormat="1" ht="12.75"/>
    <row r="129" s="323" customFormat="1" ht="12.75"/>
    <row r="130" s="323" customFormat="1" ht="12.75"/>
    <row r="131" s="323" customFormat="1" ht="12.75"/>
    <row r="132" s="323" customFormat="1" ht="12.75"/>
    <row r="133" s="323" customFormat="1" ht="12.75"/>
    <row r="134" s="323" customFormat="1" ht="12.75"/>
    <row r="135" s="323" customFormat="1" ht="12.75"/>
    <row r="136" s="323" customFormat="1" ht="12.75"/>
    <row r="137" s="323" customFormat="1" ht="12.75"/>
    <row r="138" s="323" customFormat="1" ht="12.75"/>
    <row r="139" s="323" customFormat="1" ht="12.75"/>
    <row r="140" s="323" customFormat="1" ht="12.75"/>
    <row r="141" s="323" customFormat="1" ht="12.75"/>
    <row r="142" s="323" customFormat="1" ht="12.75"/>
    <row r="143" s="323" customFormat="1" ht="12.75"/>
    <row r="144" s="323" customFormat="1" ht="12.75"/>
    <row r="145" s="323" customFormat="1" ht="12.75"/>
    <row r="146" s="323" customFormat="1" ht="12.75"/>
    <row r="147" s="323" customFormat="1" ht="12.75"/>
    <row r="148" s="323" customFormat="1" ht="12.75"/>
    <row r="149" s="323" customFormat="1" ht="12.75"/>
    <row r="150" s="323" customFormat="1" ht="12.75"/>
    <row r="151" s="323" customFormat="1" ht="12.75"/>
    <row r="152" s="323" customFormat="1" ht="12.75"/>
    <row r="153" s="323" customFormat="1" ht="12.75"/>
    <row r="154" s="323" customFormat="1" ht="12.75"/>
    <row r="155" s="323" customFormat="1" ht="12.75"/>
    <row r="156" s="323" customFormat="1" ht="12.75"/>
    <row r="157" s="323" customFormat="1" ht="12.75"/>
    <row r="158" s="323" customFormat="1" ht="12.75"/>
    <row r="159" s="323" customFormat="1" ht="12.75"/>
    <row r="160" s="323" customFormat="1" ht="12.75"/>
    <row r="161" s="323" customFormat="1" ht="12.75"/>
    <row r="162" s="323" customFormat="1" ht="12.75"/>
    <row r="163" s="323" customFormat="1" ht="12.75"/>
    <row r="164" s="323" customFormat="1" ht="12.75"/>
    <row r="165" s="323" customFormat="1" ht="12.75"/>
    <row r="166" s="323" customFormat="1" ht="12.75"/>
    <row r="167" s="323" customFormat="1" ht="12.75"/>
    <row r="168" s="323" customFormat="1" ht="12.75"/>
    <row r="169" s="323" customFormat="1" ht="12.75"/>
    <row r="170" s="323" customFormat="1" ht="12.75"/>
    <row r="171" s="323" customFormat="1" ht="12.75"/>
    <row r="172" s="323" customFormat="1" ht="12.75"/>
    <row r="173" s="323" customFormat="1" ht="12.75"/>
    <row r="174" s="323" customFormat="1" ht="12.75"/>
    <row r="175" s="323" customFormat="1" ht="12.75"/>
    <row r="176" s="323" customFormat="1" ht="12.75"/>
    <row r="177" s="323" customFormat="1" ht="12.75"/>
    <row r="178" s="323" customFormat="1" ht="12.75"/>
    <row r="179" s="323" customFormat="1" ht="12.75"/>
    <row r="180" s="323" customFormat="1" ht="12.75"/>
    <row r="181" s="323" customFormat="1" ht="12.75"/>
    <row r="182" s="323" customFormat="1" ht="12.75"/>
    <row r="183" s="323" customFormat="1" ht="12.75"/>
    <row r="184" s="323" customFormat="1" ht="12.75"/>
    <row r="185" s="323" customFormat="1" ht="12.75"/>
    <row r="186" s="323" customFormat="1" ht="12.75"/>
    <row r="187" s="323" customFormat="1" ht="12.75"/>
    <row r="188" s="323" customFormat="1" ht="12.75"/>
    <row r="189" s="323" customFormat="1" ht="12.75"/>
    <row r="190" s="323" customFormat="1" ht="12.75"/>
    <row r="191" s="323" customFormat="1" ht="12.75"/>
    <row r="192" s="323" customFormat="1" ht="12.75"/>
    <row r="193" s="323" customFormat="1" ht="12.75"/>
    <row r="194" s="323" customFormat="1" ht="12.75"/>
    <row r="195" s="323" customFormat="1" ht="12.75"/>
    <row r="196" s="323" customFormat="1" ht="12.75"/>
    <row r="197" s="323" customFormat="1" ht="12.75"/>
    <row r="198" s="323" customFormat="1" ht="12.75"/>
    <row r="199" s="323" customFormat="1" ht="12.75"/>
    <row r="200" s="323" customFormat="1" ht="12.75"/>
    <row r="201" s="323" customFormat="1" ht="12.75"/>
    <row r="202" s="323" customFormat="1" ht="12.75"/>
    <row r="203" s="323" customFormat="1" ht="12.75"/>
    <row r="204" s="323" customFormat="1" ht="12.75"/>
    <row r="205" s="323" customFormat="1" ht="12.75"/>
    <row r="206" s="323" customFormat="1" ht="12.75"/>
    <row r="207" s="323" customFormat="1" ht="12.75"/>
    <row r="208" s="323" customFormat="1" ht="12.75"/>
    <row r="209" s="323" customFormat="1" ht="12.75"/>
    <row r="210" s="323" customFormat="1" ht="12.75"/>
    <row r="211" s="323" customFormat="1" ht="12.75"/>
    <row r="212" s="323" customFormat="1" ht="12.75"/>
    <row r="213" s="323" customFormat="1" ht="12.75"/>
    <row r="214" s="323" customFormat="1" ht="12.75"/>
    <row r="215" s="323" customFormat="1" ht="12.75"/>
    <row r="216" s="323" customFormat="1" ht="12.75"/>
    <row r="217" s="323" customFormat="1" ht="12.75"/>
    <row r="218" s="323" customFormat="1" ht="12.75"/>
    <row r="219" s="323" customFormat="1" ht="12.75"/>
    <row r="220" s="323" customFormat="1" ht="12.75"/>
    <row r="221" s="323" customFormat="1" ht="12.75"/>
    <row r="222" s="323" customFormat="1" ht="12.75"/>
    <row r="223" s="323" customFormat="1" ht="12.75"/>
    <row r="224" s="323" customFormat="1" ht="12.75"/>
    <row r="225" s="323" customFormat="1" ht="12.75"/>
    <row r="226" s="323" customFormat="1" ht="12.75"/>
    <row r="227" s="323" customFormat="1" ht="12.75"/>
    <row r="228" s="323" customFormat="1" ht="12.75"/>
    <row r="229" s="323" customFormat="1" ht="12.75"/>
    <row r="230" s="323" customFormat="1" ht="12.75"/>
    <row r="231" s="323" customFormat="1" ht="12.75"/>
    <row r="232" s="323" customFormat="1" ht="12.75"/>
    <row r="233" s="323" customFormat="1" ht="12.75"/>
    <row r="234" s="323" customFormat="1" ht="12.75"/>
    <row r="235" s="323" customFormat="1" ht="12.75"/>
    <row r="236" s="323" customFormat="1" ht="12.75"/>
    <row r="237" s="323" customFormat="1" ht="12.75"/>
    <row r="238" s="323" customFormat="1" ht="12.75"/>
    <row r="239" s="323" customFormat="1" ht="12.75"/>
    <row r="240" s="323" customFormat="1" ht="12.75"/>
    <row r="241" s="323" customFormat="1" ht="12.75"/>
    <row r="242" s="323" customFormat="1" ht="12.75"/>
    <row r="243" s="323" customFormat="1" ht="12.75"/>
    <row r="244" s="323" customFormat="1" ht="12.75"/>
    <row r="245" s="323" customFormat="1" ht="12.75"/>
  </sheetData>
  <sheetProtection algorithmName="SHA-512" hashValue="PQqUWZIcKmasFm7bJbyiCmF6QPRi67Rvmjw4t74KQ8WG+Wgp95069ZLtS4ecY2AvVXmOi634HmiSxjWFaE5GCQ==" saltValue="ene2su4nhaIpHtXL5P7pyQ==" spinCount="100000" sheet="1" objects="1" scenarios="1"/>
  <mergeCells count="2">
    <mergeCell ref="A1:B1"/>
    <mergeCell ref="A13:B13"/>
  </mergeCells>
  <pageMargins left="0.393700787401575" right="0.393700787401575" top="0.393700787401575" bottom="0.393700787401575" header="0.31496062992126" footer="0.31496062992126"/>
  <pageSetup orientation="portrait" paperSize="9" scale="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2">
    <pageSetUpPr fitToPage="1"/>
  </sheetPr>
  <dimension ref="A1:AK53"/>
  <sheetViews>
    <sheetView workbookViewId="0" topLeftCell="A1">
      <selection pane="topLeft" activeCell="D2" sqref="D2"/>
    </sheetView>
  </sheetViews>
  <sheetFormatPr defaultRowHeight="12.75"/>
  <cols>
    <col min="1" max="1" width="28.1428571428571" style="73" customWidth="1"/>
    <col min="2" max="2" width="65.7142857142857" style="73" customWidth="1"/>
    <col min="3" max="3" width="3" style="73" customWidth="1"/>
    <col min="4" max="4" width="65.7142857142857" style="73" customWidth="1"/>
    <col min="5" max="5" width="28.2857142857143" style="73" customWidth="1"/>
    <col min="6" max="37" width="9.14285714285714" style="21"/>
  </cols>
  <sheetData>
    <row r="1" spans="1:37" s="104" customFormat="1" ht="18">
      <c r="A1" s="510" t="s">
        <v>262</v>
      </c>
      <c r="B1" s="511"/>
      <c r="C1" s="511"/>
      <c r="D1" s="511"/>
      <c r="E1" s="511"/>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37" s="104" customFormat="1" ht="18">
      <c r="A2" s="250"/>
      <c r="B2" s="324" t="s">
        <v>2270</v>
      </c>
      <c r="C2" s="251"/>
      <c r="D2" s="254" t="s">
        <v>146</v>
      </c>
      <c r="E2" s="2"/>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1:37" s="104" customFormat="1" ht="15.95" customHeight="1">
      <c r="A3" s="172"/>
      <c r="B3" s="173" t="s">
        <v>263</v>
      </c>
      <c r="C3" s="135"/>
      <c r="D3" s="173" t="s">
        <v>264</v>
      </c>
      <c r="E3" s="169"/>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row>
    <row r="4" spans="1:37" s="104" customFormat="1" ht="15.95" customHeight="1">
      <c r="A4" s="374" t="s">
        <v>2324</v>
      </c>
      <c r="B4" s="432"/>
      <c r="C4" s="175"/>
      <c r="D4" s="418"/>
      <c r="E4" s="373" t="s">
        <v>2321</v>
      </c>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row>
    <row r="5" spans="1:37" s="104" customFormat="1" ht="15.95" customHeight="1">
      <c r="A5" s="374" t="s">
        <v>2325</v>
      </c>
      <c r="B5" s="433"/>
      <c r="C5" s="176"/>
      <c r="D5" s="419"/>
      <c r="E5" s="135"/>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row>
    <row r="6" spans="1:37" s="104" customFormat="1" ht="15.95" customHeight="1">
      <c r="A6" s="374" t="s">
        <v>2335</v>
      </c>
      <c r="B6" s="185"/>
      <c r="C6" s="176"/>
      <c r="D6" s="419"/>
      <c r="E6" s="135"/>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row>
    <row r="7" spans="1:37" s="104" customFormat="1" ht="15.95" customHeight="1">
      <c r="A7" s="374" t="s">
        <v>2326</v>
      </c>
      <c r="B7" s="433"/>
      <c r="C7" s="176"/>
      <c r="D7" s="186"/>
      <c r="E7" s="373" t="s">
        <v>2322</v>
      </c>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row>
    <row r="8" spans="1:37" s="104" customFormat="1" ht="15.95" customHeight="1">
      <c r="A8" s="374" t="s">
        <v>2336</v>
      </c>
      <c r="B8" s="422"/>
      <c r="C8" s="176"/>
      <c r="D8" s="186"/>
      <c r="E8" s="135"/>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row>
    <row r="9" spans="1:37" s="104" customFormat="1" ht="15.95" customHeight="1">
      <c r="A9" s="374" t="s">
        <v>34</v>
      </c>
      <c r="B9" s="187"/>
      <c r="C9" s="176"/>
      <c r="D9" s="186"/>
      <c r="E9" s="135"/>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row>
    <row r="10" spans="1:37" s="104" customFormat="1" ht="15.95" customHeight="1">
      <c r="A10" s="374" t="s">
        <v>2323</v>
      </c>
      <c r="B10" s="187"/>
      <c r="C10" s="176"/>
      <c r="D10" s="188"/>
      <c r="E10" s="373" t="s">
        <v>2323</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row>
    <row r="11" spans="1:37" s="104" customFormat="1" ht="15.95" customHeight="1">
      <c r="A11" s="374" t="s">
        <v>2337</v>
      </c>
      <c r="B11" s="187"/>
      <c r="C11" s="176"/>
      <c r="D11" s="186"/>
      <c r="E11" s="135"/>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row>
    <row r="12" spans="1:37" s="104" customFormat="1" ht="15.95" customHeight="1">
      <c r="A12" s="174"/>
      <c r="B12" s="414" t="s">
        <v>2421</v>
      </c>
      <c r="C12" s="415"/>
      <c r="D12" s="416"/>
      <c r="E12" s="135"/>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row>
    <row r="13" spans="1:37" s="104" customFormat="1" ht="15.95" customHeight="1">
      <c r="A13" s="375" t="s">
        <v>2338</v>
      </c>
      <c r="B13" s="189"/>
      <c r="C13" s="420"/>
      <c r="D13" s="190"/>
      <c r="E13" s="177" t="s">
        <v>267</v>
      </c>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row>
    <row r="14" spans="1:37" s="104" customFormat="1" ht="15.95" customHeight="1">
      <c r="A14" s="375" t="s">
        <v>2339</v>
      </c>
      <c r="B14" s="189"/>
      <c r="C14" s="176"/>
      <c r="D14" s="190"/>
      <c r="E14" s="373" t="s">
        <v>2324</v>
      </c>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row>
    <row r="15" spans="1:37" s="104" customFormat="1" ht="15.95" customHeight="1">
      <c r="A15" s="178" t="s">
        <v>269</v>
      </c>
      <c r="B15" s="189"/>
      <c r="C15" s="176"/>
      <c r="D15" s="190"/>
      <c r="E15" s="373" t="s">
        <v>2325</v>
      </c>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row>
    <row r="16" spans="1:37" s="104" customFormat="1" ht="15.95" customHeight="1">
      <c r="A16" s="374" t="s">
        <v>2340</v>
      </c>
      <c r="B16" s="189"/>
      <c r="C16" s="176"/>
      <c r="D16" s="190"/>
      <c r="E16" s="373" t="s">
        <v>2326</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row>
    <row r="17" spans="1:37" s="104" customFormat="1" ht="15.95" customHeight="1">
      <c r="A17" s="374" t="s">
        <v>2330</v>
      </c>
      <c r="B17" s="191"/>
      <c r="C17" s="176"/>
      <c r="D17" s="190"/>
      <c r="E17" s="373" t="s">
        <v>2327</v>
      </c>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row>
    <row r="18" spans="1:37" s="104" customFormat="1" ht="15.95" customHeight="1">
      <c r="A18" s="374" t="s">
        <v>2331</v>
      </c>
      <c r="B18" s="189"/>
      <c r="C18" s="176"/>
      <c r="D18" s="190"/>
      <c r="E18" s="135"/>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row>
    <row r="19" spans="1:37" s="104" customFormat="1" ht="15.95" customHeight="1">
      <c r="A19" s="374" t="s">
        <v>2332</v>
      </c>
      <c r="B19" s="191"/>
      <c r="C19" s="420"/>
      <c r="D19" s="190"/>
      <c r="E19" s="177" t="s">
        <v>266</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row>
    <row r="20" spans="1:37" s="104" customFormat="1" ht="15.95" customHeight="1">
      <c r="A20" s="375" t="s">
        <v>2341</v>
      </c>
      <c r="B20" s="189"/>
      <c r="C20" s="176"/>
      <c r="D20" s="190"/>
      <c r="E20" s="373" t="s">
        <v>2324</v>
      </c>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row>
    <row r="21" spans="1:37" s="104" customFormat="1" ht="15.95" customHeight="1">
      <c r="A21" s="374" t="s">
        <v>2342</v>
      </c>
      <c r="B21" s="189"/>
      <c r="C21" s="176"/>
      <c r="D21" s="190"/>
      <c r="E21" s="373" t="s">
        <v>2325</v>
      </c>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row>
    <row r="22" spans="1:37" s="104" customFormat="1" ht="15.95" customHeight="1">
      <c r="A22" s="174"/>
      <c r="B22" s="189"/>
      <c r="C22" s="176"/>
      <c r="D22" s="190"/>
      <c r="E22" s="373" t="s">
        <v>2326</v>
      </c>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row>
    <row r="23" spans="1:37" s="104" customFormat="1" ht="15.95" customHeight="1">
      <c r="A23" s="178" t="s">
        <v>2343</v>
      </c>
      <c r="B23" s="189"/>
      <c r="C23" s="176"/>
      <c r="D23" s="192"/>
      <c r="E23" s="373" t="s">
        <v>2328</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row>
    <row r="24" spans="1:37" s="104" customFormat="1" ht="15.95" customHeight="1">
      <c r="A24" s="174"/>
      <c r="B24" s="189"/>
      <c r="C24" s="176"/>
      <c r="D24" s="190"/>
      <c r="E24" s="373" t="s">
        <v>2329</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row>
    <row r="25" spans="1:37" s="104" customFormat="1" ht="15.95" customHeight="1">
      <c r="A25" s="374" t="s">
        <v>2328</v>
      </c>
      <c r="B25" s="193"/>
      <c r="C25" s="176"/>
      <c r="D25" s="194"/>
      <c r="E25" s="373" t="s">
        <v>2330</v>
      </c>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row>
    <row r="26" spans="1:37" s="104" customFormat="1" ht="15.95" customHeight="1">
      <c r="A26" s="374" t="s">
        <v>2344</v>
      </c>
      <c r="B26" s="193"/>
      <c r="C26" s="176"/>
      <c r="D26" s="190"/>
      <c r="E26" s="373" t="s">
        <v>2331</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row>
    <row r="27" spans="1:37" s="104" customFormat="1" ht="15.95" customHeight="1">
      <c r="A27" s="374" t="s">
        <v>2334</v>
      </c>
      <c r="B27" s="421"/>
      <c r="C27" s="176"/>
      <c r="D27" s="195"/>
      <c r="E27" s="373" t="s">
        <v>2332</v>
      </c>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row>
    <row r="28" spans="1:37" s="104" customFormat="1" ht="15.95" customHeight="1">
      <c r="A28" s="374" t="s">
        <v>2345</v>
      </c>
      <c r="B28" s="189"/>
      <c r="C28" s="176"/>
      <c r="D28" s="190"/>
      <c r="E28" s="135"/>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row>
    <row r="29" spans="1:37" s="104" customFormat="1" ht="15.95" customHeight="1">
      <c r="A29" s="375" t="s">
        <v>2346</v>
      </c>
      <c r="B29" s="417"/>
      <c r="C29" s="420"/>
      <c r="D29" s="190"/>
      <c r="E29" s="177" t="s">
        <v>268</v>
      </c>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row>
    <row r="30" spans="1:37" s="104" customFormat="1" ht="15.95" customHeight="1">
      <c r="A30" s="322"/>
      <c r="B30" s="417"/>
      <c r="C30" s="176"/>
      <c r="D30" s="190"/>
      <c r="E30" s="373" t="s">
        <v>2324</v>
      </c>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row>
    <row r="31" spans="1:37" s="104" customFormat="1" ht="15.95" customHeight="1">
      <c r="A31" s="178" t="s">
        <v>265</v>
      </c>
      <c r="B31" s="189"/>
      <c r="C31" s="176"/>
      <c r="D31" s="190"/>
      <c r="E31" s="373" t="s">
        <v>2325</v>
      </c>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row>
    <row r="32" spans="1:37" s="104" customFormat="1" ht="15.95" customHeight="1">
      <c r="A32" s="374" t="s">
        <v>2347</v>
      </c>
      <c r="B32" s="191"/>
      <c r="C32" s="176"/>
      <c r="D32" s="190"/>
      <c r="E32" s="373" t="s">
        <v>2326</v>
      </c>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row>
    <row r="33" spans="1:37" s="104" customFormat="1" ht="15.95" customHeight="1">
      <c r="A33" s="374" t="s">
        <v>2348</v>
      </c>
      <c r="B33" s="191"/>
      <c r="C33" s="176"/>
      <c r="D33" s="192"/>
      <c r="E33" s="373" t="s">
        <v>2328</v>
      </c>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row>
    <row r="34" spans="1:37" s="104" customFormat="1" ht="15.95" customHeight="1">
      <c r="A34" s="374" t="s">
        <v>2349</v>
      </c>
      <c r="B34" s="189"/>
      <c r="C34" s="176"/>
      <c r="D34" s="192"/>
      <c r="E34" s="373" t="s">
        <v>2333</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row>
    <row r="35" spans="1:37" s="104" customFormat="1" ht="15.95" customHeight="1">
      <c r="A35" s="174"/>
      <c r="B35" s="189"/>
      <c r="C35" s="176"/>
      <c r="D35" s="260"/>
      <c r="E35" s="373" t="s">
        <v>2334</v>
      </c>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row>
    <row r="36" spans="1:37" s="104" customFormat="1" ht="15.95" customHeight="1">
      <c r="A36" s="174"/>
      <c r="B36" s="196"/>
      <c r="C36" s="179"/>
      <c r="D36" s="197"/>
      <c r="E36" s="135"/>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row>
    <row r="37" spans="1:37" s="104" customFormat="1" ht="12.75">
      <c r="A37" s="512" t="s">
        <v>2301</v>
      </c>
      <c r="B37" s="511"/>
      <c r="C37" s="511"/>
      <c r="D37" s="511"/>
      <c r="E37" s="511"/>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row>
    <row r="38" spans="1:37" s="104" customFormat="1" ht="12.75">
      <c r="A38" s="180"/>
      <c r="B38" s="181" t="s">
        <v>271</v>
      </c>
      <c r="C38" s="135"/>
      <c r="D38" s="508" t="s">
        <v>273</v>
      </c>
      <c r="E38" s="509"/>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row>
    <row r="39" spans="1:37" s="104" customFormat="1" ht="12.75">
      <c r="A39" s="182"/>
      <c r="B39" s="183" t="s">
        <v>270</v>
      </c>
      <c r="C39" s="135"/>
      <c r="D39" s="184" t="s">
        <v>0</v>
      </c>
      <c r="E39" s="135"/>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s="104" customFormat="1" ht="12.75">
      <c r="A40" s="198"/>
      <c r="B40" s="199" t="s">
        <v>272</v>
      </c>
      <c r="C40" s="135"/>
      <c r="D40" s="135"/>
      <c r="E40" s="135"/>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s="104" customFormat="1" ht="12.75">
      <c r="A41" s="507" t="s">
        <v>198</v>
      </c>
      <c r="B41" s="507"/>
      <c r="C41" s="507"/>
      <c r="D41" s="507"/>
      <c r="E41" s="170"/>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row>
    <row r="43" spans="1:1" s="21" customFormat="1" ht="12.75">
      <c r="A43" s="171"/>
    </row>
    <row r="44" spans="1:5" s="21" customFormat="1" ht="12.75">
      <c r="A44" s="505"/>
      <c r="B44" s="506"/>
      <c r="C44" s="506"/>
      <c r="D44" s="506"/>
      <c r="E44" s="506"/>
    </row>
    <row r="45" s="21" customFormat="1" ht="12.75"/>
    <row r="46" s="21" customFormat="1" ht="12.75"/>
    <row r="47" s="21" customFormat="1" ht="12.75"/>
    <row r="48" s="21" customFormat="1" ht="12.75"/>
    <row r="49" s="21" customFormat="1" ht="12.75"/>
    <row r="50" s="21" customFormat="1" ht="12.75"/>
    <row r="51" s="21" customFormat="1" ht="12.75"/>
    <row r="52" s="21" customFormat="1" ht="12.75"/>
    <row r="53" spans="1:1" s="21" customFormat="1" ht="12.75">
      <c r="A53" s="171"/>
    </row>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sheetData>
  <sheetProtection algorithmName="SHA-512" hashValue="XcA5cM8OhvZ4hzJcGCcljsze0nIXhGVuid9FSn1Y0dGUUP0X2e7JvU3CAXy4mlHuu/CC0JsRKUR5tS8DAN/bAw==" saltValue="P8heYJJ+ZRkc8Mhn2SSl1A==" spinCount="100000" sheet="1" objects="1" scenarios="1"/>
  <mergeCells count="5">
    <mergeCell ref="A44:E44"/>
    <mergeCell ref="A41:D41"/>
    <mergeCell ref="D38:E38"/>
    <mergeCell ref="A1:E1"/>
    <mergeCell ref="A37:E37"/>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3" customWidth="1"/>
    <col min="2" max="2" width="4.71428571428571" style="3" customWidth="1"/>
    <col min="3" max="3" width="8.28571428571429" style="3" customWidth="1"/>
    <col min="4" max="4" width="4.71428571428571" style="3" customWidth="1"/>
    <col min="5" max="5" width="8.28571428571429" style="2" customWidth="1"/>
    <col min="6" max="6" width="11" style="2" customWidth="1"/>
    <col min="7" max="7" width="7.14285714285714" style="2" customWidth="1"/>
    <col min="8" max="8" width="14.7142857142857" style="3" customWidth="1"/>
    <col min="9" max="9" width="7.28571428571429" style="3" customWidth="1"/>
    <col min="10" max="10" width="9.85714285714286" style="2" customWidth="1"/>
    <col min="11" max="11" width="4.42857142857143" style="3" customWidth="1"/>
    <col min="12" max="12" width="10.7142857142857" style="3" customWidth="1"/>
    <col min="13" max="16384" width="9.14285714285714" style="2"/>
  </cols>
  <sheetData>
    <row r="1" spans="1:12" ht="12.75">
      <c r="A1" s="522" t="s">
        <v>253</v>
      </c>
      <c r="B1" s="522"/>
      <c r="C1" s="523"/>
      <c r="D1" s="523"/>
      <c r="E1" s="523"/>
      <c r="F1" s="523"/>
      <c r="G1" s="523"/>
      <c r="H1" s="523"/>
      <c r="I1" s="523"/>
      <c r="J1" s="523"/>
      <c r="K1" s="523"/>
      <c r="L1" s="523"/>
    </row>
    <row r="2" spans="1:12" ht="12.75">
      <c r="A2" s="535" t="s">
        <v>139</v>
      </c>
      <c r="B2" s="535"/>
      <c r="C2" s="506"/>
      <c r="D2" s="506"/>
      <c r="E2" s="506"/>
      <c r="F2" s="506"/>
      <c r="G2" s="506"/>
      <c r="H2" s="506"/>
      <c r="I2" s="506"/>
      <c r="J2" s="506"/>
      <c r="K2" s="506"/>
      <c r="L2" s="506"/>
    </row>
    <row r="3" spans="1:12" ht="20.25" customHeight="1">
      <c r="A3" s="527">
        <f>+ZAKL_DATA!B13</f>
        <v>0</v>
      </c>
      <c r="B3" s="528"/>
      <c r="C3" s="529"/>
      <c r="D3" s="529"/>
      <c r="E3" s="529"/>
      <c r="F3" s="530"/>
      <c r="G3" s="536"/>
      <c r="H3" s="537"/>
      <c r="I3" s="537"/>
      <c r="J3" s="537"/>
      <c r="K3" s="537"/>
      <c r="L3" s="537"/>
    </row>
    <row r="4" spans="1:12" ht="12.75">
      <c r="A4" s="535" t="s">
        <v>140</v>
      </c>
      <c r="B4" s="535"/>
      <c r="C4" s="506"/>
      <c r="D4" s="506"/>
      <c r="E4" s="506"/>
      <c r="F4" s="506"/>
      <c r="G4" s="506"/>
      <c r="H4" s="506"/>
      <c r="I4" s="506"/>
      <c r="J4" s="506"/>
      <c r="K4" s="506"/>
      <c r="L4" s="506"/>
    </row>
    <row r="5" spans="1:12" ht="20.25" customHeight="1">
      <c r="A5" s="527">
        <f>+ZAKL_DATA!B14</f>
        <v>0</v>
      </c>
      <c r="B5" s="528"/>
      <c r="C5" s="529"/>
      <c r="D5" s="529"/>
      <c r="E5" s="529"/>
      <c r="F5" s="530"/>
      <c r="G5" s="524"/>
      <c r="H5" s="542" t="s">
        <v>197</v>
      </c>
      <c r="I5" s="543"/>
      <c r="J5" s="543"/>
      <c r="K5" s="543"/>
      <c r="L5" s="544"/>
    </row>
    <row r="6" spans="1:12" ht="12.75">
      <c r="A6" s="538" t="s">
        <v>135</v>
      </c>
      <c r="B6" s="538"/>
      <c r="C6" s="539"/>
      <c r="D6" s="539"/>
      <c r="E6" s="539"/>
      <c r="F6" s="539"/>
      <c r="G6" s="525"/>
      <c r="H6" s="545"/>
      <c r="I6" s="506"/>
      <c r="J6" s="506"/>
      <c r="K6" s="506"/>
      <c r="L6" s="525"/>
    </row>
    <row r="7" spans="1:12" ht="20.25" customHeight="1">
      <c r="A7" s="531" t="str">
        <f>IF(EXACT(LEFT(+ZAKL_DATA!D2,1),"C"),+ZAKL_DATA!D2," ")</f>
        <v>CZ</v>
      </c>
      <c r="B7" s="532"/>
      <c r="C7" s="533"/>
      <c r="D7" s="533"/>
      <c r="E7" s="533"/>
      <c r="F7" s="534"/>
      <c r="G7" s="525"/>
      <c r="H7" s="545"/>
      <c r="I7" s="506"/>
      <c r="J7" s="506"/>
      <c r="K7" s="506"/>
      <c r="L7" s="525"/>
    </row>
    <row r="8" spans="1:12" ht="12.75">
      <c r="A8" s="540" t="s">
        <v>136</v>
      </c>
      <c r="B8" s="540"/>
      <c r="C8" s="539"/>
      <c r="D8" s="539"/>
      <c r="E8" s="539"/>
      <c r="F8" s="526"/>
      <c r="G8" s="506"/>
      <c r="H8" s="545"/>
      <c r="I8" s="506"/>
      <c r="J8" s="506"/>
      <c r="K8" s="506"/>
      <c r="L8" s="525"/>
    </row>
    <row r="9" spans="1:12" ht="20.25" customHeight="1">
      <c r="A9" s="572" t="str">
        <f>IF(EXACT(LEFT(+ZAKL_DATA!D2,1),"C"),+MID(A7,3,20),+ZAKL_DATA!D2)</f>
        <v/>
      </c>
      <c r="B9" s="532"/>
      <c r="C9" s="532"/>
      <c r="D9" s="532"/>
      <c r="E9" s="573"/>
      <c r="F9" s="506"/>
      <c r="G9" s="506"/>
      <c r="H9" s="545"/>
      <c r="I9" s="506"/>
      <c r="J9" s="506"/>
      <c r="K9" s="506"/>
      <c r="L9" s="525"/>
    </row>
    <row r="10" spans="1:12" ht="12.75">
      <c r="A10" s="541"/>
      <c r="B10" s="541"/>
      <c r="C10" s="541"/>
      <c r="D10" s="541"/>
      <c r="E10" s="541"/>
      <c r="F10" s="506"/>
      <c r="G10" s="506"/>
      <c r="H10" s="546"/>
      <c r="I10" s="547"/>
      <c r="J10" s="547"/>
      <c r="K10" s="547"/>
      <c r="L10" s="548"/>
    </row>
    <row r="11" spans="1:12" ht="12.75">
      <c r="A11" s="541" t="s">
        <v>190</v>
      </c>
      <c r="B11" s="541"/>
      <c r="C11" s="506"/>
      <c r="D11" s="506"/>
      <c r="E11" s="506"/>
      <c r="F11" s="506"/>
      <c r="G11" s="506"/>
      <c r="H11" s="506"/>
      <c r="I11" s="506"/>
      <c r="J11" s="506"/>
      <c r="K11" s="506"/>
      <c r="L11" s="506"/>
    </row>
    <row r="12" spans="1:12" ht="11.25" customHeight="1">
      <c r="A12" s="68" t="s">
        <v>137</v>
      </c>
      <c r="B12" s="66"/>
      <c r="C12" s="68" t="s">
        <v>206</v>
      </c>
      <c r="D12" s="9"/>
      <c r="E12" s="68" t="s">
        <v>207</v>
      </c>
      <c r="F12" s="67"/>
      <c r="G12" s="595" t="s">
        <v>191</v>
      </c>
      <c r="H12" s="596"/>
      <c r="I12" s="596"/>
      <c r="J12" s="596"/>
      <c r="K12" s="10"/>
      <c r="L12" s="67"/>
    </row>
    <row r="13" spans="1:12" ht="24" customHeight="1">
      <c r="A13" s="69" t="s">
        <v>208</v>
      </c>
      <c r="B13" s="66"/>
      <c r="C13" s="69"/>
      <c r="D13" s="66"/>
      <c r="E13" s="69"/>
      <c r="F13" s="67"/>
      <c r="G13" s="596"/>
      <c r="H13" s="596"/>
      <c r="I13" s="596"/>
      <c r="J13" s="596"/>
      <c r="K13" s="593"/>
      <c r="L13" s="594"/>
    </row>
    <row r="14" spans="1:12" ht="12.75">
      <c r="A14" s="634" t="s">
        <v>184</v>
      </c>
      <c r="B14" s="506"/>
      <c r="C14" s="506"/>
      <c r="D14" s="506"/>
      <c r="E14" s="506"/>
      <c r="F14" s="580"/>
      <c r="G14" s="580"/>
      <c r="H14" s="580"/>
      <c r="I14" s="580"/>
      <c r="J14" s="580"/>
      <c r="K14" s="580"/>
      <c r="L14" s="580"/>
    </row>
    <row r="15" spans="1:12" ht="20.25" customHeight="1">
      <c r="A15" s="69"/>
      <c r="B15" s="631"/>
      <c r="C15" s="506"/>
      <c r="D15" s="506"/>
      <c r="E15" s="506"/>
      <c r="F15" s="635"/>
      <c r="G15" s="584"/>
      <c r="H15" s="584"/>
      <c r="I15" s="584"/>
      <c r="J15" s="121" t="s">
        <v>274</v>
      </c>
      <c r="K15" s="593"/>
      <c r="L15" s="594"/>
    </row>
    <row r="16" spans="1:12" ht="12.75">
      <c r="A16" s="636"/>
      <c r="B16" s="637"/>
      <c r="C16" s="637"/>
      <c r="D16" s="637"/>
      <c r="E16" s="637"/>
      <c r="F16" s="584"/>
      <c r="G16" s="584"/>
      <c r="H16" s="584"/>
      <c r="I16" s="584"/>
      <c r="J16" s="70"/>
      <c r="K16" s="72"/>
      <c r="L16" s="71"/>
    </row>
    <row r="17" spans="1:12" ht="24" customHeight="1">
      <c r="A17" s="591" t="s">
        <v>2405</v>
      </c>
      <c r="B17" s="592"/>
      <c r="C17" s="592"/>
      <c r="D17" s="592"/>
      <c r="E17" s="592"/>
      <c r="F17" s="592"/>
      <c r="G17" s="592"/>
      <c r="H17" s="578"/>
      <c r="I17" s="118" t="s">
        <v>189</v>
      </c>
      <c r="J17" s="69"/>
      <c r="K17" s="117" t="s">
        <v>122</v>
      </c>
      <c r="L17" s="69" t="s">
        <v>208</v>
      </c>
    </row>
    <row r="18" spans="1:12" ht="9" customHeight="1">
      <c r="A18" s="571"/>
      <c r="B18" s="571"/>
      <c r="C18" s="580"/>
      <c r="D18" s="580"/>
      <c r="E18" s="580"/>
      <c r="F18" s="580"/>
      <c r="G18" s="580"/>
      <c r="H18" s="580"/>
      <c r="I18" s="580"/>
      <c r="J18" s="580"/>
      <c r="K18" s="580"/>
      <c r="L18" s="580"/>
    </row>
    <row r="19" spans="1:12" ht="24" customHeight="1">
      <c r="A19" s="591" t="s">
        <v>192</v>
      </c>
      <c r="B19" s="592"/>
      <c r="C19" s="592"/>
      <c r="D19" s="592"/>
      <c r="E19" s="592"/>
      <c r="F19" s="592"/>
      <c r="G19" s="592"/>
      <c r="H19" s="578"/>
      <c r="I19" s="118" t="s">
        <v>189</v>
      </c>
      <c r="J19" s="69"/>
      <c r="K19" s="117" t="s">
        <v>122</v>
      </c>
      <c r="L19" s="69" t="s">
        <v>208</v>
      </c>
    </row>
    <row r="20" spans="1:12" ht="20.1" customHeight="1">
      <c r="A20" s="571"/>
      <c r="B20" s="571"/>
      <c r="C20" s="571"/>
      <c r="D20" s="571"/>
      <c r="E20" s="571"/>
      <c r="F20" s="571"/>
      <c r="G20" s="571"/>
      <c r="H20" s="571"/>
      <c r="I20" s="571"/>
      <c r="J20" s="571"/>
      <c r="K20" s="571"/>
      <c r="L20" s="571"/>
    </row>
    <row r="21" spans="1:12" ht="27.95" customHeight="1">
      <c r="A21" s="583" t="s">
        <v>90</v>
      </c>
      <c r="B21" s="584"/>
      <c r="C21" s="584"/>
      <c r="D21" s="584"/>
      <c r="E21" s="584"/>
      <c r="F21" s="584"/>
      <c r="G21" s="584"/>
      <c r="H21" s="584"/>
      <c r="I21" s="584"/>
      <c r="J21" s="584"/>
      <c r="K21" s="584"/>
      <c r="L21" s="584"/>
    </row>
    <row r="22" spans="1:12" ht="18" customHeight="1">
      <c r="A22" s="585" t="s">
        <v>91</v>
      </c>
      <c r="B22" s="585"/>
      <c r="C22" s="584"/>
      <c r="D22" s="584"/>
      <c r="E22" s="584"/>
      <c r="F22" s="584"/>
      <c r="G22" s="584"/>
      <c r="H22" s="584"/>
      <c r="I22" s="584"/>
      <c r="J22" s="584"/>
      <c r="K22" s="506"/>
      <c r="L22" s="506"/>
    </row>
    <row r="23" spans="1:12" s="103" customFormat="1" ht="18" customHeight="1">
      <c r="A23" s="581" t="s">
        <v>2186</v>
      </c>
      <c r="B23" s="581"/>
      <c r="C23" s="582"/>
      <c r="D23" s="582"/>
      <c r="E23" s="582"/>
      <c r="F23" s="582"/>
      <c r="G23" s="582"/>
      <c r="H23" s="582"/>
      <c r="I23" s="582"/>
      <c r="J23" s="582"/>
      <c r="K23" s="582"/>
      <c r="L23" s="582"/>
    </row>
    <row r="24" spans="1:12" s="103" customFormat="1" ht="24" customHeight="1">
      <c r="A24" s="586" t="s">
        <v>210</v>
      </c>
      <c r="B24" s="587"/>
      <c r="C24" s="587"/>
      <c r="D24" s="587"/>
      <c r="E24" s="588"/>
      <c r="F24" s="632">
        <v>2025</v>
      </c>
      <c r="G24" s="633"/>
      <c r="H24" s="589" t="s">
        <v>158</v>
      </c>
      <c r="I24" s="590"/>
      <c r="J24" s="160"/>
      <c r="K24" s="159" t="s">
        <v>209</v>
      </c>
      <c r="L24" s="160"/>
    </row>
    <row r="25" spans="1:12" ht="18" customHeight="1">
      <c r="A25" s="571" t="s">
        <v>2187</v>
      </c>
      <c r="B25" s="571"/>
      <c r="C25" s="580"/>
      <c r="D25" s="580"/>
      <c r="E25" s="580"/>
      <c r="F25" s="580"/>
      <c r="G25" s="580"/>
      <c r="H25" s="580"/>
      <c r="I25" s="580"/>
      <c r="J25" s="580"/>
      <c r="K25" s="580"/>
      <c r="L25" s="580"/>
    </row>
    <row r="26" spans="1:12" ht="9.95" customHeight="1">
      <c r="A26" s="571"/>
      <c r="B26" s="571"/>
      <c r="C26" s="580"/>
      <c r="D26" s="580"/>
      <c r="E26" s="580"/>
      <c r="F26" s="580"/>
      <c r="G26" s="580"/>
      <c r="H26" s="580"/>
      <c r="I26" s="580"/>
      <c r="J26" s="580"/>
      <c r="K26" s="580"/>
      <c r="L26" s="580"/>
    </row>
    <row r="27" spans="1:12" ht="15" customHeight="1" thickBot="1">
      <c r="A27" s="601" t="s">
        <v>121</v>
      </c>
      <c r="B27" s="601"/>
      <c r="C27" s="602"/>
      <c r="D27" s="602"/>
      <c r="E27" s="602"/>
      <c r="F27" s="602"/>
      <c r="G27" s="602"/>
      <c r="H27" s="602"/>
      <c r="I27" s="602"/>
      <c r="J27" s="602"/>
      <c r="K27" s="602"/>
      <c r="L27" s="602"/>
    </row>
    <row r="28" spans="1:12" ht="24" customHeight="1">
      <c r="A28" s="230" t="s">
        <v>1</v>
      </c>
      <c r="B28" s="549">
        <f>+ZAKL_DATA!B5</f>
        <v>0</v>
      </c>
      <c r="C28" s="550"/>
      <c r="D28" s="550"/>
      <c r="E28" s="551"/>
      <c r="F28" s="231" t="s">
        <v>2408</v>
      </c>
      <c r="G28" s="549">
        <f>+ZAKL_DATA!B6</f>
        <v>0</v>
      </c>
      <c r="H28" s="552"/>
      <c r="I28" s="232" t="s">
        <v>225</v>
      </c>
      <c r="J28" s="553">
        <f>+ZAKL_DATA!B4</f>
        <v>0</v>
      </c>
      <c r="K28" s="554"/>
      <c r="L28" s="555"/>
    </row>
    <row r="29" spans="1:12" ht="24" customHeight="1" thickBot="1">
      <c r="A29" s="233" t="s">
        <v>2409</v>
      </c>
      <c r="B29" s="564">
        <f>+ZAKL_DATA!B7</f>
        <v>0</v>
      </c>
      <c r="C29" s="565"/>
      <c r="D29" s="565"/>
      <c r="E29" s="566"/>
      <c r="F29" s="609" t="s">
        <v>2</v>
      </c>
      <c r="G29" s="610"/>
      <c r="H29" s="341">
        <f>+ZAKL_DATA!B20</f>
        <v>0</v>
      </c>
      <c r="I29" s="234" t="s">
        <v>3</v>
      </c>
      <c r="J29" s="561"/>
      <c r="K29" s="562"/>
      <c r="L29" s="563"/>
    </row>
    <row r="30" spans="1:12" ht="15" customHeight="1" thickBot="1">
      <c r="A30" s="569" t="s">
        <v>176</v>
      </c>
      <c r="B30" s="569"/>
      <c r="C30" s="570"/>
      <c r="D30" s="570"/>
      <c r="E30" s="570"/>
      <c r="F30" s="570"/>
      <c r="G30" s="570"/>
      <c r="H30" s="570"/>
      <c r="I30" s="570"/>
      <c r="J30" s="570"/>
      <c r="K30" s="570"/>
      <c r="L30" s="570"/>
    </row>
    <row r="31" spans="1:12" ht="24" customHeight="1">
      <c r="A31" s="230" t="s">
        <v>4</v>
      </c>
      <c r="B31" s="558">
        <f>+ZAKL_DATA!B18</f>
        <v>0</v>
      </c>
      <c r="C31" s="567"/>
      <c r="D31" s="567"/>
      <c r="E31" s="568"/>
      <c r="F31" s="235" t="s">
        <v>2188</v>
      </c>
      <c r="G31" s="558">
        <f>+ZAKL_DATA!B16</f>
        <v>0</v>
      </c>
      <c r="H31" s="559"/>
      <c r="I31" s="560"/>
      <c r="J31" s="556" t="s">
        <v>5</v>
      </c>
      <c r="K31" s="557"/>
      <c r="L31" s="13">
        <f>+ZAKL_DATA!B17</f>
        <v>0</v>
      </c>
    </row>
    <row r="32" spans="1:12" ht="24" customHeight="1" thickBot="1">
      <c r="A32" s="233" t="s">
        <v>159</v>
      </c>
      <c r="B32" s="576">
        <f>+ZAKL_DATA!B19</f>
        <v>0</v>
      </c>
      <c r="C32" s="566"/>
      <c r="D32" s="574" t="s">
        <v>2406</v>
      </c>
      <c r="E32" s="575"/>
      <c r="F32" s="244">
        <f>+ZAKL_DATA!B25</f>
        <v>0</v>
      </c>
      <c r="G32" s="236" t="s">
        <v>2407</v>
      </c>
      <c r="H32" s="627">
        <f>+ZAKL_DATA!B27</f>
        <v>0</v>
      </c>
      <c r="I32" s="628"/>
      <c r="J32" s="237" t="s">
        <v>160</v>
      </c>
      <c r="K32" s="638">
        <f>+ZAKL_DATA!B20</f>
        <v>0</v>
      </c>
      <c r="L32" s="639"/>
    </row>
    <row r="33" spans="1:12" ht="15" customHeight="1">
      <c r="A33" s="625" t="s">
        <v>2306</v>
      </c>
      <c r="B33" s="626"/>
      <c r="C33" s="626"/>
      <c r="D33" s="626"/>
      <c r="E33" s="626"/>
      <c r="F33" s="626"/>
      <c r="G33" s="626"/>
      <c r="H33" s="626"/>
      <c r="I33" s="626"/>
      <c r="J33" s="626"/>
      <c r="K33" s="605"/>
      <c r="L33" s="605"/>
    </row>
    <row r="34" spans="1:12" ht="15" customHeight="1" thickBot="1">
      <c r="A34" s="623" t="s">
        <v>96</v>
      </c>
      <c r="B34" s="624"/>
      <c r="C34" s="624"/>
      <c r="D34" s="624"/>
      <c r="E34" s="624"/>
      <c r="F34" s="624"/>
      <c r="G34" s="624"/>
      <c r="H34" s="624"/>
      <c r="I34" s="624"/>
      <c r="J34" s="624"/>
      <c r="K34" s="570"/>
      <c r="L34" s="570"/>
    </row>
    <row r="35" spans="1:14" ht="24" customHeight="1" thickBot="1">
      <c r="A35" s="238" t="s">
        <v>161</v>
      </c>
      <c r="B35" s="611"/>
      <c r="C35" s="612"/>
      <c r="D35" s="612"/>
      <c r="E35" s="613"/>
      <c r="F35" s="239" t="s">
        <v>95</v>
      </c>
      <c r="G35" s="629"/>
      <c r="H35" s="630"/>
      <c r="I35" s="240" t="s">
        <v>57</v>
      </c>
      <c r="J35" s="241"/>
      <c r="K35" s="242" t="s">
        <v>162</v>
      </c>
      <c r="L35" s="243"/>
      <c r="M35" s="122"/>
      <c r="N35" s="123"/>
    </row>
    <row r="36" spans="1:12" ht="15" customHeight="1">
      <c r="A36" s="617" t="s">
        <v>2319</v>
      </c>
      <c r="B36" s="618"/>
      <c r="C36" s="618"/>
      <c r="D36" s="618"/>
      <c r="E36" s="618"/>
      <c r="F36" s="618"/>
      <c r="G36" s="618"/>
      <c r="H36" s="618"/>
      <c r="I36" s="618"/>
      <c r="J36" s="618"/>
      <c r="K36" s="506"/>
      <c r="L36" s="506"/>
    </row>
    <row r="37" spans="1:12" ht="15" customHeight="1" thickBot="1">
      <c r="A37" s="619" t="s">
        <v>254</v>
      </c>
      <c r="B37" s="620"/>
      <c r="C37" s="620"/>
      <c r="D37" s="620"/>
      <c r="E37" s="620"/>
      <c r="F37" s="620"/>
      <c r="G37" s="620"/>
      <c r="H37" s="620"/>
      <c r="I37" s="620"/>
      <c r="J37" s="620"/>
      <c r="K37" s="570"/>
      <c r="L37" s="570"/>
    </row>
    <row r="38" spans="1:14" ht="24" customHeight="1">
      <c r="A38" s="11" t="s">
        <v>163</v>
      </c>
      <c r="B38" s="558"/>
      <c r="C38" s="567"/>
      <c r="D38" s="567"/>
      <c r="E38" s="568"/>
      <c r="F38" s="108" t="s">
        <v>2189</v>
      </c>
      <c r="G38" s="614"/>
      <c r="H38" s="615"/>
      <c r="I38" s="616"/>
      <c r="J38" s="621" t="s">
        <v>164</v>
      </c>
      <c r="K38" s="622"/>
      <c r="L38" s="13"/>
      <c r="M38" s="122"/>
      <c r="N38" s="123"/>
    </row>
    <row r="39" spans="1:14" ht="24" customHeight="1" thickBot="1">
      <c r="A39" s="12" t="s">
        <v>165</v>
      </c>
      <c r="B39" s="576"/>
      <c r="C39" s="566"/>
      <c r="D39" s="574" t="s">
        <v>2422</v>
      </c>
      <c r="E39" s="575"/>
      <c r="F39" s="600"/>
      <c r="G39" s="566"/>
      <c r="H39" s="236" t="s">
        <v>2423</v>
      </c>
      <c r="I39" s="597"/>
      <c r="J39" s="598"/>
      <c r="K39" s="598"/>
      <c r="L39" s="599"/>
      <c r="M39" s="122"/>
      <c r="N39" s="123"/>
    </row>
    <row r="40" spans="1:12" ht="12" customHeight="1">
      <c r="A40" s="604"/>
      <c r="B40" s="605"/>
      <c r="C40" s="605"/>
      <c r="D40" s="605"/>
      <c r="E40" s="605"/>
      <c r="F40" s="605"/>
      <c r="G40" s="605"/>
      <c r="H40" s="605"/>
      <c r="I40" s="605"/>
      <c r="J40" s="605"/>
      <c r="K40" s="605"/>
      <c r="L40" s="605"/>
    </row>
    <row r="41" spans="1:12" ht="24" customHeight="1">
      <c r="A41" s="606" t="s">
        <v>97</v>
      </c>
      <c r="B41" s="607"/>
      <c r="C41" s="607"/>
      <c r="D41" s="607"/>
      <c r="E41" s="608"/>
      <c r="F41" s="109"/>
      <c r="G41" s="110"/>
      <c r="H41" s="519" t="s">
        <v>48</v>
      </c>
      <c r="I41" s="520"/>
      <c r="J41" s="521"/>
      <c r="K41" s="517"/>
      <c r="L41" s="518"/>
    </row>
    <row r="42" spans="1:12" ht="12" customHeight="1">
      <c r="A42" s="579"/>
      <c r="B42" s="506"/>
      <c r="C42" s="506"/>
      <c r="D42" s="506"/>
      <c r="E42" s="506"/>
      <c r="F42" s="506"/>
      <c r="G42" s="506"/>
      <c r="H42" s="506"/>
      <c r="I42" s="506"/>
      <c r="J42" s="506"/>
      <c r="K42" s="506"/>
      <c r="L42" s="506"/>
    </row>
    <row r="43" spans="1:12" ht="24" customHeight="1">
      <c r="A43" s="577" t="s">
        <v>2271</v>
      </c>
      <c r="B43" s="578"/>
      <c r="C43" s="578"/>
      <c r="D43" s="578"/>
      <c r="E43" s="117" t="s">
        <v>189</v>
      </c>
      <c r="F43" s="69"/>
      <c r="G43" s="117" t="s">
        <v>122</v>
      </c>
      <c r="H43" s="69" t="s">
        <v>208</v>
      </c>
      <c r="I43" s="603"/>
      <c r="J43" s="506"/>
      <c r="K43" s="506"/>
      <c r="L43" s="506"/>
    </row>
    <row r="44" spans="1:12" ht="9" customHeight="1">
      <c r="A44" s="515"/>
      <c r="B44" s="506"/>
      <c r="C44" s="506"/>
      <c r="D44" s="506"/>
      <c r="E44" s="506"/>
      <c r="F44" s="506"/>
      <c r="G44" s="506"/>
      <c r="H44" s="506"/>
      <c r="I44" s="506"/>
      <c r="J44" s="506"/>
      <c r="K44" s="506"/>
      <c r="L44" s="506"/>
    </row>
    <row r="45" spans="1:12" ht="9" customHeight="1">
      <c r="A45" s="516" t="s">
        <v>2555</v>
      </c>
      <c r="B45" s="516"/>
      <c r="C45" s="506"/>
      <c r="D45" s="506"/>
      <c r="E45" s="506"/>
      <c r="F45" s="506"/>
      <c r="G45" s="506"/>
      <c r="H45" s="506"/>
      <c r="I45" s="506"/>
      <c r="J45" s="506"/>
      <c r="K45" s="506"/>
      <c r="L45" s="506"/>
    </row>
    <row r="46" spans="1:12" ht="10.5" customHeight="1">
      <c r="A46" s="513" t="s">
        <v>198</v>
      </c>
      <c r="B46" s="514"/>
      <c r="C46" s="514"/>
      <c r="D46" s="514"/>
      <c r="E46" s="514"/>
      <c r="F46" s="514"/>
      <c r="G46" s="514"/>
      <c r="H46" s="514"/>
      <c r="I46" s="514"/>
      <c r="J46" s="514"/>
      <c r="K46" s="514"/>
      <c r="L46" s="514"/>
    </row>
    <row r="47" spans="1:12" ht="10.5" customHeight="1">
      <c r="A47" s="513">
        <f>+ZAKL_DATA!A44</f>
        <v>0</v>
      </c>
      <c r="B47" s="514"/>
      <c r="C47" s="514"/>
      <c r="D47" s="514"/>
      <c r="E47" s="514"/>
      <c r="F47" s="514"/>
      <c r="G47" s="514"/>
      <c r="H47" s="514"/>
      <c r="I47" s="514"/>
      <c r="J47" s="514"/>
      <c r="K47" s="514"/>
      <c r="L47" s="514"/>
    </row>
    <row r="48" spans="1:12" ht="10.5" customHeight="1">
      <c r="A48" s="571">
        <v>1</v>
      </c>
      <c r="B48" s="506"/>
      <c r="C48" s="506"/>
      <c r="D48" s="506"/>
      <c r="E48" s="506"/>
      <c r="F48" s="506"/>
      <c r="G48" s="506"/>
      <c r="H48" s="506"/>
      <c r="I48" s="506"/>
      <c r="J48" s="506"/>
      <c r="K48" s="506"/>
      <c r="L48" s="506"/>
    </row>
    <row r="49" spans="1:7" ht="11.25" customHeight="1">
      <c r="A49" s="4"/>
      <c r="B49" s="4"/>
      <c r="E49" s="3"/>
      <c r="F49" s="3"/>
      <c r="G49" s="3"/>
    </row>
    <row r="50" spans="1:12" ht="12.75">
      <c r="A50" s="2"/>
      <c r="B50" s="2"/>
      <c r="C50" s="2"/>
      <c r="D50" s="2"/>
      <c r="H50" s="5"/>
      <c r="I50" s="2"/>
      <c r="K50" s="2"/>
      <c r="L50" s="2"/>
    </row>
    <row r="51" spans="1:12" ht="12.95" customHeight="1">
      <c r="A51" s="2"/>
      <c r="B51" s="2"/>
      <c r="C51" s="2"/>
      <c r="D51" s="2"/>
      <c r="H51" s="2"/>
      <c r="I51" s="2"/>
      <c r="K51" s="2"/>
      <c r="L51" s="2"/>
    </row>
    <row r="52" spans="1:12" ht="12.95" customHeight="1">
      <c r="A52" s="2"/>
      <c r="B52" s="2"/>
      <c r="C52" s="2"/>
      <c r="D52" s="2"/>
      <c r="H52" s="2"/>
      <c r="I52" s="2"/>
      <c r="K52" s="2"/>
      <c r="L52" s="2"/>
    </row>
    <row r="53" spans="1:12" ht="12.95" customHeight="1">
      <c r="A53" s="2"/>
      <c r="B53" s="2"/>
      <c r="C53" s="2"/>
      <c r="D53" s="2"/>
      <c r="H53" s="2"/>
      <c r="I53" s="2"/>
      <c r="K53" s="2"/>
      <c r="L53" s="2"/>
    </row>
    <row r="54" spans="1:12" ht="12.95" customHeight="1">
      <c r="A54" s="2"/>
      <c r="B54" s="2"/>
      <c r="C54" s="2"/>
      <c r="D54" s="2"/>
      <c r="H54" s="2"/>
      <c r="I54" s="2"/>
      <c r="K54" s="2"/>
      <c r="L54" s="2"/>
    </row>
    <row r="55" spans="1:12" ht="12.95" customHeight="1" hidden="1">
      <c r="A55" s="2" t="s">
        <v>79</v>
      </c>
      <c r="B55" s="2"/>
      <c r="C55" s="2"/>
      <c r="D55" s="2"/>
      <c r="H55" s="2"/>
      <c r="I55" s="2"/>
      <c r="K55" s="2"/>
      <c r="L55" s="2"/>
    </row>
    <row r="56" spans="1:12" ht="12.95" customHeight="1" hidden="1">
      <c r="A56" s="2" t="s">
        <v>80</v>
      </c>
      <c r="B56" s="2"/>
      <c r="C56" s="2"/>
      <c r="D56" s="2"/>
      <c r="H56" s="2"/>
      <c r="I56" s="2"/>
      <c r="K56" s="2"/>
      <c r="L56" s="2"/>
    </row>
    <row r="57" spans="1:12" ht="12.95" customHeight="1">
      <c r="A57" s="2"/>
      <c r="B57" s="2"/>
      <c r="C57" s="2"/>
      <c r="D57" s="2"/>
      <c r="H57" s="2"/>
      <c r="I57" s="2"/>
      <c r="K57" s="2"/>
      <c r="L57" s="2"/>
    </row>
    <row r="58" spans="1:12" ht="12.95" customHeight="1">
      <c r="A58" s="2"/>
      <c r="B58" s="2"/>
      <c r="C58" s="2"/>
      <c r="D58" s="2"/>
      <c r="H58" s="2"/>
      <c r="I58" s="2"/>
      <c r="K58" s="2"/>
      <c r="L58" s="2"/>
    </row>
    <row r="59" spans="1:12" ht="12.95" customHeight="1">
      <c r="A59" s="2"/>
      <c r="B59" s="2"/>
      <c r="C59" s="2"/>
      <c r="D59" s="2"/>
      <c r="H59" s="2"/>
      <c r="I59" s="2"/>
      <c r="K59" s="2"/>
      <c r="L59" s="2"/>
    </row>
    <row r="60" spans="5:8" ht="12.95" customHeight="1">
      <c r="E60" s="3"/>
      <c r="F60" s="3"/>
      <c r="G60" s="4"/>
      <c r="H60" s="2"/>
    </row>
    <row r="61" spans="5:7" ht="12.75">
      <c r="E61" s="3"/>
      <c r="F61" s="3"/>
      <c r="G61" s="3"/>
    </row>
    <row r="62" spans="5:7" ht="12.75">
      <c r="E62" s="3"/>
      <c r="F62" s="3"/>
      <c r="G62" s="3"/>
    </row>
    <row r="63" spans="5:7" ht="12.75">
      <c r="E63" s="3"/>
      <c r="F63" s="3"/>
      <c r="G63" s="3"/>
    </row>
    <row r="64" spans="5:7" ht="12.75">
      <c r="E64" s="3"/>
      <c r="F64" s="3"/>
      <c r="G64" s="3"/>
    </row>
    <row r="65" spans="5:7" ht="12.75">
      <c r="E65" s="3"/>
      <c r="F65" s="3"/>
      <c r="G65" s="3"/>
    </row>
    <row r="66" spans="5:7" ht="12.75">
      <c r="E66" s="3"/>
      <c r="F66" s="3"/>
      <c r="G66" s="3"/>
    </row>
    <row r="67" spans="5:7" ht="12.75">
      <c r="E67" s="3"/>
      <c r="F67" s="3"/>
      <c r="G67" s="3"/>
    </row>
    <row r="68" spans="5:6" ht="12.75">
      <c r="E68" s="3"/>
      <c r="F68" s="3"/>
    </row>
    <row r="69" spans="5:6" ht="12.75">
      <c r="E69" s="3"/>
      <c r="F69" s="3"/>
    </row>
    <row r="70" spans="5:6" ht="12.75">
      <c r="E70" s="3"/>
      <c r="F70" s="3"/>
    </row>
    <row r="71" spans="5:6" ht="12.75">
      <c r="E71" s="3"/>
      <c r="F71" s="3"/>
    </row>
    <row r="72" spans="5:6" ht="12.75">
      <c r="E72" s="3"/>
      <c r="F72" s="3"/>
    </row>
    <row r="204" spans="1:1" ht="12.75">
      <c r="A204" s="99">
        <v>1</v>
      </c>
    </row>
  </sheetData>
  <sheetProtection algorithmName="SHA-512" hashValue="KRRdudHM8TDcmEkr4b44QBMbal9bbeND0/CeEIkUSZKyDExPcA71Mew42u5h5jElVNdV5i/rDS+znfeKnUf5Qw==" saltValue="1PgNnF+1N5bcwQE2PNl4/g==" spinCount="100000"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2" max="2" width="10.2857142857143" customWidth="1"/>
    <col min="3" max="3" width="9.71428571428571" customWidth="1"/>
    <col min="4" max="4" width="23.2857142857143" customWidth="1"/>
    <col min="5" max="10" width="8.71428571428571" customWidth="1"/>
    <col min="11" max="11" width="9.14285714285714" style="73"/>
    <col min="12" max="12" width="41.7142857142857" style="73" customWidth="1"/>
    <col min="13" max="18" width="14.7142857142857" style="73" customWidth="1"/>
    <col min="19" max="58" width="9.14285714285714" style="73"/>
  </cols>
  <sheetData>
    <row r="1" spans="1:10" ht="12.75">
      <c r="A1" s="571" t="s">
        <v>171</v>
      </c>
      <c r="B1" s="580"/>
      <c r="C1" s="580"/>
      <c r="D1" s="580"/>
      <c r="E1" s="580"/>
      <c r="F1" s="580"/>
      <c r="G1" s="506"/>
      <c r="H1" s="506"/>
      <c r="I1" s="506"/>
      <c r="J1" s="506"/>
    </row>
    <row r="2" spans="1:10" ht="13.5" thickBot="1">
      <c r="A2" s="727" t="s">
        <v>2190</v>
      </c>
      <c r="B2" s="728"/>
      <c r="C2" s="728"/>
      <c r="D2" s="728"/>
      <c r="E2" s="728"/>
      <c r="F2" s="728"/>
      <c r="G2" s="729"/>
      <c r="H2" s="729"/>
      <c r="I2" s="729"/>
      <c r="J2" s="729"/>
    </row>
    <row r="3" spans="1:18" ht="12" customHeight="1">
      <c r="A3" s="733"/>
      <c r="B3" s="734"/>
      <c r="C3" s="734"/>
      <c r="D3" s="735"/>
      <c r="E3" s="736" t="s">
        <v>130</v>
      </c>
      <c r="F3" s="736"/>
      <c r="G3" s="736"/>
      <c r="H3" s="736" t="s">
        <v>138</v>
      </c>
      <c r="I3" s="736"/>
      <c r="J3" s="737"/>
      <c r="L3" s="395" t="s">
        <v>2374</v>
      </c>
      <c r="M3" s="396" t="s">
        <v>2375</v>
      </c>
      <c r="N3" s="397" t="s">
        <v>2376</v>
      </c>
      <c r="O3" s="398" t="s">
        <v>2377</v>
      </c>
      <c r="P3" s="398" t="s">
        <v>2378</v>
      </c>
      <c r="Q3" s="398" t="s">
        <v>2379</v>
      </c>
      <c r="R3" s="399" t="s">
        <v>2380</v>
      </c>
    </row>
    <row r="4" spans="1:18" ht="15.95" customHeight="1">
      <c r="A4" s="17">
        <v>31</v>
      </c>
      <c r="B4" s="677" t="s">
        <v>169</v>
      </c>
      <c r="C4" s="684"/>
      <c r="D4" s="685"/>
      <c r="E4" s="711">
        <f>+M4</f>
        <v>0</v>
      </c>
      <c r="F4" s="712"/>
      <c r="G4" s="674"/>
      <c r="H4" s="707"/>
      <c r="I4" s="708"/>
      <c r="J4" s="709"/>
      <c r="L4" s="400" t="s">
        <v>2381</v>
      </c>
      <c r="M4" s="401">
        <f>+ROUND(SUM(N4:R4)+0.49,0)</f>
        <v>0</v>
      </c>
      <c r="N4" s="402">
        <v>0</v>
      </c>
      <c r="O4" s="403">
        <v>0</v>
      </c>
      <c r="P4" s="403">
        <v>0</v>
      </c>
      <c r="Q4" s="403">
        <v>0</v>
      </c>
      <c r="R4" s="404">
        <v>0</v>
      </c>
    </row>
    <row r="5" spans="1:18" ht="15.95" customHeight="1">
      <c r="A5" s="17">
        <v>32</v>
      </c>
      <c r="B5" s="677" t="s">
        <v>143</v>
      </c>
      <c r="C5" s="684"/>
      <c r="D5" s="685"/>
      <c r="E5" s="703"/>
      <c r="F5" s="704"/>
      <c r="G5" s="705"/>
      <c r="H5" s="707"/>
      <c r="I5" s="708"/>
      <c r="J5" s="709"/>
      <c r="L5" s="400" t="s">
        <v>2382</v>
      </c>
      <c r="M5" s="401">
        <f>+ROUND(SUM(N5:R5)+0.49,0)</f>
        <v>0</v>
      </c>
      <c r="N5" s="402">
        <v>0</v>
      </c>
      <c r="O5" s="403">
        <v>0</v>
      </c>
      <c r="P5" s="403">
        <v>0</v>
      </c>
      <c r="Q5" s="403">
        <v>0</v>
      </c>
      <c r="R5" s="404">
        <v>0</v>
      </c>
    </row>
    <row r="6" spans="1:18" ht="15.95" customHeight="1">
      <c r="A6" s="17">
        <v>33</v>
      </c>
      <c r="B6" s="677" t="s">
        <v>58</v>
      </c>
      <c r="C6" s="678"/>
      <c r="D6" s="679"/>
      <c r="E6" s="711">
        <v>0</v>
      </c>
      <c r="F6" s="712"/>
      <c r="G6" s="674"/>
      <c r="H6" s="707"/>
      <c r="I6" s="708"/>
      <c r="J6" s="709"/>
      <c r="L6" s="400" t="s">
        <v>2383</v>
      </c>
      <c r="M6" s="401">
        <f>+ROUND(SUM(N6:R6)+0.49,0)</f>
        <v>0</v>
      </c>
      <c r="N6" s="402">
        <v>0</v>
      </c>
      <c r="O6" s="403">
        <v>0</v>
      </c>
      <c r="P6" s="403">
        <v>0</v>
      </c>
      <c r="Q6" s="403">
        <v>0</v>
      </c>
      <c r="R6" s="404">
        <v>0</v>
      </c>
    </row>
    <row r="7" spans="1:18" ht="15.95" customHeight="1" thickBot="1">
      <c r="A7" s="17">
        <v>34</v>
      </c>
      <c r="B7" s="677" t="s">
        <v>2424</v>
      </c>
      <c r="C7" s="684"/>
      <c r="D7" s="685"/>
      <c r="E7" s="703">
        <f>+E4-E6</f>
        <v>0</v>
      </c>
      <c r="F7" s="704"/>
      <c r="G7" s="705"/>
      <c r="H7" s="707"/>
      <c r="I7" s="708"/>
      <c r="J7" s="709"/>
      <c r="L7" s="405" t="s">
        <v>2384</v>
      </c>
      <c r="M7" s="406">
        <f>+ROUND(SUM(N7:R7)+0.49,0)</f>
        <v>0</v>
      </c>
      <c r="N7" s="407">
        <v>0</v>
      </c>
      <c r="O7" s="408">
        <v>0</v>
      </c>
      <c r="P7" s="408">
        <v>0</v>
      </c>
      <c r="Q7" s="408">
        <v>0</v>
      </c>
      <c r="R7" s="409">
        <v>0</v>
      </c>
    </row>
    <row r="8" spans="1:10" ht="15.95" customHeight="1" thickBot="1">
      <c r="A8" s="16">
        <v>35</v>
      </c>
      <c r="B8" s="716" t="s">
        <v>2425</v>
      </c>
      <c r="C8" s="717"/>
      <c r="D8" s="718"/>
      <c r="E8" s="738">
        <v>0</v>
      </c>
      <c r="F8" s="739"/>
      <c r="G8" s="676"/>
      <c r="H8" s="721"/>
      <c r="I8" s="722"/>
      <c r="J8" s="723"/>
    </row>
    <row r="9" spans="1:10" ht="12.75" customHeight="1" thickBot="1">
      <c r="A9" s="727" t="s">
        <v>49</v>
      </c>
      <c r="B9" s="728"/>
      <c r="C9" s="728"/>
      <c r="D9" s="728"/>
      <c r="E9" s="728"/>
      <c r="F9" s="728"/>
      <c r="G9" s="729"/>
      <c r="H9" s="729"/>
      <c r="I9" s="729"/>
      <c r="J9" s="729"/>
    </row>
    <row r="10" spans="1:10" ht="15.95" customHeight="1">
      <c r="A10" s="113">
        <v>36</v>
      </c>
      <c r="B10" s="730" t="s">
        <v>50</v>
      </c>
      <c r="C10" s="731"/>
      <c r="D10" s="732"/>
      <c r="E10" s="713">
        <f>+E7</f>
        <v>0</v>
      </c>
      <c r="F10" s="714"/>
      <c r="G10" s="715"/>
      <c r="H10" s="724"/>
      <c r="I10" s="725"/>
      <c r="J10" s="726"/>
    </row>
    <row r="11" spans="1:10" ht="24" customHeight="1">
      <c r="A11" s="17">
        <v>37</v>
      </c>
      <c r="B11" s="677" t="s">
        <v>2320</v>
      </c>
      <c r="C11" s="684"/>
      <c r="D11" s="685"/>
      <c r="E11" s="703">
        <f>+'1Př1'!F23</f>
        <v>0</v>
      </c>
      <c r="F11" s="704"/>
      <c r="G11" s="705"/>
      <c r="H11" s="707"/>
      <c r="I11" s="708"/>
      <c r="J11" s="709"/>
    </row>
    <row r="12" spans="1:10" ht="15.95" customHeight="1">
      <c r="A12" s="17">
        <v>38</v>
      </c>
      <c r="B12" s="677" t="s">
        <v>188</v>
      </c>
      <c r="C12" s="678"/>
      <c r="D12" s="679"/>
      <c r="E12" s="711">
        <f>+ZAV!C32</f>
        <v>0</v>
      </c>
      <c r="F12" s="712"/>
      <c r="G12" s="674"/>
      <c r="H12" s="707"/>
      <c r="I12" s="708"/>
      <c r="J12" s="709"/>
    </row>
    <row r="13" spans="1:10" ht="24" customHeight="1">
      <c r="A13" s="17">
        <v>39</v>
      </c>
      <c r="B13" s="677" t="s">
        <v>2191</v>
      </c>
      <c r="C13" s="684"/>
      <c r="D13" s="685"/>
      <c r="E13" s="703">
        <f>+'2Př'!G16</f>
        <v>0</v>
      </c>
      <c r="F13" s="704"/>
      <c r="G13" s="705"/>
      <c r="H13" s="707"/>
      <c r="I13" s="708"/>
      <c r="J13" s="709"/>
    </row>
    <row r="14" spans="1:10" ht="24" customHeight="1">
      <c r="A14" s="17">
        <v>40</v>
      </c>
      <c r="B14" s="677" t="s">
        <v>172</v>
      </c>
      <c r="C14" s="678"/>
      <c r="D14" s="679"/>
      <c r="E14" s="703">
        <f>+'2Př'!G35</f>
        <v>0</v>
      </c>
      <c r="F14" s="704"/>
      <c r="G14" s="705"/>
      <c r="H14" s="707"/>
      <c r="I14" s="708"/>
      <c r="J14" s="709"/>
    </row>
    <row r="15" spans="1:10" ht="15.95" customHeight="1">
      <c r="A15" s="17">
        <v>41</v>
      </c>
      <c r="B15" s="677" t="s">
        <v>104</v>
      </c>
      <c r="C15" s="684"/>
      <c r="D15" s="685"/>
      <c r="E15" s="703">
        <f>SUM(E11:E14)</f>
        <v>0</v>
      </c>
      <c r="F15" s="704"/>
      <c r="G15" s="705"/>
      <c r="H15" s="707"/>
      <c r="I15" s="708"/>
      <c r="J15" s="709"/>
    </row>
    <row r="16" spans="1:10" ht="15.95" customHeight="1">
      <c r="A16" s="17">
        <v>42</v>
      </c>
      <c r="B16" s="680" t="s">
        <v>2426</v>
      </c>
      <c r="C16" s="539"/>
      <c r="D16" s="681"/>
      <c r="E16" s="700">
        <f>+E10+MAX(0,E15)</f>
        <v>0</v>
      </c>
      <c r="F16" s="701"/>
      <c r="G16" s="702"/>
      <c r="H16" s="707"/>
      <c r="I16" s="708"/>
      <c r="J16" s="709"/>
    </row>
    <row r="17" spans="1:10" ht="15.95" customHeight="1">
      <c r="A17" s="74">
        <v>43</v>
      </c>
      <c r="B17" s="677" t="s">
        <v>143</v>
      </c>
      <c r="C17" s="684"/>
      <c r="D17" s="685"/>
      <c r="E17" s="703"/>
      <c r="F17" s="704"/>
      <c r="G17" s="705"/>
      <c r="H17" s="707"/>
      <c r="I17" s="708"/>
      <c r="J17" s="709"/>
    </row>
    <row r="18" spans="1:10" ht="24" customHeight="1">
      <c r="A18" s="17">
        <v>44</v>
      </c>
      <c r="B18" s="677" t="s">
        <v>2427</v>
      </c>
      <c r="C18" s="678"/>
      <c r="D18" s="679"/>
      <c r="E18" s="711">
        <f>+'6Př'!E20</f>
        <v>0</v>
      </c>
      <c r="F18" s="712"/>
      <c r="G18" s="674"/>
      <c r="H18" s="707"/>
      <c r="I18" s="708"/>
      <c r="J18" s="709"/>
    </row>
    <row r="19" spans="1:10" ht="15.95" customHeight="1" thickBot="1">
      <c r="A19" s="16">
        <v>45</v>
      </c>
      <c r="B19" s="716" t="s">
        <v>2192</v>
      </c>
      <c r="C19" s="717"/>
      <c r="D19" s="718"/>
      <c r="E19" s="697">
        <f>+E16-E18</f>
        <v>0</v>
      </c>
      <c r="F19" s="698"/>
      <c r="G19" s="699"/>
      <c r="H19" s="721"/>
      <c r="I19" s="722"/>
      <c r="J19" s="723"/>
    </row>
    <row r="20" spans="1:10" ht="15" customHeight="1" thickBot="1">
      <c r="A20" s="710" t="s">
        <v>47</v>
      </c>
      <c r="B20" s="584"/>
      <c r="C20" s="584"/>
      <c r="D20" s="584"/>
      <c r="E20" s="584"/>
      <c r="F20" s="584"/>
      <c r="G20" s="584"/>
      <c r="H20" s="584"/>
      <c r="I20" s="584"/>
      <c r="J20" s="584"/>
    </row>
    <row r="21" spans="1:10" ht="22.5" customHeight="1">
      <c r="A21" s="669"/>
      <c r="B21" s="670"/>
      <c r="C21" s="670"/>
      <c r="D21" s="671"/>
      <c r="E21" s="114" t="s">
        <v>187</v>
      </c>
      <c r="F21" s="719"/>
      <c r="G21" s="647"/>
      <c r="H21" s="114" t="s">
        <v>187</v>
      </c>
      <c r="I21" s="719"/>
      <c r="J21" s="720"/>
    </row>
    <row r="22" spans="1:12" ht="15.95" customHeight="1">
      <c r="A22" s="40">
        <v>46</v>
      </c>
      <c r="B22" s="672" t="s">
        <v>2519</v>
      </c>
      <c r="C22" s="672"/>
      <c r="D22" s="672"/>
      <c r="E22" s="138"/>
      <c r="F22" s="664">
        <v>0</v>
      </c>
      <c r="G22" s="674"/>
      <c r="H22" s="125"/>
      <c r="I22" s="651"/>
      <c r="J22" s="696"/>
      <c r="L22" s="73" t="str">
        <f>+IF(OR(AND(AND(0&lt;F22,F22&lt;E16*0.02),AND(0&lt;F22,F22&lt;1000)),F22&gt;E16*0.3),"CHYBA"," ")</f>
        <v xml:space="preserve"> </v>
      </c>
    </row>
    <row r="23" spans="1:12" ht="15.95" customHeight="1">
      <c r="A23" s="40">
        <v>47</v>
      </c>
      <c r="B23" s="672" t="s">
        <v>2520</v>
      </c>
      <c r="C23" s="672"/>
      <c r="D23" s="673"/>
      <c r="E23" s="89">
        <v>0</v>
      </c>
      <c r="F23" s="664">
        <v>0</v>
      </c>
      <c r="G23" s="674"/>
      <c r="H23" s="125"/>
      <c r="I23" s="651"/>
      <c r="J23" s="706"/>
      <c r="L23" s="73" t="str">
        <f>IF(E23=0," ",IF(+F23/E23&gt;25000,"CHYBA"," "))</f>
        <v xml:space="preserve"> </v>
      </c>
    </row>
    <row r="24" spans="1:12" ht="24" customHeight="1">
      <c r="A24" s="40">
        <v>48</v>
      </c>
      <c r="B24" s="653" t="s">
        <v>2521</v>
      </c>
      <c r="C24" s="653"/>
      <c r="D24" s="654"/>
      <c r="E24" s="138"/>
      <c r="F24" s="664">
        <v>0</v>
      </c>
      <c r="G24" s="674"/>
      <c r="H24" s="125"/>
      <c r="I24" s="651"/>
      <c r="J24" s="706"/>
      <c r="L24" s="73" t="str">
        <f>+IF(AND(F24&gt;0,SUM(F$24:F$27)&gt;48000),"CHYBA"," ")</f>
        <v xml:space="preserve"> </v>
      </c>
    </row>
    <row r="25" spans="1:12" ht="15.95" customHeight="1">
      <c r="A25" s="40">
        <v>49</v>
      </c>
      <c r="B25" s="672" t="s">
        <v>2522</v>
      </c>
      <c r="C25" s="672"/>
      <c r="D25" s="672"/>
      <c r="E25" s="138"/>
      <c r="F25" s="664">
        <v>0</v>
      </c>
      <c r="G25" s="674"/>
      <c r="H25" s="125"/>
      <c r="I25" s="651"/>
      <c r="J25" s="706"/>
      <c r="L25" s="73" t="str">
        <f>+IF(AND(F25&gt;0,SUM(F$24:F$27)&gt;48000),"CHYBA"," ")</f>
        <v xml:space="preserve"> </v>
      </c>
    </row>
    <row r="26" spans="1:12" ht="15.95" customHeight="1">
      <c r="A26" s="40">
        <v>50</v>
      </c>
      <c r="B26" s="672" t="s">
        <v>2523</v>
      </c>
      <c r="C26" s="672"/>
      <c r="D26" s="672"/>
      <c r="E26" s="138"/>
      <c r="F26" s="664">
        <v>0</v>
      </c>
      <c r="G26" s="674"/>
      <c r="H26" s="125"/>
      <c r="I26" s="651"/>
      <c r="J26" s="706"/>
      <c r="L26" s="73" t="str">
        <f>+IF(AND(F26&gt;0,SUM(F$24:F$27)&gt;48000),"CHYBA"," ")</f>
        <v xml:space="preserve"> </v>
      </c>
    </row>
    <row r="27" spans="1:12" ht="15.95" customHeight="1">
      <c r="A27" s="40">
        <v>51</v>
      </c>
      <c r="B27" s="653" t="s">
        <v>2524</v>
      </c>
      <c r="C27" s="653"/>
      <c r="D27" s="653"/>
      <c r="E27" s="138"/>
      <c r="F27" s="664">
        <v>0</v>
      </c>
      <c r="G27" s="674"/>
      <c r="H27" s="125"/>
      <c r="I27" s="651"/>
      <c r="J27" s="706"/>
      <c r="L27" s="73" t="str">
        <f>+IF(AND(F27&gt;0,SUM(F$24:F$27)&gt;48000),"CHYBA"," ")</f>
        <v xml:space="preserve"> </v>
      </c>
    </row>
    <row r="28" spans="1:10" ht="15.95" customHeight="1">
      <c r="A28" s="40">
        <v>52</v>
      </c>
      <c r="B28" s="672" t="s">
        <v>2307</v>
      </c>
      <c r="C28" s="672"/>
      <c r="D28" s="672"/>
      <c r="E28" s="138"/>
      <c r="F28" s="664">
        <v>0</v>
      </c>
      <c r="G28" s="674"/>
      <c r="H28" s="125"/>
      <c r="I28" s="651"/>
      <c r="J28" s="706"/>
    </row>
    <row r="29" spans="1:10" ht="15.95" customHeight="1" thickBot="1">
      <c r="A29" s="41">
        <v>53</v>
      </c>
      <c r="B29" s="672" t="s">
        <v>2308</v>
      </c>
      <c r="C29" s="672"/>
      <c r="D29" s="672"/>
      <c r="E29" s="138"/>
      <c r="F29" s="675">
        <v>0</v>
      </c>
      <c r="G29" s="676"/>
      <c r="H29" s="125"/>
      <c r="I29" s="651"/>
      <c r="J29" s="706"/>
    </row>
    <row r="30" spans="1:10" ht="6" customHeight="1" thickBot="1">
      <c r="A30" s="682"/>
      <c r="B30" s="683"/>
      <c r="C30" s="683"/>
      <c r="D30" s="683"/>
      <c r="E30" s="683"/>
      <c r="F30" s="683"/>
      <c r="G30" s="683"/>
      <c r="H30" s="683"/>
      <c r="I30" s="683"/>
      <c r="J30" s="683"/>
    </row>
    <row r="31" spans="1:10 59:61" ht="24" customHeight="1">
      <c r="A31" s="115">
        <v>54</v>
      </c>
      <c r="B31" s="644" t="s">
        <v>2428</v>
      </c>
      <c r="C31" s="644"/>
      <c r="D31" s="644"/>
      <c r="E31" s="645"/>
      <c r="F31" s="686">
        <f>+SUM('DAP2'!F22:G29)</f>
        <v>0</v>
      </c>
      <c r="G31" s="647"/>
      <c r="H31" s="648"/>
      <c r="I31" s="649"/>
      <c r="J31" s="650"/>
      <c r="BG31" s="73"/>
      <c r="BH31" s="73"/>
      <c r="BI31" s="73"/>
    </row>
    <row r="32" spans="1:10 59:61" ht="24" customHeight="1">
      <c r="A32" s="42">
        <v>55</v>
      </c>
      <c r="B32" s="653" t="s">
        <v>2193</v>
      </c>
      <c r="C32" s="684"/>
      <c r="D32" s="684"/>
      <c r="E32" s="685"/>
      <c r="F32" s="687">
        <f>MAX(+'DAP2'!E19-'DAP2'!F31,0)</f>
        <v>0</v>
      </c>
      <c r="G32" s="665"/>
      <c r="H32" s="651"/>
      <c r="I32" s="539"/>
      <c r="J32" s="652"/>
      <c r="BG32" s="73"/>
      <c r="BH32" s="73"/>
      <c r="BI32" s="73"/>
    </row>
    <row r="33" spans="1:10 59:61" ht="15" customHeight="1">
      <c r="A33" s="40">
        <v>56</v>
      </c>
      <c r="B33" s="672" t="s">
        <v>2290</v>
      </c>
      <c r="C33" s="672"/>
      <c r="D33" s="672"/>
      <c r="E33" s="673"/>
      <c r="F33" s="687">
        <f>+FLOOR(F32,100)</f>
        <v>0</v>
      </c>
      <c r="G33" s="688"/>
      <c r="H33" s="651"/>
      <c r="I33" s="539"/>
      <c r="J33" s="652"/>
      <c r="BG33" s="73"/>
      <c r="BH33" s="73"/>
      <c r="BI33" s="73"/>
    </row>
    <row r="34" spans="1:10 59:61" ht="15" customHeight="1" thickBot="1">
      <c r="A34" s="41">
        <v>57</v>
      </c>
      <c r="B34" s="691" t="s">
        <v>105</v>
      </c>
      <c r="C34" s="691"/>
      <c r="D34" s="691"/>
      <c r="E34" s="692"/>
      <c r="F34" s="666">
        <f>+F33*0.15+MAX(F33-1676052,0)*0.08</f>
        <v>0</v>
      </c>
      <c r="G34" s="693"/>
      <c r="H34" s="640"/>
      <c r="I34" s="610"/>
      <c r="J34" s="641"/>
      <c r="BG34" s="73"/>
      <c r="BH34" s="73"/>
      <c r="BI34" s="73"/>
    </row>
    <row r="35" spans="1:10" ht="15" customHeight="1" thickBot="1">
      <c r="A35" s="655" t="s">
        <v>239</v>
      </c>
      <c r="B35" s="656"/>
      <c r="C35" s="656"/>
      <c r="D35" s="656"/>
      <c r="E35" s="657"/>
      <c r="F35" s="657"/>
      <c r="G35" s="605"/>
      <c r="H35" s="605"/>
      <c r="I35" s="605"/>
      <c r="J35" s="605"/>
    </row>
    <row r="36" spans="1:10 59:61" ht="24" customHeight="1">
      <c r="A36" s="115">
        <v>58</v>
      </c>
      <c r="B36" s="644" t="s">
        <v>2194</v>
      </c>
      <c r="C36" s="644"/>
      <c r="D36" s="644"/>
      <c r="E36" s="645"/>
      <c r="F36" s="660">
        <f>+IF(OR(+'3Př'!F27+'3Př'!F30&gt;0),'3Př'!F30,F34)</f>
        <v>0</v>
      </c>
      <c r="G36" s="661"/>
      <c r="H36" s="648"/>
      <c r="I36" s="649"/>
      <c r="J36" s="650"/>
      <c r="BG36" s="73"/>
      <c r="BH36" s="73"/>
      <c r="BI36" s="73"/>
    </row>
    <row r="37" spans="1:10 59:61" ht="15.95" customHeight="1">
      <c r="A37" s="40">
        <v>59</v>
      </c>
      <c r="B37" s="689" t="s">
        <v>143</v>
      </c>
      <c r="C37" s="689"/>
      <c r="D37" s="689"/>
      <c r="E37" s="690"/>
      <c r="F37" s="662"/>
      <c r="G37" s="663"/>
      <c r="H37" s="651"/>
      <c r="I37" s="539"/>
      <c r="J37" s="652"/>
      <c r="BG37" s="73"/>
      <c r="BH37" s="73"/>
      <c r="BI37" s="73"/>
    </row>
    <row r="38" spans="1:10 59:61" ht="15" customHeight="1">
      <c r="A38" s="40">
        <v>60</v>
      </c>
      <c r="B38" s="653" t="s">
        <v>2429</v>
      </c>
      <c r="C38" s="653"/>
      <c r="D38" s="653"/>
      <c r="E38" s="654"/>
      <c r="F38" s="664">
        <f>+IF(F34=F36,CEILING(F36,1),CEILING(F36,1))</f>
        <v>0</v>
      </c>
      <c r="G38" s="665"/>
      <c r="H38" s="651"/>
      <c r="I38" s="539"/>
      <c r="J38" s="652"/>
      <c r="BG38" s="73"/>
      <c r="BH38" s="73"/>
      <c r="BI38" s="73"/>
    </row>
    <row r="39" spans="1:10 59:61" ht="24" customHeight="1" thickBot="1">
      <c r="A39" s="431">
        <v>61</v>
      </c>
      <c r="B39" s="658" t="s">
        <v>51</v>
      </c>
      <c r="C39" s="658"/>
      <c r="D39" s="658"/>
      <c r="E39" s="659"/>
      <c r="F39" s="666">
        <f>IF('DAP2'!E15&lt;0,-'DAP2'!E15,0)</f>
        <v>0</v>
      </c>
      <c r="G39" s="667"/>
      <c r="H39" s="640"/>
      <c r="I39" s="610"/>
      <c r="J39" s="641"/>
      <c r="BG39" s="73"/>
      <c r="BH39" s="73"/>
      <c r="BI39" s="73"/>
    </row>
    <row r="40" spans="1:10" ht="15" customHeight="1" thickBot="1">
      <c r="A40" s="642" t="s">
        <v>255</v>
      </c>
      <c r="B40" s="643"/>
      <c r="C40" s="643"/>
      <c r="D40" s="643"/>
      <c r="E40" s="643"/>
      <c r="F40" s="643"/>
      <c r="G40" s="605"/>
      <c r="H40" s="605"/>
      <c r="I40" s="605"/>
      <c r="J40" s="605"/>
    </row>
    <row r="41" spans="1:10" ht="15.95" customHeight="1">
      <c r="A41" s="115">
        <v>62</v>
      </c>
      <c r="B41" s="644" t="s">
        <v>173</v>
      </c>
      <c r="C41" s="644"/>
      <c r="D41" s="644"/>
      <c r="E41" s="645"/>
      <c r="F41" s="646">
        <v>0</v>
      </c>
      <c r="G41" s="647"/>
      <c r="H41" s="648"/>
      <c r="I41" s="649"/>
      <c r="J41" s="650"/>
    </row>
    <row r="42" spans="1:10" ht="15.95" customHeight="1">
      <c r="A42" s="40" t="s">
        <v>2483</v>
      </c>
      <c r="B42" s="653" t="s">
        <v>2484</v>
      </c>
      <c r="C42" s="653"/>
      <c r="D42" s="653"/>
      <c r="E42" s="654"/>
      <c r="F42" s="664">
        <v>0</v>
      </c>
      <c r="G42" s="665"/>
      <c r="H42" s="651"/>
      <c r="I42" s="539"/>
      <c r="J42" s="652"/>
    </row>
    <row r="43" spans="1:10" ht="15.95" customHeight="1" thickBot="1">
      <c r="A43" s="41">
        <v>63</v>
      </c>
      <c r="B43" s="694" t="s">
        <v>177</v>
      </c>
      <c r="C43" s="694"/>
      <c r="D43" s="694"/>
      <c r="E43" s="695"/>
      <c r="F43" s="675">
        <v>0</v>
      </c>
      <c r="G43" s="667"/>
      <c r="H43" s="640"/>
      <c r="I43" s="610"/>
      <c r="J43" s="641"/>
    </row>
    <row r="44" spans="1:10" ht="24" customHeight="1" thickBot="1">
      <c r="A44" s="750" t="s">
        <v>2195</v>
      </c>
      <c r="B44" s="751"/>
      <c r="C44" s="751"/>
      <c r="D44" s="751"/>
      <c r="E44" s="751"/>
      <c r="F44" s="751"/>
      <c r="G44" s="751"/>
      <c r="H44" s="751"/>
      <c r="I44" s="751"/>
      <c r="J44" s="751"/>
    </row>
    <row r="45" spans="1:10" ht="24" customHeight="1" thickBot="1">
      <c r="A45" s="740" t="s">
        <v>2556</v>
      </c>
      <c r="B45" s="741"/>
      <c r="C45" s="742"/>
      <c r="D45" s="743"/>
      <c r="E45" s="744"/>
      <c r="F45" s="745" t="s">
        <v>129</v>
      </c>
      <c r="G45" s="746"/>
      <c r="H45" s="747"/>
      <c r="I45" s="748"/>
      <c r="J45" s="749"/>
    </row>
    <row r="46" spans="1:10" ht="12" customHeight="1">
      <c r="A46" s="668">
        <v>2</v>
      </c>
      <c r="B46" s="668"/>
      <c r="C46" s="668"/>
      <c r="D46" s="668"/>
      <c r="E46" s="668"/>
      <c r="F46" s="668"/>
      <c r="G46" s="668"/>
      <c r="H46" s="668"/>
      <c r="I46" s="668"/>
      <c r="J46" s="668"/>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sheetData>
  <sheetProtection algorithmName="SHA-512" hashValue="aJqIQGPKgogh/rnOdixupJmaZFxqkzGteYk8cxO84HT4UV4UaN8anAVy80G1tb7wZqsqMYTpd+QKWSV/MgR+Rw==" saltValue="AIQuVNOiU6U3CsAxE2Srcg==" spinCount="100000" sheet="1" objects="1" scenarios="1"/>
  <mergeCells count="121">
    <mergeCell ref="A45:B45"/>
    <mergeCell ref="C45:E45"/>
    <mergeCell ref="F45:G45"/>
    <mergeCell ref="H45:J45"/>
    <mergeCell ref="A44:J44"/>
    <mergeCell ref="H12:J12"/>
    <mergeCell ref="H13:J13"/>
    <mergeCell ref="I27:J27"/>
    <mergeCell ref="I28:J28"/>
    <mergeCell ref="I29:J29"/>
    <mergeCell ref="I24:J24"/>
    <mergeCell ref="I25:J25"/>
    <mergeCell ref="I26:J26"/>
    <mergeCell ref="B24:D24"/>
    <mergeCell ref="B25:D25"/>
    <mergeCell ref="B26:D26"/>
    <mergeCell ref="F28:G28"/>
    <mergeCell ref="B27:D27"/>
    <mergeCell ref="B28:D28"/>
    <mergeCell ref="F26:G26"/>
    <mergeCell ref="F27:G27"/>
    <mergeCell ref="B19:D19"/>
    <mergeCell ref="B17:D17"/>
    <mergeCell ref="H37:J37"/>
    <mergeCell ref="A1:J1"/>
    <mergeCell ref="B14:D14"/>
    <mergeCell ref="B15:D15"/>
    <mergeCell ref="A2:J2"/>
    <mergeCell ref="E13:G13"/>
    <mergeCell ref="B13:D13"/>
    <mergeCell ref="B4:D4"/>
    <mergeCell ref="E4:G4"/>
    <mergeCell ref="H4:J4"/>
    <mergeCell ref="E14:G14"/>
    <mergeCell ref="H14:J14"/>
    <mergeCell ref="H15:J15"/>
    <mergeCell ref="B10:D10"/>
    <mergeCell ref="B11:D11"/>
    <mergeCell ref="A3:D3"/>
    <mergeCell ref="E3:G3"/>
    <mergeCell ref="H3:J3"/>
    <mergeCell ref="B7:D7"/>
    <mergeCell ref="E7:G7"/>
    <mergeCell ref="H7:J7"/>
    <mergeCell ref="B5:D5"/>
    <mergeCell ref="E8:G8"/>
    <mergeCell ref="H8:J8"/>
    <mergeCell ref="E5:G5"/>
    <mergeCell ref="H5:J5"/>
    <mergeCell ref="B6:D6"/>
    <mergeCell ref="E12:G12"/>
    <mergeCell ref="E15:G15"/>
    <mergeCell ref="E10:G10"/>
    <mergeCell ref="B8:D8"/>
    <mergeCell ref="E6:G6"/>
    <mergeCell ref="H6:J6"/>
    <mergeCell ref="F21:G21"/>
    <mergeCell ref="I21:J21"/>
    <mergeCell ref="H19:J19"/>
    <mergeCell ref="H18:J18"/>
    <mergeCell ref="H11:J11"/>
    <mergeCell ref="H10:J10"/>
    <mergeCell ref="A9:J9"/>
    <mergeCell ref="B18:D18"/>
    <mergeCell ref="H16:J16"/>
    <mergeCell ref="I22:J22"/>
    <mergeCell ref="H31:J31"/>
    <mergeCell ref="E19:G19"/>
    <mergeCell ref="E16:G16"/>
    <mergeCell ref="E11:G11"/>
    <mergeCell ref="I23:J23"/>
    <mergeCell ref="F22:G22"/>
    <mergeCell ref="B22:D22"/>
    <mergeCell ref="H17:J17"/>
    <mergeCell ref="E17:G17"/>
    <mergeCell ref="A20:J20"/>
    <mergeCell ref="E18:G18"/>
    <mergeCell ref="B29:D29"/>
    <mergeCell ref="A46:J46"/>
    <mergeCell ref="A21:D21"/>
    <mergeCell ref="B23:D23"/>
    <mergeCell ref="F23:G23"/>
    <mergeCell ref="F24:G24"/>
    <mergeCell ref="F25:G25"/>
    <mergeCell ref="F29:G29"/>
    <mergeCell ref="B12:D12"/>
    <mergeCell ref="B16:D16"/>
    <mergeCell ref="A30:J30"/>
    <mergeCell ref="B31:E31"/>
    <mergeCell ref="B32:E32"/>
    <mergeCell ref="B33:E33"/>
    <mergeCell ref="F31:G31"/>
    <mergeCell ref="F32:G32"/>
    <mergeCell ref="F33:G33"/>
    <mergeCell ref="B37:E37"/>
    <mergeCell ref="H32:J32"/>
    <mergeCell ref="H33:J33"/>
    <mergeCell ref="B34:E34"/>
    <mergeCell ref="F34:G34"/>
    <mergeCell ref="B43:E43"/>
    <mergeCell ref="F43:G43"/>
    <mergeCell ref="H36:J36"/>
    <mergeCell ref="H43:J43"/>
    <mergeCell ref="A40:J40"/>
    <mergeCell ref="B41:E41"/>
    <mergeCell ref="F41:G41"/>
    <mergeCell ref="H41:J41"/>
    <mergeCell ref="H38:J38"/>
    <mergeCell ref="H39:J39"/>
    <mergeCell ref="B38:E38"/>
    <mergeCell ref="H34:J34"/>
    <mergeCell ref="A35:J35"/>
    <mergeCell ref="B36:E36"/>
    <mergeCell ref="B39:E39"/>
    <mergeCell ref="F36:G36"/>
    <mergeCell ref="F37:G37"/>
    <mergeCell ref="F38:G38"/>
    <mergeCell ref="F39:G39"/>
    <mergeCell ref="B42:E42"/>
    <mergeCell ref="F42:G42"/>
    <mergeCell ref="H42:J42"/>
  </mergeCells>
  <printOptions horizontalCentered="1" verticalCentered="1"/>
  <pageMargins left="0.393700787401575" right="0.393700787401575" top="0.393700787401575" bottom="0.393700787401575" header="0.511811023622047" footer="0.511811023622047"/>
  <pageSetup orientation="portrait" paperSize="9" scale="9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3">
    <tabColor rgb="FFFFCCFF"/>
    <pageSetUpPr fitToPage="1"/>
  </sheetPr>
  <dimension ref="A1:BU96"/>
  <sheetViews>
    <sheetView workbookViewId="0" topLeftCell="A1">
      <selection pane="topLeft" activeCell="D29" sqref="D29:G29"/>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73"/>
  </cols>
  <sheetData>
    <row r="1" spans="1:11 67:73" ht="24" customHeight="1">
      <c r="A1" s="669" t="s">
        <v>2557</v>
      </c>
      <c r="B1" s="670"/>
      <c r="C1" s="671"/>
      <c r="D1" s="114" t="s">
        <v>187</v>
      </c>
      <c r="E1" s="719"/>
      <c r="F1" s="828"/>
      <c r="G1" s="647"/>
      <c r="H1" s="114" t="s">
        <v>187</v>
      </c>
      <c r="I1" s="719"/>
      <c r="J1" s="810"/>
      <c r="K1" s="720"/>
      <c r="BO1"/>
      <c r="BP1"/>
      <c r="BQ1"/>
      <c r="BR1"/>
      <c r="BS1"/>
      <c r="BT1"/>
      <c r="BU1"/>
    </row>
    <row r="2" spans="1:11 67:73" ht="18" customHeight="1">
      <c r="A2" s="40">
        <v>64</v>
      </c>
      <c r="B2" s="672" t="s">
        <v>60</v>
      </c>
      <c r="C2" s="673"/>
      <c r="D2" s="119"/>
      <c r="E2" s="664">
        <v>30840</v>
      </c>
      <c r="F2" s="829"/>
      <c r="G2" s="665"/>
      <c r="H2" s="124"/>
      <c r="I2" s="651"/>
      <c r="J2" s="781"/>
      <c r="K2" s="782"/>
      <c r="BO2"/>
      <c r="BP2"/>
      <c r="BQ2"/>
      <c r="BR2"/>
      <c r="BS2"/>
      <c r="BT2"/>
      <c r="BU2"/>
    </row>
    <row r="3" spans="1:12 67:73" ht="18" customHeight="1">
      <c r="A3" s="40" t="s">
        <v>256</v>
      </c>
      <c r="B3" s="672" t="s">
        <v>61</v>
      </c>
      <c r="C3" s="673"/>
      <c r="D3" s="89">
        <v>0</v>
      </c>
      <c r="E3" s="664">
        <f>+D3*2070</f>
        <v>0</v>
      </c>
      <c r="F3" s="811"/>
      <c r="G3" s="812"/>
      <c r="H3" s="124"/>
      <c r="I3" s="651"/>
      <c r="J3" s="781"/>
      <c r="K3" s="782"/>
      <c r="L3" s="135"/>
      <c r="BO3"/>
      <c r="BP3"/>
      <c r="BQ3"/>
      <c r="BR3"/>
      <c r="BS3"/>
      <c r="BT3"/>
      <c r="BU3"/>
    </row>
    <row r="4" spans="1:12 67:73" ht="24" customHeight="1">
      <c r="A4" s="40" t="s">
        <v>257</v>
      </c>
      <c r="B4" s="653" t="s">
        <v>62</v>
      </c>
      <c r="C4" s="654"/>
      <c r="D4" s="89">
        <v>0</v>
      </c>
      <c r="E4" s="664">
        <f>+D4*4140</f>
        <v>0</v>
      </c>
      <c r="F4" s="813"/>
      <c r="G4" s="814"/>
      <c r="H4" s="124"/>
      <c r="I4" s="651"/>
      <c r="J4" s="781"/>
      <c r="K4" s="782"/>
      <c r="L4" s="135"/>
      <c r="BO4"/>
      <c r="BP4"/>
      <c r="BQ4"/>
      <c r="BR4"/>
      <c r="BS4"/>
      <c r="BT4"/>
      <c r="BU4"/>
    </row>
    <row r="5" spans="1:11 67:73" ht="24" customHeight="1">
      <c r="A5" s="40">
        <v>66</v>
      </c>
      <c r="B5" s="653" t="s">
        <v>2196</v>
      </c>
      <c r="C5" s="654"/>
      <c r="D5" s="89">
        <v>0</v>
      </c>
      <c r="E5" s="687">
        <f>+D5*210</f>
        <v>0</v>
      </c>
      <c r="F5" s="783"/>
      <c r="G5" s="784"/>
      <c r="H5" s="124"/>
      <c r="I5" s="651"/>
      <c r="J5" s="781"/>
      <c r="K5" s="782"/>
      <c r="BO5"/>
      <c r="BP5"/>
      <c r="BQ5"/>
      <c r="BR5"/>
      <c r="BS5"/>
      <c r="BT5"/>
      <c r="BU5"/>
    </row>
    <row r="6" spans="1:11 67:73" ht="24" customHeight="1">
      <c r="A6" s="40">
        <v>67</v>
      </c>
      <c r="B6" s="653" t="s">
        <v>2197</v>
      </c>
      <c r="C6" s="654"/>
      <c r="D6" s="89">
        <v>0</v>
      </c>
      <c r="E6" s="687">
        <f>+D6*420</f>
        <v>0</v>
      </c>
      <c r="F6" s="783"/>
      <c r="G6" s="784"/>
      <c r="H6" s="124"/>
      <c r="I6" s="651"/>
      <c r="J6" s="781"/>
      <c r="K6" s="782"/>
      <c r="BO6"/>
      <c r="BP6"/>
      <c r="BQ6"/>
      <c r="BR6"/>
      <c r="BS6"/>
      <c r="BT6"/>
      <c r="BU6"/>
    </row>
    <row r="7" spans="1:11 67:73" ht="18" customHeight="1">
      <c r="A7" s="40">
        <v>68</v>
      </c>
      <c r="B7" s="653" t="s">
        <v>2410</v>
      </c>
      <c r="C7" s="654"/>
      <c r="D7" s="89">
        <v>0</v>
      </c>
      <c r="E7" s="687">
        <f>+D7*1345</f>
        <v>0</v>
      </c>
      <c r="F7" s="783"/>
      <c r="G7" s="784"/>
      <c r="H7" s="124"/>
      <c r="I7" s="651"/>
      <c r="J7" s="781"/>
      <c r="K7" s="782"/>
      <c r="BO7"/>
      <c r="BP7"/>
      <c r="BQ7"/>
      <c r="BR7"/>
      <c r="BS7"/>
      <c r="BT7"/>
      <c r="BU7"/>
    </row>
    <row r="8" spans="1:11 67:73" ht="18" customHeight="1">
      <c r="A8" s="40">
        <v>69</v>
      </c>
      <c r="B8" s="653" t="s">
        <v>143</v>
      </c>
      <c r="C8" s="654"/>
      <c r="D8" s="456"/>
      <c r="E8" s="687"/>
      <c r="F8" s="783"/>
      <c r="G8" s="784"/>
      <c r="H8" s="124"/>
      <c r="I8" s="651"/>
      <c r="J8" s="781"/>
      <c r="K8" s="782"/>
      <c r="BO8"/>
      <c r="BP8"/>
      <c r="BQ8"/>
      <c r="BR8"/>
      <c r="BS8"/>
      <c r="BT8"/>
      <c r="BU8"/>
    </row>
    <row r="9" spans="1:11 67:73" ht="18" customHeight="1">
      <c r="A9" s="40" t="s">
        <v>59</v>
      </c>
      <c r="B9" s="653" t="s">
        <v>143</v>
      </c>
      <c r="C9" s="654"/>
      <c r="D9" s="119"/>
      <c r="E9" s="687"/>
      <c r="F9" s="783"/>
      <c r="G9" s="784"/>
      <c r="H9" s="124"/>
      <c r="I9" s="651"/>
      <c r="J9" s="781"/>
      <c r="K9" s="782"/>
      <c r="BO9"/>
      <c r="BP9"/>
      <c r="BQ9"/>
      <c r="BR9"/>
      <c r="BS9"/>
      <c r="BT9"/>
      <c r="BU9"/>
    </row>
    <row r="10" spans="1:11 67:73" ht="18" customHeight="1">
      <c r="A10" s="40" t="s">
        <v>2309</v>
      </c>
      <c r="B10" s="653" t="s">
        <v>143</v>
      </c>
      <c r="C10" s="654"/>
      <c r="D10" s="119"/>
      <c r="E10" s="687"/>
      <c r="F10" s="783"/>
      <c r="G10" s="784"/>
      <c r="H10" s="124"/>
      <c r="I10" s="651"/>
      <c r="J10" s="781"/>
      <c r="K10" s="782"/>
      <c r="BO10"/>
      <c r="BP10"/>
      <c r="BQ10"/>
      <c r="BR10"/>
      <c r="BS10"/>
      <c r="BT10"/>
      <c r="BU10"/>
    </row>
    <row r="11" spans="1:11 70:73" ht="30" customHeight="1">
      <c r="A11" s="40">
        <v>70</v>
      </c>
      <c r="B11" s="653" t="s">
        <v>2525</v>
      </c>
      <c r="C11" s="654"/>
      <c r="D11" s="119"/>
      <c r="E11" s="687">
        <f>+SUM(E2:F7)+'DAP2'!F41+'DAP2'!F42+'DAP2'!F43</f>
        <v>30840</v>
      </c>
      <c r="F11" s="783"/>
      <c r="G11" s="784"/>
      <c r="H11" s="124"/>
      <c r="I11" s="651"/>
      <c r="J11" s="781"/>
      <c r="K11" s="782"/>
      <c r="BR11"/>
      <c r="BS11"/>
      <c r="BT11"/>
      <c r="BU11"/>
    </row>
    <row r="12" spans="1:11 70:73" ht="24" customHeight="1" thickBot="1">
      <c r="A12" s="41">
        <v>71</v>
      </c>
      <c r="B12" s="694" t="s">
        <v>2198</v>
      </c>
      <c r="C12" s="695"/>
      <c r="D12" s="120"/>
      <c r="E12" s="666">
        <f>+MAX('DAP2'!F38-'DAP3'!E11,0)</f>
        <v>0</v>
      </c>
      <c r="F12" s="791"/>
      <c r="G12" s="792"/>
      <c r="H12" s="126"/>
      <c r="I12" s="640"/>
      <c r="J12" s="807"/>
      <c r="K12" s="808"/>
      <c r="BR12"/>
      <c r="BS12"/>
      <c r="BT12"/>
      <c r="BU12"/>
    </row>
    <row r="13" spans="1:11" ht="15.95" customHeight="1" thickBot="1">
      <c r="A13" s="819" t="s">
        <v>2199</v>
      </c>
      <c r="B13" s="819"/>
      <c r="C13" s="820"/>
      <c r="D13" s="820"/>
      <c r="E13" s="820"/>
      <c r="F13" s="820"/>
      <c r="G13" s="820"/>
      <c r="H13" s="820"/>
      <c r="I13" s="820"/>
      <c r="J13" s="820"/>
      <c r="K13" s="820"/>
    </row>
    <row r="14" spans="1:11 69:73" ht="22.5" customHeight="1">
      <c r="A14" s="822"/>
      <c r="B14" s="799" t="s">
        <v>2202</v>
      </c>
      <c r="C14" s="800"/>
      <c r="D14" s="799" t="s">
        <v>129</v>
      </c>
      <c r="E14" s="826"/>
      <c r="F14" s="785" t="s">
        <v>2200</v>
      </c>
      <c r="G14" s="786"/>
      <c r="H14" s="785" t="s">
        <v>2201</v>
      </c>
      <c r="I14" s="786"/>
      <c r="J14" s="785" t="s">
        <v>2274</v>
      </c>
      <c r="K14" s="788"/>
      <c r="BQ14"/>
      <c r="BR14"/>
      <c r="BS14"/>
      <c r="BT14"/>
      <c r="BU14"/>
    </row>
    <row r="15" spans="1:11 69:73" ht="21.95" customHeight="1">
      <c r="A15" s="823"/>
      <c r="B15" s="801"/>
      <c r="C15" s="802"/>
      <c r="D15" s="801"/>
      <c r="E15" s="802"/>
      <c r="F15" s="326" t="s">
        <v>2272</v>
      </c>
      <c r="G15" s="326" t="s">
        <v>2273</v>
      </c>
      <c r="H15" s="326" t="s">
        <v>2272</v>
      </c>
      <c r="I15" s="326" t="s">
        <v>2273</v>
      </c>
      <c r="J15" s="326" t="s">
        <v>2272</v>
      </c>
      <c r="K15" s="327" t="s">
        <v>2273</v>
      </c>
      <c r="BQ15"/>
      <c r="BR15"/>
      <c r="BS15"/>
      <c r="BT15"/>
      <c r="BU15"/>
    </row>
    <row r="16" spans="1:11 69:73" ht="12" customHeight="1">
      <c r="A16" s="824"/>
      <c r="B16" s="754">
        <v>1</v>
      </c>
      <c r="C16" s="821"/>
      <c r="D16" s="754">
        <v>2</v>
      </c>
      <c r="E16" s="754"/>
      <c r="F16" s="789">
        <v>3</v>
      </c>
      <c r="G16" s="790"/>
      <c r="H16" s="789">
        <v>4</v>
      </c>
      <c r="I16" s="790"/>
      <c r="J16" s="789">
        <v>5</v>
      </c>
      <c r="K16" s="825"/>
      <c r="BQ16"/>
      <c r="BR16"/>
      <c r="BS16"/>
      <c r="BT16"/>
      <c r="BU16"/>
    </row>
    <row r="17" spans="1:11 69:73" ht="18" customHeight="1">
      <c r="A17" s="130">
        <v>1</v>
      </c>
      <c r="B17" s="752" t="s">
        <v>123</v>
      </c>
      <c r="C17" s="753"/>
      <c r="D17" s="795"/>
      <c r="E17" s="831"/>
      <c r="F17" s="393"/>
      <c r="G17" s="393"/>
      <c r="H17" s="393"/>
      <c r="I17" s="393"/>
      <c r="J17" s="393"/>
      <c r="K17" s="394"/>
      <c r="BQ17"/>
      <c r="BR17"/>
      <c r="BS17"/>
      <c r="BT17"/>
      <c r="BU17"/>
    </row>
    <row r="18" spans="1:11 69:73" ht="18" customHeight="1">
      <c r="A18" s="130">
        <v>2</v>
      </c>
      <c r="B18" s="752" t="s">
        <v>123</v>
      </c>
      <c r="C18" s="753"/>
      <c r="D18" s="795"/>
      <c r="E18" s="795"/>
      <c r="F18" s="393"/>
      <c r="G18" s="393"/>
      <c r="H18" s="393"/>
      <c r="I18" s="393"/>
      <c r="J18" s="393"/>
      <c r="K18" s="394"/>
      <c r="BQ18"/>
      <c r="BR18"/>
      <c r="BS18"/>
      <c r="BT18"/>
      <c r="BU18"/>
    </row>
    <row r="19" spans="1:11 69:73" ht="18" customHeight="1">
      <c r="A19" s="130">
        <v>3</v>
      </c>
      <c r="B19" s="752" t="s">
        <v>123</v>
      </c>
      <c r="C19" s="753"/>
      <c r="D19" s="795"/>
      <c r="E19" s="795"/>
      <c r="F19" s="393"/>
      <c r="G19" s="393"/>
      <c r="H19" s="393"/>
      <c r="I19" s="393"/>
      <c r="J19" s="393"/>
      <c r="K19" s="394"/>
      <c r="BQ19"/>
      <c r="BR19"/>
      <c r="BS19"/>
      <c r="BT19"/>
      <c r="BU19"/>
    </row>
    <row r="20" spans="1:11 69:73" ht="18" customHeight="1">
      <c r="A20" s="130">
        <v>4</v>
      </c>
      <c r="B20" s="752" t="s">
        <v>123</v>
      </c>
      <c r="C20" s="753"/>
      <c r="D20" s="795"/>
      <c r="E20" s="795"/>
      <c r="F20" s="393"/>
      <c r="G20" s="393"/>
      <c r="H20" s="393"/>
      <c r="I20" s="393"/>
      <c r="J20" s="393"/>
      <c r="K20" s="394"/>
      <c r="BQ20"/>
      <c r="BR20"/>
      <c r="BS20"/>
      <c r="BT20"/>
      <c r="BU20"/>
    </row>
    <row r="21" spans="1:11 73:73" ht="15.95" customHeight="1" thickBot="1">
      <c r="A21" s="131"/>
      <c r="B21" s="793" t="s">
        <v>52</v>
      </c>
      <c r="C21" s="794"/>
      <c r="D21" s="787"/>
      <c r="E21" s="787"/>
      <c r="F21" s="325">
        <f t="shared" si="0" ref="F21:I21">+SUM(F17:F20)</f>
        <v>0</v>
      </c>
      <c r="G21" s="325">
        <f t="shared" si="0"/>
        <v>0</v>
      </c>
      <c r="H21" s="325">
        <f t="shared" si="0"/>
        <v>0</v>
      </c>
      <c r="I21" s="325">
        <f t="shared" si="0"/>
        <v>0</v>
      </c>
      <c r="J21" s="325">
        <f>+SUM(J17:J20)+Příl_děti!J13</f>
        <v>0</v>
      </c>
      <c r="K21" s="446">
        <f>+SUM(K17:K20)+Příl_děti!K13</f>
        <v>0</v>
      </c>
      <c r="BU21"/>
    </row>
    <row r="22" spans="1:11" ht="6" customHeight="1" thickBot="1">
      <c r="A22" s="830"/>
      <c r="B22" s="830"/>
      <c r="C22" s="751"/>
      <c r="D22" s="751"/>
      <c r="E22" s="751"/>
      <c r="F22" s="751"/>
      <c r="G22" s="751"/>
      <c r="H22" s="751"/>
      <c r="I22" s="751"/>
      <c r="J22" s="751"/>
      <c r="K22" s="751"/>
    </row>
    <row r="23" spans="1:12" ht="18" customHeight="1">
      <c r="A23" s="113">
        <v>72</v>
      </c>
      <c r="B23" s="730" t="s">
        <v>53</v>
      </c>
      <c r="C23" s="796"/>
      <c r="D23" s="772">
        <f>+F21*1267+G21*2534+H21*1860+I21*3720+J21*2320+K21*4640</f>
        <v>0</v>
      </c>
      <c r="E23" s="773"/>
      <c r="F23" s="773"/>
      <c r="G23" s="774"/>
      <c r="H23" s="736"/>
      <c r="I23" s="758"/>
      <c r="J23" s="758"/>
      <c r="K23" s="759"/>
      <c r="L23" s="135"/>
    </row>
    <row r="24" spans="1:11" ht="24" customHeight="1">
      <c r="A24" s="17">
        <v>73</v>
      </c>
      <c r="B24" s="764" t="s">
        <v>2203</v>
      </c>
      <c r="C24" s="765"/>
      <c r="D24" s="768">
        <f>+MIN(D23,E12)</f>
        <v>0</v>
      </c>
      <c r="E24" s="769"/>
      <c r="F24" s="769"/>
      <c r="G24" s="770"/>
      <c r="H24" s="766"/>
      <c r="I24" s="767"/>
      <c r="J24" s="767"/>
      <c r="K24" s="757"/>
    </row>
    <row r="25" spans="1:11" ht="18" customHeight="1">
      <c r="A25" s="424">
        <v>74</v>
      </c>
      <c r="B25" s="832" t="s">
        <v>2310</v>
      </c>
      <c r="C25" s="833"/>
      <c r="D25" s="768">
        <f>+E12-D24</f>
        <v>0</v>
      </c>
      <c r="E25" s="769"/>
      <c r="F25" s="769"/>
      <c r="G25" s="770"/>
      <c r="H25" s="834"/>
      <c r="I25" s="835"/>
      <c r="J25" s="835"/>
      <c r="K25" s="836"/>
    </row>
    <row r="26" spans="1:11" ht="24" customHeight="1" thickBot="1">
      <c r="A26" s="423" t="s">
        <v>2430</v>
      </c>
      <c r="B26" s="762" t="s">
        <v>2485</v>
      </c>
      <c r="C26" s="763"/>
      <c r="D26" s="697">
        <f>+'4Př'!F21</f>
        <v>0</v>
      </c>
      <c r="E26" s="698"/>
      <c r="F26" s="698"/>
      <c r="G26" s="771"/>
      <c r="H26" s="803"/>
      <c r="I26" s="804"/>
      <c r="J26" s="804"/>
      <c r="K26" s="805"/>
    </row>
    <row r="27" spans="1:11" ht="6" customHeight="1" thickBot="1">
      <c r="A27" s="830"/>
      <c r="B27" s="830"/>
      <c r="C27" s="751"/>
      <c r="D27" s="751"/>
      <c r="E27" s="751"/>
      <c r="F27" s="751"/>
      <c r="G27" s="751"/>
      <c r="H27" s="751"/>
      <c r="I27" s="751"/>
      <c r="J27" s="751"/>
      <c r="K27" s="751"/>
    </row>
    <row r="28" spans="1:11" ht="18" customHeight="1">
      <c r="A28" s="113">
        <v>75</v>
      </c>
      <c r="B28" s="730" t="s">
        <v>2431</v>
      </c>
      <c r="C28" s="796"/>
      <c r="D28" s="772">
        <f>+D25+D26</f>
        <v>0</v>
      </c>
      <c r="E28" s="773"/>
      <c r="F28" s="773"/>
      <c r="G28" s="774"/>
      <c r="H28" s="736"/>
      <c r="I28" s="758"/>
      <c r="J28" s="758"/>
      <c r="K28" s="759"/>
    </row>
    <row r="29" spans="1:11" ht="18" customHeight="1">
      <c r="A29" s="17">
        <v>76</v>
      </c>
      <c r="B29" s="764" t="s">
        <v>2204</v>
      </c>
      <c r="C29" s="765"/>
      <c r="D29" s="711">
        <f>IF(OR(+D23-D24&lt;99,+MAX('1Př1'!F11+'1Př1'!A27+'1Př1'!F19+'1Př1'!F22)+'DAP2'!E7&lt;6*20800),0,+D23-D24)</f>
        <v>0</v>
      </c>
      <c r="E29" s="712"/>
      <c r="F29" s="712"/>
      <c r="G29" s="809"/>
      <c r="H29" s="766"/>
      <c r="I29" s="767"/>
      <c r="J29" s="767"/>
      <c r="K29" s="757"/>
    </row>
    <row r="30" spans="1:11" ht="24" customHeight="1">
      <c r="A30" s="17">
        <v>77</v>
      </c>
      <c r="B30" s="764" t="s">
        <v>2432</v>
      </c>
      <c r="C30" s="765"/>
      <c r="D30" s="768">
        <f>+MAX(0,D28-D29)</f>
        <v>0</v>
      </c>
      <c r="E30" s="769"/>
      <c r="F30" s="769"/>
      <c r="G30" s="770"/>
      <c r="H30" s="766"/>
      <c r="I30" s="767"/>
      <c r="J30" s="767"/>
      <c r="K30" s="757"/>
    </row>
    <row r="31" spans="1:11" ht="24" customHeight="1" thickBot="1">
      <c r="A31" s="16" t="s">
        <v>2434</v>
      </c>
      <c r="B31" s="716" t="s">
        <v>2433</v>
      </c>
      <c r="C31" s="806"/>
      <c r="D31" s="738">
        <f>+MAX(0,-D28+D29)</f>
        <v>0</v>
      </c>
      <c r="E31" s="739"/>
      <c r="F31" s="739"/>
      <c r="G31" s="775"/>
      <c r="H31" s="778"/>
      <c r="I31" s="779"/>
      <c r="J31" s="779"/>
      <c r="K31" s="780"/>
    </row>
    <row r="32" spans="1:11" ht="15.95" customHeight="1" thickBot="1">
      <c r="A32" s="760" t="s">
        <v>258</v>
      </c>
      <c r="B32" s="760"/>
      <c r="C32" s="761"/>
      <c r="D32" s="761"/>
      <c r="E32" s="761"/>
      <c r="F32" s="761"/>
      <c r="G32" s="761"/>
      <c r="H32" s="761"/>
      <c r="I32" s="761"/>
      <c r="J32" s="761"/>
      <c r="K32" s="761"/>
    </row>
    <row r="33" spans="1:11" ht="18" customHeight="1">
      <c r="A33" s="17">
        <v>78</v>
      </c>
      <c r="B33" s="776" t="s">
        <v>178</v>
      </c>
      <c r="C33" s="777"/>
      <c r="D33" s="772">
        <v>0</v>
      </c>
      <c r="E33" s="773"/>
      <c r="F33" s="773"/>
      <c r="G33" s="774"/>
      <c r="H33" s="755"/>
      <c r="I33" s="756"/>
      <c r="J33" s="756"/>
      <c r="K33" s="757"/>
    </row>
    <row r="34" spans="1:11" ht="24" customHeight="1">
      <c r="A34" s="17">
        <v>79</v>
      </c>
      <c r="B34" s="797" t="s">
        <v>2435</v>
      </c>
      <c r="C34" s="798"/>
      <c r="D34" s="711">
        <f>+IF(OR(EXACT("X",'DAP1'!E13),EXACT("x",'DAP1'!E13)),'DAP3'!D26,0)</f>
        <v>0</v>
      </c>
      <c r="E34" s="712"/>
      <c r="F34" s="712"/>
      <c r="G34" s="809"/>
      <c r="H34" s="755"/>
      <c r="I34" s="756"/>
      <c r="J34" s="756"/>
      <c r="K34" s="757"/>
    </row>
    <row r="35" spans="1:11" ht="24" customHeight="1">
      <c r="A35" s="17">
        <v>80</v>
      </c>
      <c r="B35" s="797" t="s">
        <v>2205</v>
      </c>
      <c r="C35" s="798"/>
      <c r="D35" s="703">
        <f>+D34-D33</f>
        <v>0</v>
      </c>
      <c r="E35" s="704"/>
      <c r="F35" s="704"/>
      <c r="G35" s="827"/>
      <c r="H35" s="755"/>
      <c r="I35" s="756"/>
      <c r="J35" s="756"/>
      <c r="K35" s="757"/>
    </row>
    <row r="36" spans="1:11" ht="18" customHeight="1">
      <c r="A36" s="17">
        <v>81</v>
      </c>
      <c r="B36" s="797" t="s">
        <v>2206</v>
      </c>
      <c r="C36" s="798"/>
      <c r="D36" s="711">
        <v>0</v>
      </c>
      <c r="E36" s="712"/>
      <c r="F36" s="712"/>
      <c r="G36" s="809"/>
      <c r="H36" s="755"/>
      <c r="I36" s="756"/>
      <c r="J36" s="756"/>
      <c r="K36" s="757"/>
    </row>
    <row r="37" spans="1:11" ht="24" customHeight="1">
      <c r="A37" s="17">
        <v>82</v>
      </c>
      <c r="B37" s="797" t="s">
        <v>179</v>
      </c>
      <c r="C37" s="798"/>
      <c r="D37" s="711">
        <f>+IF(OR(EXACT("X",'DAP1'!E13),EXACT("x",'DAP1'!E13)),'DAP2'!F39,0)</f>
        <v>0</v>
      </c>
      <c r="E37" s="712"/>
      <c r="F37" s="712"/>
      <c r="G37" s="809"/>
      <c r="H37" s="755"/>
      <c r="I37" s="756"/>
      <c r="J37" s="756"/>
      <c r="K37" s="757"/>
    </row>
    <row r="38" spans="1:11" ht="24" customHeight="1" thickBot="1">
      <c r="A38" s="16">
        <v>83</v>
      </c>
      <c r="B38" s="817" t="s">
        <v>2207</v>
      </c>
      <c r="C38" s="818"/>
      <c r="D38" s="697">
        <f>+D37-D36</f>
        <v>0</v>
      </c>
      <c r="E38" s="698"/>
      <c r="F38" s="698"/>
      <c r="G38" s="771"/>
      <c r="H38" s="778"/>
      <c r="I38" s="779"/>
      <c r="J38" s="779"/>
      <c r="K38" s="780"/>
    </row>
    <row r="39" spans="1:11" ht="15.95" customHeight="1" thickBot="1">
      <c r="A39" s="760" t="s">
        <v>259</v>
      </c>
      <c r="B39" s="760"/>
      <c r="C39" s="761"/>
      <c r="D39" s="761"/>
      <c r="E39" s="761"/>
      <c r="F39" s="761"/>
      <c r="G39" s="761"/>
      <c r="H39" s="761"/>
      <c r="I39" s="761"/>
      <c r="J39" s="761"/>
      <c r="K39" s="761"/>
    </row>
    <row r="40" spans="1:11" ht="24" customHeight="1">
      <c r="A40" s="111">
        <v>84</v>
      </c>
      <c r="B40" s="677" t="s">
        <v>2208</v>
      </c>
      <c r="C40" s="816"/>
      <c r="D40" s="772">
        <f>+'DAP2'!M5</f>
        <v>0</v>
      </c>
      <c r="E40" s="773"/>
      <c r="F40" s="773"/>
      <c r="G40" s="774"/>
      <c r="H40" s="755"/>
      <c r="I40" s="756"/>
      <c r="J40" s="756"/>
      <c r="K40" s="757"/>
    </row>
    <row r="41" spans="1:11" ht="18" customHeight="1">
      <c r="A41" s="17">
        <v>85</v>
      </c>
      <c r="B41" s="680" t="s">
        <v>92</v>
      </c>
      <c r="C41" s="815"/>
      <c r="D41" s="711">
        <v>0</v>
      </c>
      <c r="E41" s="712"/>
      <c r="F41" s="712"/>
      <c r="G41" s="809"/>
      <c r="H41" s="755"/>
      <c r="I41" s="756"/>
      <c r="J41" s="756"/>
      <c r="K41" s="757"/>
    </row>
    <row r="42" spans="1:11" ht="24" customHeight="1">
      <c r="A42" s="17">
        <v>86</v>
      </c>
      <c r="B42" s="677" t="s">
        <v>2436</v>
      </c>
      <c r="C42" s="815"/>
      <c r="D42" s="711">
        <v>0</v>
      </c>
      <c r="E42" s="712"/>
      <c r="F42" s="712"/>
      <c r="G42" s="809"/>
      <c r="H42" s="755"/>
      <c r="I42" s="756"/>
      <c r="J42" s="756"/>
      <c r="K42" s="757"/>
    </row>
    <row r="43" spans="1:11" ht="18" customHeight="1">
      <c r="A43" s="17">
        <v>87</v>
      </c>
      <c r="B43" s="680" t="s">
        <v>2481</v>
      </c>
      <c r="C43" s="815"/>
      <c r="D43" s="711">
        <f>+'DAP2'!M6</f>
        <v>0</v>
      </c>
      <c r="E43" s="712"/>
      <c r="F43" s="712"/>
      <c r="G43" s="809"/>
      <c r="H43" s="755"/>
      <c r="I43" s="756"/>
      <c r="J43" s="756"/>
      <c r="K43" s="757"/>
    </row>
    <row r="44" spans="1:11" ht="18" customHeight="1">
      <c r="A44" s="17" t="s">
        <v>226</v>
      </c>
      <c r="B44" s="680" t="s">
        <v>227</v>
      </c>
      <c r="C44" s="815"/>
      <c r="D44" s="711">
        <v>0</v>
      </c>
      <c r="E44" s="712"/>
      <c r="F44" s="712"/>
      <c r="G44" s="809"/>
      <c r="H44" s="755"/>
      <c r="I44" s="756"/>
      <c r="J44" s="756"/>
      <c r="K44" s="757"/>
    </row>
    <row r="45" spans="1:11" ht="18" customHeight="1">
      <c r="A45" s="17">
        <v>88</v>
      </c>
      <c r="B45" s="680" t="s">
        <v>101</v>
      </c>
      <c r="C45" s="815"/>
      <c r="D45" s="711">
        <v>0</v>
      </c>
      <c r="E45" s="712"/>
      <c r="F45" s="712"/>
      <c r="G45" s="809"/>
      <c r="H45" s="755"/>
      <c r="I45" s="756"/>
      <c r="J45" s="756"/>
      <c r="K45" s="757"/>
    </row>
    <row r="46" spans="1:11" ht="24" customHeight="1">
      <c r="A46" s="17">
        <v>89</v>
      </c>
      <c r="B46" s="677" t="s">
        <v>2437</v>
      </c>
      <c r="C46" s="815"/>
      <c r="D46" s="711">
        <f>+'DAP2'!M7</f>
        <v>0</v>
      </c>
      <c r="E46" s="712"/>
      <c r="F46" s="712"/>
      <c r="G46" s="809"/>
      <c r="H46" s="755"/>
      <c r="I46" s="756"/>
      <c r="J46" s="756"/>
      <c r="K46" s="757"/>
    </row>
    <row r="47" spans="1:11" ht="18" customHeight="1">
      <c r="A47" s="17">
        <v>90</v>
      </c>
      <c r="B47" s="680" t="s">
        <v>78</v>
      </c>
      <c r="C47" s="815"/>
      <c r="D47" s="711">
        <v>0</v>
      </c>
      <c r="E47" s="712"/>
      <c r="F47" s="712"/>
      <c r="G47" s="809"/>
      <c r="H47" s="755"/>
      <c r="I47" s="756"/>
      <c r="J47" s="756"/>
      <c r="K47" s="757"/>
    </row>
    <row r="48" spans="1:11" ht="24" customHeight="1" thickBot="1">
      <c r="A48" s="17">
        <v>91</v>
      </c>
      <c r="B48" s="817" t="s">
        <v>2468</v>
      </c>
      <c r="C48" s="818"/>
      <c r="D48" s="697">
        <f>+IF(OR(EXACT("X",'DAP1'!E13),EXACT("x",'DAP1'!E13)),0,+D30-D31-SUM(D40:E45)+D46-D47)</f>
        <v>0</v>
      </c>
      <c r="E48" s="698"/>
      <c r="F48" s="698"/>
      <c r="G48" s="771"/>
      <c r="H48" s="755"/>
      <c r="I48" s="756"/>
      <c r="J48" s="756"/>
      <c r="K48" s="757"/>
    </row>
    <row r="49" spans="1:11" ht="12.75">
      <c r="A49" s="655">
        <v>3</v>
      </c>
      <c r="B49" s="655"/>
      <c r="C49" s="655"/>
      <c r="D49" s="655"/>
      <c r="E49" s="655"/>
      <c r="F49" s="655"/>
      <c r="G49" s="655"/>
      <c r="H49" s="655"/>
      <c r="I49" s="655"/>
      <c r="J49" s="655"/>
      <c r="K49" s="655"/>
    </row>
    <row r="50" spans="1:11" ht="12.75">
      <c r="A50" s="73"/>
      <c r="B50" s="73"/>
      <c r="C50" s="73"/>
      <c r="D50" s="73"/>
      <c r="E50" s="73"/>
      <c r="F50" s="73"/>
      <c r="G50" s="73"/>
      <c r="H50" s="73"/>
      <c r="I50" s="73"/>
      <c r="J50" s="73"/>
      <c r="K50" s="73"/>
    </row>
    <row r="51" spans="1:11" ht="12.75">
      <c r="A51" s="73"/>
      <c r="B51" s="73"/>
      <c r="C51" s="73"/>
      <c r="D51" s="73"/>
      <c r="E51" s="73"/>
      <c r="F51" s="73"/>
      <c r="G51" s="73"/>
      <c r="H51" s="73"/>
      <c r="I51" s="73"/>
      <c r="J51" s="73"/>
      <c r="K51" s="73"/>
    </row>
    <row r="52" spans="1:11" ht="12.75">
      <c r="A52" s="73"/>
      <c r="B52" s="73"/>
      <c r="C52" s="73"/>
      <c r="D52" s="73"/>
      <c r="E52" s="73"/>
      <c r="F52" s="73"/>
      <c r="G52" s="73"/>
      <c r="H52" s="73"/>
      <c r="I52" s="73"/>
      <c r="J52" s="73"/>
      <c r="K52" s="73"/>
    </row>
    <row r="53" spans="1:11" ht="12.75">
      <c r="A53" s="73"/>
      <c r="B53" s="73"/>
      <c r="C53" s="73"/>
      <c r="D53" s="73"/>
      <c r="E53" s="73"/>
      <c r="F53" s="73"/>
      <c r="G53" s="73"/>
      <c r="H53" s="73"/>
      <c r="I53" s="73"/>
      <c r="J53" s="73"/>
      <c r="K53" s="73"/>
    </row>
    <row r="54" spans="1:11" ht="12.75">
      <c r="A54" s="73"/>
      <c r="B54" s="73"/>
      <c r="C54" s="73"/>
      <c r="D54" s="73"/>
      <c r="E54" s="73"/>
      <c r="F54" s="73"/>
      <c r="G54" s="73"/>
      <c r="H54" s="73"/>
      <c r="I54" s="73"/>
      <c r="J54" s="73"/>
      <c r="K54" s="73"/>
    </row>
    <row r="55" spans="1:11" ht="12.75">
      <c r="A55" s="73"/>
      <c r="B55" s="73"/>
      <c r="C55" s="73"/>
      <c r="D55" s="73"/>
      <c r="E55" s="73"/>
      <c r="F55" s="73"/>
      <c r="G55" s="73"/>
      <c r="H55" s="73"/>
      <c r="I55" s="73"/>
      <c r="J55" s="73"/>
      <c r="K55" s="73"/>
    </row>
    <row r="56" spans="1:11" ht="12.75">
      <c r="A56" s="73"/>
      <c r="B56" s="73"/>
      <c r="C56" s="73"/>
      <c r="D56" s="73"/>
      <c r="E56" s="73"/>
      <c r="F56" s="73"/>
      <c r="G56" s="73"/>
      <c r="H56" s="73"/>
      <c r="I56" s="73"/>
      <c r="J56" s="73"/>
      <c r="K56" s="73"/>
    </row>
    <row r="57" spans="1:11" ht="12.75">
      <c r="A57" s="73"/>
      <c r="B57" s="73"/>
      <c r="C57" s="73"/>
      <c r="D57" s="73"/>
      <c r="E57" s="73"/>
      <c r="F57" s="73"/>
      <c r="G57" s="73"/>
      <c r="H57" s="73"/>
      <c r="I57" s="73"/>
      <c r="J57" s="73"/>
      <c r="K57" s="73"/>
    </row>
    <row r="58" spans="1:11" ht="12.75">
      <c r="A58" s="73"/>
      <c r="B58" s="73"/>
      <c r="C58" s="73"/>
      <c r="D58" s="73"/>
      <c r="E58" s="73"/>
      <c r="F58" s="73"/>
      <c r="G58" s="73"/>
      <c r="H58" s="73"/>
      <c r="I58" s="73"/>
      <c r="J58" s="73"/>
      <c r="K58" s="73"/>
    </row>
    <row r="59" spans="1:11" ht="12.75">
      <c r="A59" s="73"/>
      <c r="B59" s="73"/>
      <c r="C59" s="73"/>
      <c r="D59" s="73"/>
      <c r="E59" s="73"/>
      <c r="F59" s="73"/>
      <c r="G59" s="73"/>
      <c r="H59" s="73"/>
      <c r="I59" s="73"/>
      <c r="J59" s="73"/>
      <c r="K59" s="73"/>
    </row>
    <row r="60" spans="1:11" ht="12.75">
      <c r="A60" s="73"/>
      <c r="B60" s="73"/>
      <c r="C60" s="73"/>
      <c r="D60" s="73"/>
      <c r="E60" s="73"/>
      <c r="F60" s="73"/>
      <c r="G60" s="73"/>
      <c r="H60" s="73"/>
      <c r="I60" s="73"/>
      <c r="J60" s="73"/>
      <c r="K60" s="73"/>
    </row>
    <row r="61" spans="1:11" ht="12.75">
      <c r="A61" s="73"/>
      <c r="B61" s="73"/>
      <c r="C61" s="73"/>
      <c r="D61" s="73"/>
      <c r="E61" s="73"/>
      <c r="F61" s="73"/>
      <c r="G61" s="73"/>
      <c r="H61" s="73"/>
      <c r="I61" s="73"/>
      <c r="J61" s="73"/>
      <c r="K61" s="73"/>
    </row>
    <row r="62" spans="1:11" ht="12.75">
      <c r="A62" s="73"/>
      <c r="B62" s="73"/>
      <c r="C62" s="73"/>
      <c r="D62" s="73"/>
      <c r="E62" s="73"/>
      <c r="F62" s="73"/>
      <c r="G62" s="73"/>
      <c r="H62" s="73"/>
      <c r="I62" s="73"/>
      <c r="J62" s="73"/>
      <c r="K62" s="73"/>
    </row>
    <row r="63" spans="1:11" ht="12.75">
      <c r="A63" s="73"/>
      <c r="B63" s="73"/>
      <c r="C63" s="73"/>
      <c r="D63" s="73"/>
      <c r="E63" s="73"/>
      <c r="F63" s="73"/>
      <c r="G63" s="73"/>
      <c r="H63" s="73"/>
      <c r="I63" s="73"/>
      <c r="J63" s="73"/>
      <c r="K63" s="73"/>
    </row>
    <row r="64" spans="1:11" ht="12.75">
      <c r="A64" s="73"/>
      <c r="B64" s="73"/>
      <c r="C64" s="73"/>
      <c r="D64" s="73"/>
      <c r="E64" s="73"/>
      <c r="F64" s="73"/>
      <c r="G64" s="73"/>
      <c r="H64" s="73"/>
      <c r="I64" s="73"/>
      <c r="J64" s="73"/>
      <c r="K64" s="73"/>
    </row>
    <row r="65" spans="1:11" ht="12.75">
      <c r="A65" s="73"/>
      <c r="B65" s="73"/>
      <c r="C65" s="73"/>
      <c r="D65" s="73"/>
      <c r="E65" s="73"/>
      <c r="F65" s="73"/>
      <c r="G65" s="73"/>
      <c r="H65" s="73"/>
      <c r="I65" s="73"/>
      <c r="J65" s="73"/>
      <c r="K65" s="73"/>
    </row>
    <row r="66" spans="1:11" ht="12.75">
      <c r="A66" s="73"/>
      <c r="B66" s="73"/>
      <c r="C66" s="73"/>
      <c r="D66" s="73"/>
      <c r="E66" s="73"/>
      <c r="F66" s="73"/>
      <c r="G66" s="73"/>
      <c r="H66" s="73"/>
      <c r="I66" s="73"/>
      <c r="J66" s="73"/>
      <c r="K66" s="73"/>
    </row>
    <row r="67" spans="1:11" ht="12.75">
      <c r="A67" s="73"/>
      <c r="B67" s="73"/>
      <c r="C67" s="73"/>
      <c r="D67" s="73"/>
      <c r="E67" s="73"/>
      <c r="F67" s="73"/>
      <c r="G67" s="73"/>
      <c r="H67" s="73"/>
      <c r="I67" s="73"/>
      <c r="J67" s="73"/>
      <c r="K67" s="73"/>
    </row>
    <row r="68" spans="1:11" ht="12.75">
      <c r="A68" s="73"/>
      <c r="B68" s="73"/>
      <c r="C68" s="73"/>
      <c r="D68" s="73"/>
      <c r="E68" s="73"/>
      <c r="F68" s="73"/>
      <c r="G68" s="73"/>
      <c r="H68" s="73"/>
      <c r="I68" s="73"/>
      <c r="J68" s="73"/>
      <c r="K68" s="73"/>
    </row>
    <row r="69" spans="1:11" ht="12.75">
      <c r="A69" s="73"/>
      <c r="B69" s="73"/>
      <c r="C69" s="73"/>
      <c r="D69" s="73"/>
      <c r="E69" s="73"/>
      <c r="F69" s="73"/>
      <c r="G69" s="73"/>
      <c r="H69" s="73"/>
      <c r="I69" s="73"/>
      <c r="J69" s="73"/>
      <c r="K69" s="73"/>
    </row>
    <row r="70" spans="1:11" ht="12.75">
      <c r="A70" s="73"/>
      <c r="B70" s="73"/>
      <c r="C70" s="73"/>
      <c r="D70" s="73"/>
      <c r="E70" s="73"/>
      <c r="F70" s="73"/>
      <c r="G70" s="73"/>
      <c r="H70" s="73"/>
      <c r="I70" s="73"/>
      <c r="J70" s="73"/>
      <c r="K70" s="73"/>
    </row>
    <row r="71" spans="1:11" ht="12.75">
      <c r="A71" s="73"/>
      <c r="B71" s="73"/>
      <c r="C71" s="73"/>
      <c r="D71" s="73"/>
      <c r="E71" s="73"/>
      <c r="F71" s="73"/>
      <c r="G71" s="73"/>
      <c r="H71" s="73"/>
      <c r="I71" s="73"/>
      <c r="J71" s="73"/>
      <c r="K71" s="73"/>
    </row>
    <row r="72" spans="1:11" ht="12.75">
      <c r="A72" s="73"/>
      <c r="B72" s="73"/>
      <c r="C72" s="73"/>
      <c r="D72" s="73"/>
      <c r="E72" s="73"/>
      <c r="F72" s="73"/>
      <c r="G72" s="73"/>
      <c r="H72" s="73"/>
      <c r="I72" s="73"/>
      <c r="J72" s="73"/>
      <c r="K72" s="73"/>
    </row>
    <row r="73" spans="1:11" ht="12.75">
      <c r="A73" s="73"/>
      <c r="B73" s="73"/>
      <c r="C73" s="73"/>
      <c r="D73" s="73"/>
      <c r="E73" s="73"/>
      <c r="F73" s="73"/>
      <c r="G73" s="73"/>
      <c r="H73" s="73"/>
      <c r="I73" s="73"/>
      <c r="J73" s="73"/>
      <c r="K73" s="73"/>
    </row>
    <row r="74" spans="1:11" ht="12.75">
      <c r="A74" s="73"/>
      <c r="B74" s="73"/>
      <c r="C74" s="73"/>
      <c r="D74" s="73"/>
      <c r="E74" s="73"/>
      <c r="F74" s="73"/>
      <c r="G74" s="73"/>
      <c r="H74" s="73"/>
      <c r="I74" s="73"/>
      <c r="J74" s="73"/>
      <c r="K74" s="73"/>
    </row>
    <row r="75" spans="1:11" ht="12.75">
      <c r="A75" s="73"/>
      <c r="B75" s="73"/>
      <c r="C75" s="73"/>
      <c r="D75" s="73"/>
      <c r="E75" s="73"/>
      <c r="F75" s="73"/>
      <c r="G75" s="73"/>
      <c r="H75" s="73"/>
      <c r="I75" s="73"/>
      <c r="J75" s="73"/>
      <c r="K75" s="73"/>
    </row>
    <row r="76" spans="1:11" ht="12.75">
      <c r="A76" s="73"/>
      <c r="B76" s="73"/>
      <c r="C76" s="73"/>
      <c r="D76" s="73"/>
      <c r="E76" s="73"/>
      <c r="F76" s="73"/>
      <c r="G76" s="73"/>
      <c r="H76" s="73"/>
      <c r="I76" s="73"/>
      <c r="J76" s="73"/>
      <c r="K76" s="73"/>
    </row>
    <row r="77" spans="1:11" ht="12.75">
      <c r="A77" s="73"/>
      <c r="B77" s="73"/>
      <c r="C77" s="73"/>
      <c r="D77" s="73"/>
      <c r="E77" s="73"/>
      <c r="F77" s="73"/>
      <c r="G77" s="73"/>
      <c r="H77" s="73"/>
      <c r="I77" s="73"/>
      <c r="J77" s="73"/>
      <c r="K77" s="73"/>
    </row>
    <row r="78" spans="1:11" ht="12.75">
      <c r="A78" s="73"/>
      <c r="B78" s="73"/>
      <c r="C78" s="73"/>
      <c r="D78" s="73"/>
      <c r="E78" s="73"/>
      <c r="F78" s="73"/>
      <c r="G78" s="73"/>
      <c r="H78" s="73"/>
      <c r="I78" s="73"/>
      <c r="J78" s="73"/>
      <c r="K78" s="73"/>
    </row>
    <row r="79" spans="1:11" ht="12.75">
      <c r="A79" s="73"/>
      <c r="B79" s="73"/>
      <c r="C79" s="73"/>
      <c r="D79" s="73"/>
      <c r="E79" s="73"/>
      <c r="F79" s="73"/>
      <c r="G79" s="73"/>
      <c r="H79" s="73"/>
      <c r="I79" s="73"/>
      <c r="J79" s="73"/>
      <c r="K79" s="73"/>
    </row>
    <row r="80" spans="1:11" ht="12.75">
      <c r="A80" s="73"/>
      <c r="B80" s="73"/>
      <c r="C80" s="73"/>
      <c r="D80" s="73"/>
      <c r="E80" s="73"/>
      <c r="F80" s="73"/>
      <c r="G80" s="73"/>
      <c r="H80" s="73"/>
      <c r="I80" s="73"/>
      <c r="J80" s="73"/>
      <c r="K80" s="73"/>
    </row>
    <row r="81" spans="1:11" ht="12.75">
      <c r="A81" s="73"/>
      <c r="B81" s="73"/>
      <c r="C81" s="73"/>
      <c r="D81" s="73"/>
      <c r="E81" s="73"/>
      <c r="F81" s="73"/>
      <c r="G81" s="73"/>
      <c r="H81" s="73"/>
      <c r="I81" s="73"/>
      <c r="J81" s="73"/>
      <c r="K81" s="73"/>
    </row>
    <row r="82" spans="1:11" ht="12.75">
      <c r="A82" s="73"/>
      <c r="B82" s="73"/>
      <c r="C82" s="73"/>
      <c r="D82" s="73"/>
      <c r="E82" s="73"/>
      <c r="F82" s="73"/>
      <c r="G82" s="73"/>
      <c r="H82" s="73"/>
      <c r="I82" s="73"/>
      <c r="J82" s="73"/>
      <c r="K82" s="73"/>
    </row>
    <row r="83" spans="1:11" ht="12.75">
      <c r="A83" s="73"/>
      <c r="B83" s="73"/>
      <c r="C83" s="73"/>
      <c r="D83" s="73"/>
      <c r="E83" s="73"/>
      <c r="F83" s="73"/>
      <c r="G83" s="73"/>
      <c r="H83" s="73"/>
      <c r="I83" s="73"/>
      <c r="J83" s="73"/>
      <c r="K83" s="73"/>
    </row>
    <row r="84" spans="1:11" ht="12.75">
      <c r="A84" s="73"/>
      <c r="B84" s="73"/>
      <c r="C84" s="73"/>
      <c r="D84" s="73"/>
      <c r="E84" s="73"/>
      <c r="F84" s="73"/>
      <c r="G84" s="73"/>
      <c r="H84" s="73"/>
      <c r="I84" s="73"/>
      <c r="J84" s="73"/>
      <c r="K84" s="73"/>
    </row>
    <row r="85" spans="1:11" ht="12.75">
      <c r="A85" s="73"/>
      <c r="B85" s="73"/>
      <c r="C85" s="73"/>
      <c r="D85" s="73"/>
      <c r="E85" s="73"/>
      <c r="F85" s="73"/>
      <c r="G85" s="73"/>
      <c r="H85" s="73"/>
      <c r="I85" s="73"/>
      <c r="J85" s="73"/>
      <c r="K85" s="73"/>
    </row>
    <row r="86" spans="1:11" ht="12.75">
      <c r="A86" s="73"/>
      <c r="B86" s="73"/>
      <c r="C86" s="73"/>
      <c r="D86" s="73"/>
      <c r="E86" s="73"/>
      <c r="F86" s="73"/>
      <c r="G86" s="73"/>
      <c r="H86" s="73"/>
      <c r="I86" s="73"/>
      <c r="J86" s="73"/>
      <c r="K86" s="73"/>
    </row>
    <row r="87" spans="1:11" ht="12.75">
      <c r="A87" s="73"/>
      <c r="B87" s="73"/>
      <c r="C87" s="73"/>
      <c r="D87" s="73"/>
      <c r="E87" s="73"/>
      <c r="F87" s="73"/>
      <c r="G87" s="73"/>
      <c r="H87" s="73"/>
      <c r="I87" s="73"/>
      <c r="J87" s="73"/>
      <c r="K87" s="73"/>
    </row>
    <row r="88" spans="1:11" ht="12.75">
      <c r="A88" s="73"/>
      <c r="B88" s="73"/>
      <c r="C88" s="73"/>
      <c r="D88" s="73"/>
      <c r="E88" s="73"/>
      <c r="F88" s="73"/>
      <c r="G88" s="73"/>
      <c r="H88" s="73"/>
      <c r="I88" s="73"/>
      <c r="J88" s="73"/>
      <c r="K88" s="73"/>
    </row>
    <row r="89" spans="1:11" ht="12.75">
      <c r="A89" s="73"/>
      <c r="B89" s="73"/>
      <c r="C89" s="73"/>
      <c r="D89" s="73"/>
      <c r="E89" s="73"/>
      <c r="F89" s="73"/>
      <c r="G89" s="73"/>
      <c r="H89" s="73"/>
      <c r="I89" s="73"/>
      <c r="J89" s="73"/>
      <c r="K89" s="73"/>
    </row>
    <row r="90" spans="1:11" ht="12.75">
      <c r="A90" s="73"/>
      <c r="B90" s="73"/>
      <c r="C90" s="73"/>
      <c r="D90" s="73"/>
      <c r="E90" s="73"/>
      <c r="F90" s="73"/>
      <c r="G90" s="73"/>
      <c r="H90" s="73"/>
      <c r="I90" s="73"/>
      <c r="J90" s="73"/>
      <c r="K90" s="73"/>
    </row>
    <row r="91" spans="1:11" ht="12.75">
      <c r="A91" s="73"/>
      <c r="B91" s="73"/>
      <c r="C91" s="73"/>
      <c r="D91" s="73"/>
      <c r="E91" s="73"/>
      <c r="F91" s="73"/>
      <c r="G91" s="73"/>
      <c r="H91" s="73"/>
      <c r="I91" s="73"/>
      <c r="J91" s="73"/>
      <c r="K91" s="73"/>
    </row>
    <row r="92" spans="1:11" ht="12.75">
      <c r="A92" s="73"/>
      <c r="B92" s="73"/>
      <c r="C92" s="73"/>
      <c r="D92" s="73"/>
      <c r="E92" s="73"/>
      <c r="F92" s="73"/>
      <c r="G92" s="73"/>
      <c r="H92" s="73"/>
      <c r="I92" s="73"/>
      <c r="J92" s="73"/>
      <c r="K92" s="73"/>
    </row>
    <row r="93" spans="1:11" ht="12.75">
      <c r="A93" s="73"/>
      <c r="B93" s="73"/>
      <c r="C93" s="73"/>
      <c r="D93" s="73"/>
      <c r="E93" s="73"/>
      <c r="F93" s="73"/>
      <c r="G93" s="73"/>
      <c r="H93" s="73"/>
      <c r="I93" s="73"/>
      <c r="J93" s="73"/>
      <c r="K93" s="73"/>
    </row>
    <row r="94" spans="1:11" ht="12.75">
      <c r="A94" s="73"/>
      <c r="B94" s="73"/>
      <c r="C94" s="73"/>
      <c r="D94" s="73"/>
      <c r="E94" s="73"/>
      <c r="F94" s="73"/>
      <c r="G94" s="73"/>
      <c r="H94" s="73"/>
      <c r="I94" s="73"/>
      <c r="J94" s="73"/>
      <c r="K94" s="73"/>
    </row>
    <row r="95" spans="1:11" ht="12.75">
      <c r="A95" s="73"/>
      <c r="B95" s="73"/>
      <c r="C95" s="73"/>
      <c r="D95" s="73"/>
      <c r="E95" s="73"/>
      <c r="F95" s="73"/>
      <c r="G95" s="73"/>
      <c r="H95" s="73"/>
      <c r="I95" s="73"/>
      <c r="J95" s="73"/>
      <c r="K95" s="73"/>
    </row>
    <row r="96" spans="1:11" ht="12.75">
      <c r="A96" s="73"/>
      <c r="B96" s="73"/>
      <c r="C96" s="73"/>
      <c r="D96" s="73"/>
      <c r="E96" s="73"/>
      <c r="F96" s="73"/>
      <c r="G96" s="73"/>
      <c r="H96" s="73"/>
      <c r="I96" s="73"/>
      <c r="J96" s="73"/>
      <c r="K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row r="224" s="73" customFormat="1" ht="12.75"/>
    <row r="225" s="73" customFormat="1" ht="12.75"/>
    <row r="226" s="73" customFormat="1" ht="12.75"/>
    <row r="227" s="73" customFormat="1" ht="12.75"/>
    <row r="228" s="73" customFormat="1" ht="12.75"/>
    <row r="229" s="73" customFormat="1" ht="12.75"/>
    <row r="230" s="73" customFormat="1" ht="12.75"/>
    <row r="231" s="73" customFormat="1" ht="12.75"/>
    <row r="232" s="73" customFormat="1" ht="12.75"/>
    <row r="233" s="73" customFormat="1" ht="12.75"/>
    <row r="234" s="73" customFormat="1" ht="12.75"/>
    <row r="235" s="73" customFormat="1" ht="12.75"/>
    <row r="236" s="73" customFormat="1" ht="12.75"/>
    <row r="237" s="73" customFormat="1" ht="12.75"/>
    <row r="238" s="73" customFormat="1" ht="12.75"/>
    <row r="239" s="73" customFormat="1" ht="12.75"/>
    <row r="240" s="73" customFormat="1" ht="12.75"/>
    <row r="241" s="73" customFormat="1" ht="12.75"/>
    <row r="242" s="73" customFormat="1" ht="12.75"/>
    <row r="243" s="73" customFormat="1" ht="12.75"/>
    <row r="244" s="73" customFormat="1" ht="12.75"/>
    <row r="245" s="73" customFormat="1" ht="12.75"/>
    <row r="246" s="73" customFormat="1" ht="12.75"/>
    <row r="247" s="73" customFormat="1" ht="12.75"/>
    <row r="248" s="73" customFormat="1" ht="12.75"/>
    <row r="249" s="73" customFormat="1" ht="12.75"/>
    <row r="250" s="73" customFormat="1" ht="12.75"/>
    <row r="251" s="73" customFormat="1" ht="12.75"/>
    <row r="252" s="73" customFormat="1" ht="12.75"/>
    <row r="253" s="73" customFormat="1" ht="12.75"/>
    <row r="254" s="73" customFormat="1" ht="12.75"/>
    <row r="255" s="73" customFormat="1" ht="12.75"/>
    <row r="256" s="73" customFormat="1" ht="12.75"/>
    <row r="257" s="73" customFormat="1" ht="12.75"/>
    <row r="258" s="73" customFormat="1" ht="12.75"/>
    <row r="259" s="73" customFormat="1" ht="12.75"/>
    <row r="260" s="73" customFormat="1" ht="12.75"/>
    <row r="261" s="73" customFormat="1" ht="12.75"/>
    <row r="262" s="73" customFormat="1" ht="12.75"/>
    <row r="263" s="73" customFormat="1" ht="12.75"/>
    <row r="264" s="73" customFormat="1" ht="12.75"/>
    <row r="265" s="73" customFormat="1" ht="12.75"/>
    <row r="266" s="73" customFormat="1" ht="12.75"/>
    <row r="267" s="73" customFormat="1" ht="12.75"/>
    <row r="268" s="73" customFormat="1" ht="12.75"/>
    <row r="269" s="73" customFormat="1" ht="12.75"/>
    <row r="270" s="73" customFormat="1" ht="12.75"/>
    <row r="271" s="73" customFormat="1" ht="12.75"/>
    <row r="272" s="73" customFormat="1" ht="12.75"/>
    <row r="273" s="73" customFormat="1" ht="12.75"/>
    <row r="274" s="73" customFormat="1" ht="12.75"/>
    <row r="275" s="73" customFormat="1" ht="12.75"/>
    <row r="276" s="73" customFormat="1" ht="12.75"/>
    <row r="277" s="73" customFormat="1" ht="12.75"/>
    <row r="278" s="73" customFormat="1" ht="12.75"/>
    <row r="279" s="73" customFormat="1" ht="12.75"/>
    <row r="280" s="73" customFormat="1" ht="12.75"/>
    <row r="281" s="73" customFormat="1" ht="12.75"/>
    <row r="282" s="73" customFormat="1" ht="12.75"/>
    <row r="283" s="73" customFormat="1" ht="12.75"/>
    <row r="284" s="73" customFormat="1" ht="12.75"/>
    <row r="285" s="73" customFormat="1" ht="12.75"/>
    <row r="286" s="73" customFormat="1" ht="12.75"/>
    <row r="287" s="73" customFormat="1" ht="12.75"/>
    <row r="288" s="73" customFormat="1" ht="12.75"/>
    <row r="289" s="73" customFormat="1" ht="12.75"/>
    <row r="290" s="73" customFormat="1" ht="12.75"/>
    <row r="291" s="73" customFormat="1" ht="12.75"/>
    <row r="292" s="73" customFormat="1" ht="12.75"/>
    <row r="293" s="73" customFormat="1" ht="12.75"/>
    <row r="294" s="73" customFormat="1" ht="12.75"/>
    <row r="295" s="73" customFormat="1" ht="12.75"/>
    <row r="296" s="73" customFormat="1" ht="12.75"/>
    <row r="297" s="73" customFormat="1" ht="12.75"/>
    <row r="298" s="73" customFormat="1" ht="12.75"/>
    <row r="299" s="73" customFormat="1" ht="12.75"/>
    <row r="300" s="73" customFormat="1" ht="12.75"/>
    <row r="301" s="73" customFormat="1" ht="12.75"/>
    <row r="302" s="73" customFormat="1" ht="12.75"/>
    <row r="303" s="73" customFormat="1" ht="12.75"/>
    <row r="304" s="73" customFormat="1" ht="12.75"/>
    <row r="305" s="73" customFormat="1" ht="12.75"/>
    <row r="306" s="73" customFormat="1" ht="12.75"/>
    <row r="307" s="73" customFormat="1" ht="12.75"/>
    <row r="308" s="73" customFormat="1" ht="12.75"/>
    <row r="309" s="73" customFormat="1" ht="12.75"/>
    <row r="310" s="73" customFormat="1" ht="12.75"/>
    <row r="311" s="73" customFormat="1" ht="12.75"/>
    <row r="312" s="73" customFormat="1" ht="12.75"/>
    <row r="313" s="73" customFormat="1" ht="12.75"/>
    <row r="314" s="73" customFormat="1" ht="12.75"/>
    <row r="315" s="73" customFormat="1" ht="12.75"/>
    <row r="316" s="73" customFormat="1" ht="12.75"/>
    <row r="317" s="73" customFormat="1" ht="12.75"/>
    <row r="318" s="73" customFormat="1" ht="12.75"/>
    <row r="319" s="73" customFormat="1" ht="12.75"/>
    <row r="320" s="73" customFormat="1" ht="12.75"/>
    <row r="321" s="73" customFormat="1" ht="12.75"/>
    <row r="322" s="73" customFormat="1" ht="12.75"/>
    <row r="323" s="73" customFormat="1" ht="12.75"/>
    <row r="324" s="73" customFormat="1" ht="12.75"/>
    <row r="325" s="73" customFormat="1" ht="12.75"/>
    <row r="326" s="73" customFormat="1" ht="12.75"/>
    <row r="327" s="73" customFormat="1" ht="12.75"/>
    <row r="328" s="73" customFormat="1" ht="12.75"/>
    <row r="329" s="73" customFormat="1" ht="12.75"/>
    <row r="330" s="73" customFormat="1" ht="12.75"/>
    <row r="331" s="73" customFormat="1" ht="12.75"/>
    <row r="332" s="73" customFormat="1" ht="12.75"/>
    <row r="333" s="73" customFormat="1" ht="12.75"/>
    <row r="334" s="73" customFormat="1" ht="12.75"/>
    <row r="335" s="73" customFormat="1" ht="12.75"/>
    <row r="336" s="73" customFormat="1" ht="12.75"/>
    <row r="337" s="73" customFormat="1" ht="12.75"/>
    <row r="338" s="73" customFormat="1" ht="12.75"/>
    <row r="339" s="73" customFormat="1" ht="12.75"/>
    <row r="340" s="73" customFormat="1" ht="12.75"/>
    <row r="341" s="73" customFormat="1" ht="12.75"/>
    <row r="342" s="73" customFormat="1" ht="12.75"/>
    <row r="343" s="73" customFormat="1" ht="12.75"/>
    <row r="344" s="73" customFormat="1" ht="12.75"/>
    <row r="345" s="73" customFormat="1" ht="12.75"/>
    <row r="346" s="73" customFormat="1" ht="12.75"/>
    <row r="347" s="73" customFormat="1" ht="12.75"/>
    <row r="348" s="73" customFormat="1" ht="12.75"/>
    <row r="349" s="73" customFormat="1" ht="12.75"/>
    <row r="350" s="73" customFormat="1" ht="12.75"/>
    <row r="351" s="73" customFormat="1" ht="12.75"/>
    <row r="352" s="73" customFormat="1" ht="12.75"/>
    <row r="353" s="73" customFormat="1" ht="12.75"/>
    <row r="354" s="73" customFormat="1" ht="12.75"/>
    <row r="355" s="73" customFormat="1" ht="12.75"/>
    <row r="356" s="73" customFormat="1" ht="12.75"/>
    <row r="357" s="73" customFormat="1" ht="12.75"/>
    <row r="358" s="73" customFormat="1" ht="12.75"/>
    <row r="359" s="73" customFormat="1" ht="12.75"/>
    <row r="360" s="73" customFormat="1" ht="12.75"/>
    <row r="361" s="73" customFormat="1" ht="12.75"/>
    <row r="362" s="73" customFormat="1" ht="12.75"/>
    <row r="363" s="73" customFormat="1" ht="12.75"/>
    <row r="364" s="73" customFormat="1" ht="12.75"/>
    <row r="365" s="73" customFormat="1" ht="12.75"/>
    <row r="366" s="73" customFormat="1" ht="12.75"/>
    <row r="367" s="73" customFormat="1" ht="12.75"/>
    <row r="368" s="73" customFormat="1" ht="12.75"/>
    <row r="369" s="73" customFormat="1" ht="12.75"/>
    <row r="370" s="73" customFormat="1" ht="12.75"/>
    <row r="371" s="73" customFormat="1" ht="12.75"/>
    <row r="372" s="73" customFormat="1" ht="12.75"/>
    <row r="373" s="73" customFormat="1" ht="12.75"/>
    <row r="374" s="73" customFormat="1" ht="12.75"/>
    <row r="375" s="73" customFormat="1" ht="12.75"/>
    <row r="376" s="73" customFormat="1" ht="12.75"/>
    <row r="377" s="73" customFormat="1" ht="12.75"/>
    <row r="378" s="73" customFormat="1" ht="12.75"/>
    <row r="379" s="73" customFormat="1" ht="12.75"/>
    <row r="380" s="73" customFormat="1" ht="12.75"/>
    <row r="381" s="73" customFormat="1" ht="12.75"/>
    <row r="382" s="73" customFormat="1" ht="12.75"/>
    <row r="383" s="73" customFormat="1" ht="12.75"/>
    <row r="384" s="73" customFormat="1" ht="12.75"/>
    <row r="385" s="73" customFormat="1" ht="12.75"/>
    <row r="386" s="73" customFormat="1" ht="12.75"/>
    <row r="387" s="73" customFormat="1" ht="12.75"/>
    <row r="388" s="73" customFormat="1" ht="12.75"/>
    <row r="389" s="73" customFormat="1" ht="12.75"/>
    <row r="390" s="73" customFormat="1" ht="12.75"/>
    <row r="391" s="73" customFormat="1" ht="12.75"/>
    <row r="392" s="73" customFormat="1" ht="12.75"/>
    <row r="393" s="73" customFormat="1" ht="12.75"/>
    <row r="394" s="73" customFormat="1" ht="12.75"/>
    <row r="395" s="73" customFormat="1" ht="12.75"/>
    <row r="396" s="73" customFormat="1" ht="12.75"/>
    <row r="397" s="73" customFormat="1" ht="12.75"/>
    <row r="398" s="73" customFormat="1" ht="12.75"/>
    <row r="399" s="73" customFormat="1" ht="12.75"/>
    <row r="400" s="73" customFormat="1" ht="12.75"/>
    <row r="401" s="73" customFormat="1" ht="12.75"/>
    <row r="402" s="73" customFormat="1" ht="12.75"/>
    <row r="403" s="73" customFormat="1" ht="12.75"/>
    <row r="404" s="73" customFormat="1" ht="12.75"/>
    <row r="405" s="73" customFormat="1" ht="12.75"/>
    <row r="406" s="73" customFormat="1" ht="12.75"/>
    <row r="407" s="73" customFormat="1" ht="12.75"/>
    <row r="408" s="73" customFormat="1" ht="12.75"/>
    <row r="409" s="73" customFormat="1" ht="12.75"/>
    <row r="410" s="73" customFormat="1" ht="12.75"/>
    <row r="411" s="73" customFormat="1" ht="12.75"/>
    <row r="412" s="73" customFormat="1" ht="12.75"/>
    <row r="413" s="73" customFormat="1" ht="12.75"/>
    <row r="414" s="73" customFormat="1" ht="12.75"/>
    <row r="415" s="73" customFormat="1" ht="12.75"/>
    <row r="416" s="73" customFormat="1" ht="12.75"/>
    <row r="417" s="73" customFormat="1" ht="12.75"/>
    <row r="418" s="73" customFormat="1" ht="12.75"/>
    <row r="419" s="73" customFormat="1" ht="12.75"/>
    <row r="420" s="73" customFormat="1" ht="12.75"/>
    <row r="421" s="73" customFormat="1" ht="12.75"/>
    <row r="422" s="73" customFormat="1" ht="12.75"/>
    <row r="423" s="73" customFormat="1" ht="12.75"/>
    <row r="424" s="73" customFormat="1" ht="12.75"/>
    <row r="425" s="73" customFormat="1" ht="12.75"/>
    <row r="426" s="73" customFormat="1" ht="12.75"/>
    <row r="427" s="73" customFormat="1" ht="12.75"/>
    <row r="428" s="73" customFormat="1" ht="12.75"/>
    <row r="429" s="73" customFormat="1" ht="12.75"/>
    <row r="430" s="73" customFormat="1" ht="12.75"/>
    <row r="431" s="73" customFormat="1" ht="12.75"/>
    <row r="432" s="73" customFormat="1" ht="12.75"/>
    <row r="433" s="73" customFormat="1" ht="12.75"/>
    <row r="434" s="73" customFormat="1" ht="12.75"/>
    <row r="435" s="73" customFormat="1" ht="12.75"/>
    <row r="436" s="73" customFormat="1" ht="12.75"/>
    <row r="437" s="73" customFormat="1" ht="12.75"/>
    <row r="438" s="73" customFormat="1" ht="12.75"/>
    <row r="439" s="73" customFormat="1" ht="12.75"/>
    <row r="440" s="73" customFormat="1" ht="12.75"/>
    <row r="441" s="73" customFormat="1" ht="12.75"/>
    <row r="442" s="73" customFormat="1" ht="12.75"/>
    <row r="443" s="73" customFormat="1" ht="12.75"/>
    <row r="444" s="73" customFormat="1" ht="12.75"/>
    <row r="445" s="73" customFormat="1" ht="12.75"/>
    <row r="446" s="73" customFormat="1" ht="12.75"/>
    <row r="447" s="73" customFormat="1" ht="12.75"/>
    <row r="448" s="73" customFormat="1" ht="12.75"/>
    <row r="449" s="73" customFormat="1" ht="12.75"/>
    <row r="450" s="73" customFormat="1" ht="12.75"/>
    <row r="451" s="73" customFormat="1" ht="12.75"/>
    <row r="452" s="73" customFormat="1" ht="12.75"/>
    <row r="453" s="73" customFormat="1" ht="12.75"/>
    <row r="454" s="73" customFormat="1" ht="12.75"/>
    <row r="455" s="73" customFormat="1" ht="12.75"/>
    <row r="456" s="73" customFormat="1" ht="12.75"/>
    <row r="457" s="73" customFormat="1" ht="12.75"/>
    <row r="458" s="73" customFormat="1" ht="12.75"/>
    <row r="459" s="73" customFormat="1" ht="12.75"/>
    <row r="460" s="73" customFormat="1" ht="12.75"/>
    <row r="461" s="73" customFormat="1" ht="12.75"/>
    <row r="462" s="73" customFormat="1" ht="12.75"/>
    <row r="463" s="73" customFormat="1" ht="12.75"/>
    <row r="464" s="73" customFormat="1" ht="12.75"/>
    <row r="465" s="73" customFormat="1" ht="12.75"/>
    <row r="466" s="73" customFormat="1" ht="12.75"/>
    <row r="467" s="73" customFormat="1" ht="12.75"/>
    <row r="468" s="73" customFormat="1" ht="12.75"/>
    <row r="469" s="73" customFormat="1" ht="12.75"/>
    <row r="470" s="73" customFormat="1" ht="12.75"/>
    <row r="471" s="73" customFormat="1" ht="12.75"/>
    <row r="472" s="73" customFormat="1" ht="12.75"/>
    <row r="473" s="73" customFormat="1" ht="12.75"/>
    <row r="474" s="73" customFormat="1" ht="12.75"/>
    <row r="475" s="73" customFormat="1" ht="12.75"/>
    <row r="476" s="73" customFormat="1" ht="12.75"/>
    <row r="477" s="73" customFormat="1" ht="12.75"/>
    <row r="478" s="73" customFormat="1" ht="12.75"/>
    <row r="479" s="73" customFormat="1" ht="12.75"/>
    <row r="480" s="73" customFormat="1" ht="12.75"/>
    <row r="481" s="73" customFormat="1" ht="12.75"/>
    <row r="482" s="73" customFormat="1" ht="12.75"/>
    <row r="483" s="73" customFormat="1" ht="12.75"/>
    <row r="484" s="73" customFormat="1" ht="12.75"/>
    <row r="485" s="73" customFormat="1" ht="12.75"/>
    <row r="486" s="73" customFormat="1" ht="12.75"/>
    <row r="487" s="73" customFormat="1" ht="12.75"/>
    <row r="488" s="73" customFormat="1" ht="12.75"/>
    <row r="489" s="73" customFormat="1" ht="12.75"/>
    <row r="490" s="73" customFormat="1" ht="12.75"/>
    <row r="491" s="73" customFormat="1" ht="12.75"/>
    <row r="492" s="73" customFormat="1" ht="12.75"/>
    <row r="493" s="73" customFormat="1" ht="12.75"/>
    <row r="494" s="73" customFormat="1" ht="12.75"/>
    <row r="495" s="73" customFormat="1" ht="12.75"/>
    <row r="496" s="73" customFormat="1" ht="12.75"/>
    <row r="497" s="73" customFormat="1" ht="12.75"/>
    <row r="498" s="73" customFormat="1" ht="12.75"/>
    <row r="499" s="73" customFormat="1" ht="12.75"/>
    <row r="500" s="73" customFormat="1" ht="12.75"/>
    <row r="501" s="73" customFormat="1" ht="12.75"/>
    <row r="502" s="73" customFormat="1" ht="12.75"/>
    <row r="503" s="73" customFormat="1" ht="12.75"/>
    <row r="504" s="73" customFormat="1" ht="12.75"/>
    <row r="505" s="73" customFormat="1" ht="12.75"/>
    <row r="506" s="73" customFormat="1" ht="12.75"/>
    <row r="507" s="73" customFormat="1" ht="12.75"/>
    <row r="508" s="73" customFormat="1" ht="12.75"/>
    <row r="509" s="73" customFormat="1" ht="12.75"/>
    <row r="510" s="73" customFormat="1" ht="12.75"/>
    <row r="511" s="73" customFormat="1" ht="12.75"/>
    <row r="512" s="73" customFormat="1" ht="12.75"/>
    <row r="513" s="73" customFormat="1" ht="12.75"/>
    <row r="514" s="73" customFormat="1" ht="12.75"/>
    <row r="515" s="73" customFormat="1" ht="12.75"/>
    <row r="516" s="73" customFormat="1" ht="12.75"/>
    <row r="517" s="73" customFormat="1" ht="12.75"/>
    <row r="518" s="73" customFormat="1" ht="12.75"/>
    <row r="519" s="73" customFormat="1" ht="12.75"/>
    <row r="520" s="73" customFormat="1" ht="12.75"/>
    <row r="521" s="73" customFormat="1" ht="12.75"/>
    <row r="522" s="73" customFormat="1" ht="12.75"/>
    <row r="523" s="73" customFormat="1" ht="12.75"/>
    <row r="524" s="73" customFormat="1" ht="12.75"/>
    <row r="525" s="73" customFormat="1" ht="12.75"/>
    <row r="526" s="73" customFormat="1" ht="12.75"/>
    <row r="527" s="73" customFormat="1" ht="12.75"/>
    <row r="528" s="73" customFormat="1" ht="12.75"/>
    <row r="529" s="73" customFormat="1" ht="12.75"/>
    <row r="530" s="73" customFormat="1" ht="12.75"/>
    <row r="531" s="73" customFormat="1" ht="12.75"/>
    <row r="532" s="73" customFormat="1" ht="12.75"/>
    <row r="533" s="73" customFormat="1" ht="12.75"/>
    <row r="534" s="73" customFormat="1" ht="12.75"/>
    <row r="535" s="73" customFormat="1" ht="12.75"/>
    <row r="536" s="73" customFormat="1" ht="12.75"/>
    <row r="537" s="73" customFormat="1" ht="12.75"/>
    <row r="538" s="73" customFormat="1" ht="12.75"/>
    <row r="539" s="73" customFormat="1" ht="12.75"/>
    <row r="540" s="73" customFormat="1" ht="12.75"/>
    <row r="541" s="73" customFormat="1" ht="12.75"/>
    <row r="542" s="73" customFormat="1" ht="12.75"/>
    <row r="543" s="73" customFormat="1" ht="12.75"/>
    <row r="544" s="73" customFormat="1" ht="12.75"/>
    <row r="545" s="73" customFormat="1" ht="12.75"/>
    <row r="546" s="73" customFormat="1" ht="12.75"/>
    <row r="547" s="73" customFormat="1" ht="12.75"/>
    <row r="548" s="73" customFormat="1" ht="12.75"/>
    <row r="549" s="73" customFormat="1" ht="12.75"/>
    <row r="550" s="73" customFormat="1" ht="12.75"/>
    <row r="551" s="73" customFormat="1" ht="12.75"/>
    <row r="552" s="73" customFormat="1" ht="12.75"/>
    <row r="553" s="73" customFormat="1" ht="12.75"/>
    <row r="554" s="73" customFormat="1" ht="12.75"/>
    <row r="555" s="73" customFormat="1" ht="12.75"/>
    <row r="556" s="73" customFormat="1" ht="12.75"/>
    <row r="557" s="73" customFormat="1" ht="12.75"/>
    <row r="558" s="73" customFormat="1" ht="12.75"/>
    <row r="559" s="73" customFormat="1" ht="12.75"/>
    <row r="560" s="73" customFormat="1" ht="12.75"/>
    <row r="561" s="73" customFormat="1" ht="12.75"/>
    <row r="562" s="73" customFormat="1" ht="12.75"/>
    <row r="563" s="73" customFormat="1" ht="12.75"/>
    <row r="564" s="73" customFormat="1" ht="12.75"/>
    <row r="565" s="73" customFormat="1" ht="12.75"/>
    <row r="566" s="73" customFormat="1" ht="12.75"/>
    <row r="567" s="73" customFormat="1" ht="12.75"/>
    <row r="568" s="73" customFormat="1" ht="12.75"/>
    <row r="569" s="73" customFormat="1" ht="12.75"/>
    <row r="570" s="73" customFormat="1" ht="12.75"/>
    <row r="571" s="73" customFormat="1" ht="12.75"/>
    <row r="572" s="73" customFormat="1" ht="12.75"/>
    <row r="573" s="73" customFormat="1" ht="12.75"/>
    <row r="574" s="73" customFormat="1" ht="12.75"/>
    <row r="575" s="73" customFormat="1" ht="12.75"/>
    <row r="576" s="73" customFormat="1" ht="12.75"/>
    <row r="577" s="73" customFormat="1" ht="12.75"/>
    <row r="578" s="73" customFormat="1" ht="12.75"/>
    <row r="579" s="73" customFormat="1" ht="12.75"/>
    <row r="580" s="73" customFormat="1" ht="12.75"/>
    <row r="581" s="73" customFormat="1" ht="12.75"/>
    <row r="582" s="73" customFormat="1" ht="12.75"/>
    <row r="583" s="73" customFormat="1" ht="12.75"/>
    <row r="584" s="73" customFormat="1" ht="12.75"/>
    <row r="585" s="73" customFormat="1" ht="12.75"/>
    <row r="586" s="73" customFormat="1" ht="12.75"/>
    <row r="587" s="73" customFormat="1" ht="12.75"/>
    <row r="588" s="73" customFormat="1" ht="12.75"/>
    <row r="589" s="73" customFormat="1" ht="12.75"/>
    <row r="590" s="73" customFormat="1" ht="12.75"/>
    <row r="591" s="73" customFormat="1" ht="12.75"/>
    <row r="592" s="73" customFormat="1" ht="12.75"/>
    <row r="593" s="73" customFormat="1" ht="12.75"/>
    <row r="594" s="73" customFormat="1" ht="12.75"/>
    <row r="595" s="73" customFormat="1" ht="12.75"/>
    <row r="596" s="73" customFormat="1" ht="12.75"/>
    <row r="597" s="73" customFormat="1" ht="12.75"/>
    <row r="598" s="73" customFormat="1" ht="12.75"/>
    <row r="599" s="73" customFormat="1" ht="12.75"/>
    <row r="600" s="73" customFormat="1" ht="12.75"/>
    <row r="601" s="73" customFormat="1" ht="12.75"/>
    <row r="602" s="73" customFormat="1" ht="12.75"/>
    <row r="603" s="73" customFormat="1" ht="12.75"/>
    <row r="604" s="73" customFormat="1" ht="12.75"/>
    <row r="605" s="73" customFormat="1" ht="12.75"/>
    <row r="606" s="73" customFormat="1" ht="12.75"/>
    <row r="607" s="73" customFormat="1" ht="12.75"/>
    <row r="608" s="73" customFormat="1" ht="12.75"/>
    <row r="609" s="73" customFormat="1" ht="12.75"/>
    <row r="610" s="73" customFormat="1" ht="12.75"/>
    <row r="611" s="73" customFormat="1" ht="12.75"/>
    <row r="612" s="73" customFormat="1" ht="12.75"/>
    <row r="613" s="73" customFormat="1" ht="12.75"/>
    <row r="614" s="73" customFormat="1" ht="12.75"/>
    <row r="615" s="73" customFormat="1" ht="12.75"/>
    <row r="616" s="73" customFormat="1" ht="12.75"/>
    <row r="617" s="73" customFormat="1" ht="12.75"/>
    <row r="618" s="73" customFormat="1" ht="12.75"/>
    <row r="619" s="73" customFormat="1" ht="12.75"/>
    <row r="620" s="73" customFormat="1" ht="12.75"/>
    <row r="621" s="73" customFormat="1" ht="12.75"/>
    <row r="622" s="73" customFormat="1" ht="12.75"/>
    <row r="623" s="73" customFormat="1" ht="12.75"/>
    <row r="624" s="73" customFormat="1" ht="12.75"/>
    <row r="625" s="73" customFormat="1" ht="12.75"/>
    <row r="626" s="73" customFormat="1" ht="12.75"/>
    <row r="627" s="73" customFormat="1" ht="12.75"/>
    <row r="628" s="73" customFormat="1" ht="12.75"/>
    <row r="629" s="73" customFormat="1" ht="12.75"/>
    <row r="630" s="73" customFormat="1" ht="12.75"/>
    <row r="631" s="73" customFormat="1" ht="12.75"/>
    <row r="632" s="73" customFormat="1" ht="12.75"/>
    <row r="633" s="73" customFormat="1" ht="12.75"/>
    <row r="634" s="73" customFormat="1" ht="12.75"/>
    <row r="635" s="73" customFormat="1" ht="12.75"/>
  </sheetData>
  <sheetProtection algorithmName="SHA-512" hashValue="mE4l/PKH/84FZMCTZpVJWxQ7lCkgKEmYebfrInug2vEMnMreJTg1xGsUD/MMV2v2fEVluimmTbnELjGZHHYTKw==" saltValue="POSs+/dlJPwJEE878tPpjw==" spinCount="100000" sheet="1" objects="1" scenarios="1"/>
  <mergeCells count="132">
    <mergeCell ref="B37:C37"/>
    <mergeCell ref="B38:C38"/>
    <mergeCell ref="D34:G34"/>
    <mergeCell ref="D35:G35"/>
    <mergeCell ref="D36:G36"/>
    <mergeCell ref="D37:G37"/>
    <mergeCell ref="D38:G38"/>
    <mergeCell ref="E1:G1"/>
    <mergeCell ref="E2:G2"/>
    <mergeCell ref="E6:G6"/>
    <mergeCell ref="A22:K22"/>
    <mergeCell ref="D23:G23"/>
    <mergeCell ref="D19:E19"/>
    <mergeCell ref="D17:E17"/>
    <mergeCell ref="B34:C34"/>
    <mergeCell ref="B35:C35"/>
    <mergeCell ref="H37:K37"/>
    <mergeCell ref="A27:K27"/>
    <mergeCell ref="B25:C25"/>
    <mergeCell ref="D25:G25"/>
    <mergeCell ref="H25:K25"/>
    <mergeCell ref="B29:C29"/>
    <mergeCell ref="D29:G29"/>
    <mergeCell ref="H29:K29"/>
    <mergeCell ref="A13:K13"/>
    <mergeCell ref="B16:C16"/>
    <mergeCell ref="A14:A16"/>
    <mergeCell ref="B7:C7"/>
    <mergeCell ref="B8:C8"/>
    <mergeCell ref="I7:K7"/>
    <mergeCell ref="I8:K8"/>
    <mergeCell ref="I11:K11"/>
    <mergeCell ref="B9:C9"/>
    <mergeCell ref="B11:C11"/>
    <mergeCell ref="J16:K16"/>
    <mergeCell ref="B12:C12"/>
    <mergeCell ref="E8:G8"/>
    <mergeCell ref="E9:G9"/>
    <mergeCell ref="E11:G11"/>
    <mergeCell ref="E7:G7"/>
    <mergeCell ref="D14:E15"/>
    <mergeCell ref="F14:G14"/>
    <mergeCell ref="F16:G16"/>
    <mergeCell ref="A49:K49"/>
    <mergeCell ref="H48:K48"/>
    <mergeCell ref="H47:K47"/>
    <mergeCell ref="H40:K40"/>
    <mergeCell ref="H46:K46"/>
    <mergeCell ref="H41:K41"/>
    <mergeCell ref="H43:K43"/>
    <mergeCell ref="H42:K42"/>
    <mergeCell ref="B46:C46"/>
    <mergeCell ref="B44:C44"/>
    <mergeCell ref="B40:C40"/>
    <mergeCell ref="B41:C41"/>
    <mergeCell ref="B48:C48"/>
    <mergeCell ref="B42:C42"/>
    <mergeCell ref="H44:K44"/>
    <mergeCell ref="B47:C47"/>
    <mergeCell ref="B45:C45"/>
    <mergeCell ref="H45:K45"/>
    <mergeCell ref="D40:G40"/>
    <mergeCell ref="D41:G41"/>
    <mergeCell ref="D44:G44"/>
    <mergeCell ref="D42:G42"/>
    <mergeCell ref="D43:G43"/>
    <mergeCell ref="B43:C43"/>
    <mergeCell ref="A39:K39"/>
    <mergeCell ref="D48:G48"/>
    <mergeCell ref="D47:G47"/>
    <mergeCell ref="D45:G45"/>
    <mergeCell ref="D46:G46"/>
    <mergeCell ref="I6:K6"/>
    <mergeCell ref="A1:C1"/>
    <mergeCell ref="I1:K1"/>
    <mergeCell ref="I4:K4"/>
    <mergeCell ref="I5:K5"/>
    <mergeCell ref="B6:C6"/>
    <mergeCell ref="B4:C4"/>
    <mergeCell ref="B5:C5"/>
    <mergeCell ref="E3:G3"/>
    <mergeCell ref="I2:K2"/>
    <mergeCell ref="I3:K3"/>
    <mergeCell ref="E4:G4"/>
    <mergeCell ref="E5:G5"/>
    <mergeCell ref="D18:E18"/>
    <mergeCell ref="H23:K23"/>
    <mergeCell ref="B20:C20"/>
    <mergeCell ref="B23:C23"/>
    <mergeCell ref="B2:C2"/>
    <mergeCell ref="B3:C3"/>
    <mergeCell ref="H38:K38"/>
    <mergeCell ref="H36:K36"/>
    <mergeCell ref="I9:K9"/>
    <mergeCell ref="I10:K10"/>
    <mergeCell ref="B10:C10"/>
    <mergeCell ref="E10:G10"/>
    <mergeCell ref="B18:C18"/>
    <mergeCell ref="H14:I14"/>
    <mergeCell ref="D21:E21"/>
    <mergeCell ref="J14:K14"/>
    <mergeCell ref="H16:I16"/>
    <mergeCell ref="B19:C19"/>
    <mergeCell ref="E12:G12"/>
    <mergeCell ref="B21:C21"/>
    <mergeCell ref="D20:E20"/>
    <mergeCell ref="B24:C24"/>
    <mergeCell ref="H24:K24"/>
    <mergeCell ref="B28:C28"/>
    <mergeCell ref="B36:C36"/>
    <mergeCell ref="B14:C15"/>
    <mergeCell ref="H26:K26"/>
    <mergeCell ref="H31:K31"/>
    <mergeCell ref="B31:C31"/>
    <mergeCell ref="I12:K12"/>
    <mergeCell ref="B17:C17"/>
    <mergeCell ref="D16:E16"/>
    <mergeCell ref="H34:K34"/>
    <mergeCell ref="H28:K28"/>
    <mergeCell ref="H33:K33"/>
    <mergeCell ref="A32:K32"/>
    <mergeCell ref="H35:K35"/>
    <mergeCell ref="B26:C26"/>
    <mergeCell ref="B30:C30"/>
    <mergeCell ref="H30:K30"/>
    <mergeCell ref="D24:G24"/>
    <mergeCell ref="D26:G26"/>
    <mergeCell ref="D28:G28"/>
    <mergeCell ref="D30:G30"/>
    <mergeCell ref="D31:G31"/>
    <mergeCell ref="D33:G33"/>
    <mergeCell ref="B33:C33"/>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XML export</vt:lpstr>
      <vt:lpstr>UVOD</vt:lpstr>
      <vt:lpstr>XML_export</vt:lpstr>
      <vt:lpstr>Moje daně</vt:lpstr>
      <vt:lpstr>ZAKL_DATA</vt:lpstr>
      <vt:lpstr>DAP1</vt:lpstr>
      <vt:lpstr>DAP2</vt:lpstr>
      <vt:lpstr>DAP3</vt:lpstr>
      <vt:lpstr>DAP4</vt:lpstr>
      <vt:lpstr>ZAV</vt:lpstr>
      <vt:lpstr>1Př1</vt:lpstr>
      <vt:lpstr>1Př2</vt:lpstr>
      <vt:lpstr>2Př</vt:lpstr>
      <vt:lpstr>3Př</vt:lpstr>
      <vt:lpstr>4Př</vt:lpstr>
      <vt:lpstr>3Př_a</vt:lpstr>
      <vt:lpstr>6Př</vt:lpstr>
      <vt:lpstr>Př_b</vt:lpstr>
      <vt:lpstr>Příl_děti</vt:lpstr>
      <vt:lpstr>Potvr_ZAM</vt:lpstr>
      <vt:lpstr>Prohl_manž</vt:lpstr>
      <vt:lpstr>Zálohy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2025-10-22T11:50:56Z</cp:lastPrinted>
  <dcterms:created xsi:type="dcterms:W3CDTF">2000-01-30T17:10:20Z</dcterms:created>
  <dcterms:modified xsi:type="dcterms:W3CDTF">2026-05-20T11:51:34Z</dcterms:modified>
  <cp:category/>
</cp:coreProperties>
</file>